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Default Extension="jpg" ContentType="image/jpg"/>
  <Default Extension="tiff" ContentType="image/tiff"/>
  <Default Extension="jpeg" ContentType="image/jpeg"/>
  <Default Extension="png" ContentType="image/png"/>
  <Default Extension="bmp" ContentType="image/bmp"/>
  <Default Extension="gif" ContentType="image/gif"/>
  <Default Extension="svg" ContentType="image/svg+xml"/>
  <Default Extension="emf" ContentType="image/x-emf"/>
  <Default Extension="wmf" ContentType="image/x-wmf"/>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comments1.xml" ContentType="application/vnd.openxmlformats-officedocument.spreadsheetml.comments+xml"/>
  <Override PartName="/xl/drawings/drawing1.xml" ContentType="application/vnd.openxmlformats-officedocument.drawing+xml"/>
  <Override PartName="/xl/worksheets/sheet3.xml" ContentType="application/vnd.openxmlformats-officedocument.spreadsheetml.worksheet+xml"/>
  <Override PartName="/xl/drawings/drawing2.xml" ContentType="application/vnd.openxmlformats-officedocument.drawing+xml"/>
  <Override PartName="/xl/worksheets/sheet4.xml" ContentType="application/vnd.openxmlformats-officedocument.spreadsheetml.worksheet+xml"/>
  <Override PartName="/xl/drawings/drawing3.xml" ContentType="application/vnd.openxmlformats-officedocument.drawing+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comments2.xml" ContentType="application/vnd.openxmlformats-officedocument.spreadsheetml.comments+xml"/>
  <Override PartName="/xl/worksheets/sheet13.xml" ContentType="application/vnd.openxmlformats-officedocument.spreadsheetml.worksheet+xml"/>
  <Override PartName="/xl/comments3.xml" ContentType="application/vnd.openxmlformats-officedocument.spreadsheetml.comments+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drawings/drawing4.xml" ContentType="application/vnd.openxmlformats-officedocument.drawing+xml"/>
  <Override PartName="/xl/worksheets/sheet29.xml" ContentType="application/vnd.openxmlformats-officedocument.spreadsheetml.worksheet+xml"/>
  <Override PartName="/xl/drawings/drawing5.xml" ContentType="application/vnd.openxmlformats-officedocument.drawing+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drawings/drawing6.xml" ContentType="application/vnd.openxmlformats-officedocument.drawing+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sharedStrings.xml" ContentType="application/vnd.openxmlformats-officedocument.spreadsheetml.sharedString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bookViews>
    <workbookView tabRatio="751" firstSheet="1" activeTab="31"/>
  </bookViews>
  <sheets>
    <sheet name="Инструкция" sheetId="1" r:id="rId2"/>
    <sheet name="Титульный" sheetId="2" r:id="rId3"/>
    <sheet name="Список территорий" sheetId="3" r:id="rId4"/>
    <sheet name="Дифференциация" sheetId="4" r:id="rId5"/>
    <sheet name="Перечень тарифов" sheetId="5" state="hidden" r:id="rId6"/>
    <sheet name="Дифференциация тариф показатель" sheetId="6" state="hidden" r:id="rId7"/>
    <sheet name="Общая информация об организации" sheetId="7" state="hidden" r:id="rId8"/>
    <sheet name="Общая информация по ВД" sheetId="8" state="hidden" r:id="rId9"/>
    <sheet name="Виды объектов" sheetId="9" state="hidden" r:id="rId10"/>
    <sheet name="Сведения по территориям" sheetId="10" state="hidden" r:id="rId11"/>
    <sheet name="DATA_FORMS" sheetId="11" state="hidden" r:id="rId12"/>
    <sheet name="DATA_NPA" sheetId="12" state="hidden" r:id="rId13"/>
    <sheet name="TEHSHEET" sheetId="13" state="hidden" r:id="rId14"/>
    <sheet name="et_union_hor" sheetId="14" state="hidden" r:id="rId15"/>
    <sheet name="Договоры" sheetId="15" state="hidden" r:id="rId16"/>
    <sheet name="ТС. Т-ТЭ | &gt;=25МВт" sheetId="16" state="hidden" r:id="rId17"/>
    <sheet name="ТС. Т-ТЭ | ТСО" sheetId="17" state="hidden" r:id="rId18"/>
    <sheet name="ТС. Резерв мощности" sheetId="18" state="hidden" r:id="rId19"/>
    <sheet name="ТС. Т-ТН" sheetId="19" state="hidden" r:id="rId20"/>
    <sheet name="ТС. Т-передача ТЭ" sheetId="20" state="hidden" r:id="rId21"/>
    <sheet name="ТС. Т-передача ТН" sheetId="21" state="hidden" r:id="rId22"/>
    <sheet name="ТС. Т-гор.вода" sheetId="22" state="hidden" r:id="rId23"/>
    <sheet name="ТС. Т-подкл" sheetId="23" state="hidden" r:id="rId24"/>
    <sheet name="Т-ТЭ | потр" sheetId="24" state="hidden" r:id="rId25"/>
    <sheet name="Т-ТЭ | предел" sheetId="25" state="hidden" r:id="rId26"/>
    <sheet name="Т-ТЭ | индикат" sheetId="26" state="hidden" r:id="rId27"/>
    <sheet name="Т-подкл(инд)" sheetId="27" state="hidden" r:id="rId28"/>
    <sheet name="Порядок ТП" sheetId="28" state="hidden" r:id="rId29"/>
    <sheet name="Сведения о закупках" sheetId="29" state="hidden" r:id="rId30"/>
    <sheet name="modMainProcedures" sheetId="30" state="hidden" r:id="rId31"/>
    <sheet name="Потребительские характеристики" sheetId="31" r:id="rId32"/>
    <sheet name="ТП" sheetId="32" r:id="rId33"/>
    <sheet name="Ограничения" sheetId="33" r:id="rId34"/>
    <sheet name="Предложение" sheetId="34" state="hidden" r:id="rId35"/>
    <sheet name="ХВС. Т-пит" sheetId="35" state="hidden" r:id="rId36"/>
    <sheet name="ХВС. Т-тех" sheetId="36" state="hidden" r:id="rId37"/>
    <sheet name="ХВС. Т-транс" sheetId="37" state="hidden" r:id="rId38"/>
    <sheet name="ХВС. Т-подвоз" sheetId="38" state="hidden" r:id="rId39"/>
    <sheet name="ХВС. Т-подкл" sheetId="39" state="hidden" r:id="rId40"/>
    <sheet name="Показатели ФХД" sheetId="40" state="hidden" r:id="rId41"/>
    <sheet name="Показатели ФХД &gt;20%" sheetId="41" state="hidden" r:id="rId42"/>
    <sheet name="ТКО. Показатели ФХД" sheetId="42" state="hidden" r:id="rId43"/>
    <sheet name="ТКО. Транс. Показатели ФХД" sheetId="43" state="hidden" r:id="rId44"/>
    <sheet name="Показатели КНЭ" sheetId="44" state="hidden" r:id="rId45"/>
    <sheet name="ИП" sheetId="45" state="hidden" r:id="rId46"/>
    <sheet name="ИП. Детализация" sheetId="46" state="hidden" r:id="rId47"/>
    <sheet name="ИП. Финансовый план" sheetId="47" state="hidden" r:id="rId48"/>
    <sheet name="ИП. КНЭ" sheetId="48" state="hidden" r:id="rId49"/>
    <sheet name="ГВС. Т-гор.вода" sheetId="49" state="hidden" r:id="rId50"/>
    <sheet name="ГВС. Т-транс" sheetId="50" state="hidden" r:id="rId51"/>
    <sheet name="ГВС. Т-подкл" sheetId="51" state="hidden" r:id="rId52"/>
    <sheet name="ВО. Т-во" sheetId="52" state="hidden" r:id="rId53"/>
    <sheet name="ВО. Т-транс" sheetId="53" state="hidden" r:id="rId54"/>
    <sheet name="ВО. Т-подкл" sheetId="54" state="hidden" r:id="rId55"/>
    <sheet name="modB_FHD" sheetId="55" state="hidden" r:id="rId56"/>
    <sheet name="modB_FHD20" sheetId="56" state="hidden" r:id="rId57"/>
    <sheet name="modB_KNE" sheetId="57" state="hidden" r:id="rId58"/>
    <sheet name="modIP_MAIN" sheetId="58" state="hidden" r:id="rId59"/>
    <sheet name="modIP_QRE" sheetId="59" state="hidden" r:id="rId60"/>
    <sheet name="modIP_DETAILED" sheetId="60" state="hidden" r:id="rId61"/>
    <sheet name="ЭД" sheetId="61" state="hidden" r:id="rId62"/>
    <sheet name="Сведения об изменении" sheetId="62" state="hidden" r:id="rId63"/>
    <sheet name="Орган регулирования" sheetId="63" state="hidden" r:id="rId64"/>
    <sheet name="Перечень организаций" sheetId="64" state="hidden" r:id="rId65"/>
    <sheet name="Дела об установлении тарифов" sheetId="65" state="hidden" r:id="rId66"/>
    <sheet name="Привлечение к ответственности" sheetId="66" state="hidden" r:id="rId67"/>
    <sheet name="Комментарии" sheetId="67" r:id="rId68"/>
    <sheet name="Проверка" sheetId="68" state="hidden" r:id="rId69"/>
    <sheet name="et_union_vert" sheetId="69" state="hidden" r:id="rId70"/>
    <sheet name="Легенда" sheetId="70" state="hidden" r:id="rId71"/>
    <sheet name="modfrmListIP" sheetId="71" state="hidden" r:id="rId72"/>
    <sheet name="modfrmActivity" sheetId="72" state="hidden" r:id="rId73"/>
    <sheet name="REESTR_ORG" sheetId="73" state="hidden" r:id="rId74"/>
    <sheet name="REESTR_MO" sheetId="74" state="hidden" r:id="rId75"/>
    <sheet name="REESTR_IP" sheetId="75" state="hidden" r:id="rId76"/>
    <sheet name="REESTR_OBJ_INFR" sheetId="76" state="hidden" r:id="rId77"/>
    <sheet name="REESTR_DS" sheetId="77" state="hidden" r:id="rId78"/>
    <sheet name="REESTR_VT" sheetId="78" state="hidden" r:id="rId79"/>
    <sheet name="REESTR_VED" sheetId="79" state="hidden" r:id="rId80"/>
    <sheet name="REESTR_MO_FILTER" sheetId="80" state="hidden" r:id="rId81"/>
    <sheet name="REESTR_LINK" sheetId="81" state="hidden" r:id="rId82"/>
    <sheet name="modSheetMain" sheetId="82" state="hidden" r:id="rId83"/>
    <sheet name="modfrmReportMode" sheetId="83" state="hidden" r:id="rId84"/>
    <sheet name="modfrmReestrObj" sheetId="84" state="hidden" r:id="rId85"/>
    <sheet name="AllSheetsInThisWorkbook" sheetId="85" state="hidden" r:id="rId86"/>
    <sheet name="modInfo" sheetId="86" state="hidden" r:id="rId87"/>
  </sheets>
  <definedNames>
    <definedName name="anscount">1</definedName>
    <definedName name="B_FHD_CHECK_INDEX_1">'Показатели ФХД'!$AM$66</definedName>
    <definedName name="B_FHD_CHECK_INDEX_2">'Показатели ФХД'!$AM$68</definedName>
    <definedName name="B_FHD_COSTS_INDEX_1">'Показатели ФХД'!$H$65:$AK$65</definedName>
    <definedName name="B_FHD_COSTS_INDEX_2">'Показатели ФХД'!$H$67:$AK$67</definedName>
    <definedName name="B_FHD_DATA_TOP80_ACTIVITY">'Показатели ФХД'!$H$81:$AK$81</definedName>
    <definedName name="B_FHD_diff_1">'Показатели ФХД'!$I$25:$I$27</definedName>
    <definedName name="B_FHD_FLAG_DIFFERENTIATION">'Показатели ФХД'!$H$24:$AK$24</definedName>
    <definedName name="B_FHD_FLAG_INDEX_1">'Показатели ФХД'!$H$66:$AK$66</definedName>
    <definedName name="B_FHD_FLAG_INDEX_2">'Показатели ФХД'!$H$68:$AK$68</definedName>
    <definedName name="B_FHD_TKO_DATA_TOP80_ACTIVITY">'ТКО. Показатели ФХД'!$H$43:$AK$43</definedName>
    <definedName name="B_FHD_TKO_diff_1">'ТКО. Показатели ФХД'!$I$10:$I$12</definedName>
    <definedName name="B_FHD_TKO_FLAG_DIFFERENTIATION">'ТКО. Показатели ФХД'!$H$9:$AK$9</definedName>
    <definedName name="B_FHD_TKO_TRANS_DATA_TOP80_ACTIVITY">'ТКО. Транс. Показатели ФХД'!$H$35:$AK$35</definedName>
    <definedName name="B_FHD_TKO_TRANS_diff_1">'ТКО. Транс. Показатели ФХД'!$I$10:$I$12</definedName>
    <definedName name="B_FHD_TKO_TRANS_FLAG_DIFFERENTIATION">'ТКО. Транс. Показатели ФХД'!$H$9:$AK$9</definedName>
    <definedName name="B_FHD20_ADD_HL_2_COLUMN_MARKER">'Показатели ФХД &gt;20%'!$G$8</definedName>
    <definedName name="B_FHD20_ADD_HL_3_COLUMN_MARKER">'Показатели ФХД &gt;20%'!$J$8</definedName>
    <definedName name="B_FHD20_ADD_HL_4_COLUMN_MARKER">'Показатели ФХД &gt;20%'!$N$8</definedName>
    <definedName name="B_FHD20_ALL_DATA">'Показатели ФХД &gt;20%'!$D$13:$S$266</definedName>
    <definedName name="B_FHD20_COSTS_OPS_diff_1">'Показатели ФХД &gt;20%'!$Q$17</definedName>
    <definedName name="B_FHD20_COSTS_PH_diff_1">'Показатели ФХД &gt;20%'!$Q$20</definedName>
    <definedName name="B_FHD20_DEL_HL_2_COLUMN_MARKER">'Показатели ФХД &gt;20%'!$E$8</definedName>
    <definedName name="B_FHD20_DEL_HL_3_COLUMN_MARKER">'Показатели ФХД &gt;20%'!$H$8</definedName>
    <definedName name="B_FHD20_DEL_HL_4_COLUMN_MARKER">'Показатели ФХД &gt;20%'!$L$8</definedName>
    <definedName name="B_FHD20_diff_1">'Показатели ФХД &gt;20%'!$H$14:$R$16</definedName>
    <definedName name="B_FHD20_FLAG_FHD">'Показатели ФХД &gt;20%'!$V$11:$V$266</definedName>
    <definedName name="B_FHD20_NUMBER_COLUMN_MARKER">'Показатели ФХД &gt;20%'!$D$8</definedName>
    <definedName name="B_FHD20_PART_COLUMN_MARKER">'Показатели ФХД &gt;20%'!$R$8</definedName>
    <definedName name="B_KNE_diff_1">'Показатели КНЭ'!$I$7:$J$9</definedName>
    <definedName name="BLOCK_BALANCE_INDICATORS">Титульный!$48:$58</definedName>
    <definedName name="BLOCK_BALANCE_TKO_FLAG_TRANS">Титульный!$59:$60</definedName>
    <definedName name="BLOCK_CONNECTION_STATE">Титульный!$46:$47</definedName>
    <definedName name="BLOCK_DIFF_CS">Титульный!$38:$39</definedName>
    <definedName name="BLOCK_DIFFERENTIATION_NOT_TKO">Дифференциация!$J:$M</definedName>
    <definedName name="BLOCK_FIRST_TARIFF">Титульный!$18:$22</definedName>
    <definedName name="BLOCK_FIRST_TARIFF_OREG_PUBL">Титульный!$21:$22</definedName>
    <definedName name="BLOCK_MAIN_INFO_HEAT">'Общая информация об организации'!$19:$23</definedName>
    <definedName name="BLOCK_MAIN_INFO_NOT_TKO">'Общая информация об организации'!$45:$48</definedName>
    <definedName name="BLOCK_MAIN_INFO_OBJECT_COLDVSNA">'Общая информация по ВД'!$X:$Z</definedName>
    <definedName name="BLOCK_MAIN_INFO_OBJECT_COMM_COLDVSNA">'Общая информация по ВД'!$AG:$AG</definedName>
    <definedName name="BLOCK_MAIN_INFO_OBJECT_COMM_HEAT">'Общая информация по ВД'!$AE:$AE</definedName>
    <definedName name="BLOCK_MAIN_INFO_OBJECT_COMM_HOTVSNA">'Общая информация по ВД'!$AH:$AH</definedName>
    <definedName name="BLOCK_MAIN_INFO_OBJECT_COMM_VOTV">'Общая информация по ВД'!$AF:$AF</definedName>
    <definedName name="BLOCK_MAIN_INFO_OBJECT_HEAT">'Общая информация по ВД'!$H:$R</definedName>
    <definedName name="BLOCK_MAIN_INFO_OBJECT_HOTVSNA">'Общая информация по ВД'!$AB:$AC</definedName>
    <definedName name="BLOCK_MAIN_INFO_OBJECT_VOTV">'Общая информация по ВД'!$T:$V</definedName>
    <definedName name="BLOCK_NOTE_P_TARIFF_A">'ТС. Т-ТЭ | &gt;=25МВт'!$58:$60</definedName>
    <definedName name="BLOCK_NOTE_P_TARIFF_A_COLDVSNA">'ХВС. Т-пит'!$54:$55</definedName>
    <definedName name="BLOCK_NOTE_P_TARIFF_A_HOTVSNA">'ГВС. Т-гор.вода'!$54:$55</definedName>
    <definedName name="BLOCK_NOTE_P_TARIFF_A_VOTV">'ВО. Т-во'!$54:$55</definedName>
    <definedName name="BLOCK_NOTE_P_TARIFF_B">'ТС. Т-ТЭ | ТСО'!$58:$60</definedName>
    <definedName name="BLOCK_NOTE_P_TARIFF_B_COLDVSNA">'ХВС. Т-тех'!$54:$55</definedName>
    <definedName name="BLOCK_NOTE_P_TARIFF_B_HOTVSNA">'ГВС. Т-транс'!$54:$55</definedName>
    <definedName name="BLOCK_NOTE_P_TARIFF_B_VOTV">'ВО. Т-транс'!$54:$55</definedName>
    <definedName name="BLOCK_NOTE_P_TARIFF_C">'ТС. Т-ТН'!$58:$61</definedName>
    <definedName name="BLOCK_NOTE_P_TARIFF_C_COLDVSNA">'ХВС. Т-транс'!$54:$55</definedName>
    <definedName name="BLOCK_NOTE_P_TARIFF_C_HOTVSNA">'ГВС. Т-подкл'!$64:$65</definedName>
    <definedName name="BLOCK_NOTE_P_TARIFF_C_VOTV">'ВО. Т-подкл'!$64:$65</definedName>
    <definedName name="BLOCK_NOTE_P_TARIFF_D">'ТС. Т-гор.вода'!$66:$68</definedName>
    <definedName name="BLOCK_NOTE_P_TARIFF_D_COLDVSNA">'ХВС. Т-подвоз'!$54:$55</definedName>
    <definedName name="BLOCK_NOTE_P_TARIFF_E_COLDVSNA">'ХВС. Т-подкл'!$64:$65</definedName>
    <definedName name="BLOCK_NOTE_P_TARIFF_E1">'ТС. Т-передача ТЭ'!$58:$61</definedName>
    <definedName name="BLOCK_NOTE_P_TARIFF_E2">'ТС. Т-передача ТН'!$58:$61</definedName>
    <definedName name="BLOCK_NOTE_P_TARIFF_F">'ТС. Резерв мощности'!$58:$60</definedName>
    <definedName name="BLOCK_NOTE_P_TARIFF_G">'ТС. Т-подкл'!$63:$65</definedName>
    <definedName name="BLOCK_NOTE_R_TARIFF_A">'ТС. Т-ТЭ | &gt;=25МВт'!$61:$64</definedName>
    <definedName name="BLOCK_NOTE_R_TARIFF_A_COLDVSNA">'ХВС. Т-пит'!$56:$57</definedName>
    <definedName name="BLOCK_NOTE_R_TARIFF_A_HOTVSNA">'ГВС. Т-гор.вода'!$56:$57</definedName>
    <definedName name="BLOCK_NOTE_R_TARIFF_A_VOTV">'ВО. Т-во'!$56:$57</definedName>
    <definedName name="BLOCK_NOTE_R_TARIFF_B">'ТС. Т-ТЭ | ТСО'!$61:$64</definedName>
    <definedName name="BLOCK_NOTE_R_TARIFF_B_COLDVSNA">'ХВС. Т-тех'!$56:$57</definedName>
    <definedName name="BLOCK_NOTE_R_TARIFF_B_HOTVSNA">'ГВС. Т-транс'!$56:$57</definedName>
    <definedName name="BLOCK_NOTE_R_TARIFF_B_VOTV">'ВО. Т-транс'!$56:$57</definedName>
    <definedName name="BLOCK_NOTE_R_TARIFF_C">'ТС. Т-ТН'!$62:$65</definedName>
    <definedName name="BLOCK_NOTE_R_TARIFF_C_COLDVSNA">'ХВС. Т-транс'!$56:$57</definedName>
    <definedName name="BLOCK_NOTE_R_TARIFF_C_HOTVSNA">'ГВС. Т-подкл'!$66:$67</definedName>
    <definedName name="BLOCK_NOTE_R_TARIFF_C_VOTV">'ВО. Т-подкл'!$66:$67</definedName>
    <definedName name="BLOCK_NOTE_R_TARIFF_D">'ТС. Т-гор.вода'!$69:$71</definedName>
    <definedName name="BLOCK_NOTE_R_TARIFF_D_COLDVSNA">'ХВС. Т-подвоз'!$56:$57</definedName>
    <definedName name="BLOCK_NOTE_R_TARIFF_E_COLDVSNA">'ХВС. Т-подкл'!$66:$67</definedName>
    <definedName name="BLOCK_NOTE_R_TARIFF_E1">'ТС. Т-передача ТЭ'!$62:$65</definedName>
    <definedName name="BLOCK_NOTE_R_TARIFF_E2">'ТС. Т-передача ТН'!$62:$65</definedName>
    <definedName name="BLOCK_NOTE_R_TARIFF_F">'ТС. Резерв мощности'!$61:$64</definedName>
    <definedName name="BLOCK_NOTE_R_TARIFF_G">'ТС. Т-подкл'!$66:$68</definedName>
    <definedName name="BLOCK_PERIOD_DATA">Титульный!$11:$11</definedName>
    <definedName name="BLOCK_PERIOD_QUARTER">Титульный!$13:$13</definedName>
    <definedName name="BLOCK_PERIOD_TWO_DATA">Титульный!$9:$10</definedName>
    <definedName name="BLOCK_PERIOD_YEAR">Титульный!$12:$12</definedName>
    <definedName name="BLOCK_POK_FHD_COLDVSNA_P1">'Показатели ФХД'!$82:$90</definedName>
    <definedName name="BLOCK_POK_FHD_COLDVSNA_P2">'Показатели ФХД'!$115:$119</definedName>
    <definedName name="BLOCK_POK_FHD_HEAT_P1">'Показатели ФХД'!$33:$40</definedName>
    <definedName name="BLOCK_POK_FHD_HEAT_P2">'Показатели ФХД'!$72:$72</definedName>
    <definedName name="BLOCK_POK_FHD_HEAT_P3">'Показатели ФХД'!$99:$111</definedName>
    <definedName name="BLOCK_POK_FHD_HEAT_P4">'Показатели ФХД'!$113:$113</definedName>
    <definedName name="BLOCK_POK_FHD_HEAT_P5">'Показатели ФХД'!$120:$130</definedName>
    <definedName name="BLOCK_POK_FHD_HEAT_P6">'Показатели ФХД'!$47:$47</definedName>
    <definedName name="BLOCK_POK_FHD_HOTVSNA_P1">'Показатели ФХД'!$41:$43</definedName>
    <definedName name="BLOCK_POK_FHD_HOTVSNA_P2">'Показатели ФХД'!$91:$95</definedName>
    <definedName name="BLOCK_POK_FHD_NOT_HEAT_P1">'Показатели ФХД'!$67:$68</definedName>
    <definedName name="BLOCK_POK_FHD_NOT_HEAT_P2">'Показатели ФХД'!$80:$80</definedName>
    <definedName name="BLOCK_POK_FHD_NOT_HOTVSNA">'Показатели ФХД'!$48:$48</definedName>
    <definedName name="BLOCK_POK_FHD_VOTV_P1">'Показатели ФХД'!$96:$98</definedName>
    <definedName name="BLOCK_POK_FHD_VSNA">'Показатели ФХД'!$114:$114</definedName>
    <definedName name="BLOCK_POK_FHD20_NOT_HEAT">'Показатели ФХД &gt;20%'!$20:$22</definedName>
    <definedName name="BLOCK_POK_KNE_COLDVSNA">'Показатели КНЭ'!$37:$63</definedName>
    <definedName name="BLOCK_POK_KNE_HEAT">'Показатели КНЭ'!$13:$35</definedName>
    <definedName name="BLOCK_POK_KNE_HOTVSNA">'Показатели КНЭ'!$65:$75</definedName>
    <definedName name="BLOCK_POK_KNE_VOTV">'Показатели КНЭ'!$77:$100</definedName>
    <definedName name="BLOCK_PRICE_INDICATORS_HEAT">Титульный!$40:$45</definedName>
    <definedName name="BLOCK_PRICE_IST_TE">'Перечень тарифов'!$S:$V</definedName>
    <definedName name="BLOCK_PRICE_REQUEST">Титульный!$18:$22</definedName>
    <definedName name="BLOCK_PT_COLDVSNA">'Перечень тарифов'!$64:$88</definedName>
    <definedName name="BLOCK_PT_HEAT">'Перечень тарифов'!$13:$62</definedName>
    <definedName name="BLOCK_PT_HOTVSNA">'Перечень тарифов'!$90:$104</definedName>
    <definedName name="BLOCK_PT_VOTV">'Перечень тарифов'!$106:$120</definedName>
    <definedName name="BLOCK_TABLE_P_TARIFF_A">'ТС. Т-ТЭ | &gt;=25МВт'!$28:$32</definedName>
    <definedName name="BLOCK_TABLE_P_TARIFF_A_COLDVSNA">'ХВС. Т-пит'!$26:$30</definedName>
    <definedName name="BLOCK_TABLE_P_TARIFF_A_HOTVSNA">'ГВС. Т-гор.вода'!$26:$30</definedName>
    <definedName name="BLOCK_TABLE_P_TARIFF_A_VOTV">'ВО. Т-во'!$26:$30</definedName>
    <definedName name="BLOCK_TABLE_P_TARIFF_B">'ТС. Т-ТЭ | ТСО'!$28:$32</definedName>
    <definedName name="BLOCK_TABLE_P_TARIFF_B_COLDVSNA">'ХВС. Т-тех'!$26:$30</definedName>
    <definedName name="BLOCK_TABLE_P_TARIFF_B_HOTVSNA">'ГВС. Т-транс'!$26:$30</definedName>
    <definedName name="BLOCK_TABLE_P_TARIFF_B_VOTV">'ВО. Т-транс'!$26:$30</definedName>
    <definedName name="BLOCK_TABLE_P_TARIFF_C">'ТС. Т-ТН'!$28:$32</definedName>
    <definedName name="BLOCK_TABLE_P_TARIFF_C_COLDVSNA">'ХВС. Т-транс'!$26:$30</definedName>
    <definedName name="BLOCK_TABLE_P_TARIFF_C_HOTVSNA">'ГВС. Т-подкл'!$30:$34</definedName>
    <definedName name="BLOCK_TABLE_P_TARIFF_C_VOTV">'ВО. Т-подкл'!$30:$34</definedName>
    <definedName name="BLOCK_TABLE_P_TARIFF_D">'ТС. Т-гор.вода'!$32:$36</definedName>
    <definedName name="BLOCK_TABLE_P_TARIFF_D_COLDVSNA">'ХВС. Т-подвоз'!$26:$30</definedName>
    <definedName name="BLOCK_TABLE_P_TARIFF_E_COLDVSNA">'ХВС. Т-подкл'!$30:$34</definedName>
    <definedName name="BLOCK_TABLE_P_TARIFF_E1">'ТС. Т-передача ТЭ'!$28:$32</definedName>
    <definedName name="BLOCK_TABLE_P_TARIFF_E2">'ТС. Т-передача ТН'!$28:$32</definedName>
    <definedName name="BLOCK_TABLE_P_TARIFF_F">'ТС. Резерв мощности'!$28:$32</definedName>
    <definedName name="BLOCK_TABLE_P_TARIFF_G">'ТС. Т-подкл'!$29:$33</definedName>
    <definedName name="BLOCK_TABLE_R_TARIFF_A">'ТС. Т-ТЭ | &gt;=25МВт'!$33:$35</definedName>
    <definedName name="BLOCK_TABLE_R_TARIFF_A_COLDVSNA">'ХВС. Т-пит'!$31:$33</definedName>
    <definedName name="BLOCK_TABLE_R_TARIFF_A_HOTVSNA">'ГВС. Т-гор.вода'!$31:$33</definedName>
    <definedName name="BLOCK_TABLE_R_TARIFF_A_VOTV">'ВО. Т-во'!$31:$33</definedName>
    <definedName name="BLOCK_TABLE_R_TARIFF_B">'ТС. Т-ТЭ | ТСО'!$33:$35</definedName>
    <definedName name="BLOCK_TABLE_R_TARIFF_B_COLDVSNA">'ХВС. Т-тех'!$31:$33</definedName>
    <definedName name="BLOCK_TABLE_R_TARIFF_B_HOTVSNA">'ГВС. Т-транс'!$31:$33</definedName>
    <definedName name="BLOCK_TABLE_R_TARIFF_B_VOTV">'ВО. Т-транс'!$31:$33</definedName>
    <definedName name="BLOCK_TABLE_R_TARIFF_C">'ТС. Т-ТН'!$33:$35</definedName>
    <definedName name="BLOCK_TABLE_R_TARIFF_C_COLDVSNA">'ХВС. Т-транс'!$31:$33</definedName>
    <definedName name="BLOCK_TABLE_R_TARIFF_C_HOTVSNA">'ГВС. Т-подкл'!$35:$37</definedName>
    <definedName name="BLOCK_TABLE_R_TARIFF_C_VOTV">'ВО. Т-подкл'!$35:$37</definedName>
    <definedName name="BLOCK_TABLE_R_TARIFF_D">'ТС. Т-гор.вода'!$37:$39</definedName>
    <definedName name="BLOCK_TABLE_R_TARIFF_D_COLDVSNA">'ХВС. Т-подвоз'!$31:$33</definedName>
    <definedName name="BLOCK_TABLE_R_TARIFF_E_COLDVSNA">'ХВС. Т-подкл'!$35:$37</definedName>
    <definedName name="BLOCK_TABLE_R_TARIFF_E1">'ТС. Т-передача ТЭ'!$33:$35</definedName>
    <definedName name="BLOCK_TABLE_R_TARIFF_E2">'ТС. Т-передача ТН'!$33:$35</definedName>
    <definedName name="BLOCK_TABLE_R_TARIFF_F">'ТС. Резерв мощности'!$33:$35</definedName>
    <definedName name="BLOCK_TABLE_R_TARIFF_G">'ТС. Т-подкл'!$34:$36</definedName>
    <definedName name="BLOCK_TEMPLATES_INVEST_TIT">Титульный!$57:$58</definedName>
    <definedName name="BLOCK_TERMS_HEAT_P1">Договоры!$19:$19</definedName>
    <definedName name="BLOCK_TERMS_NOT_TKO_P1">Договоры!$16:$18</definedName>
    <definedName name="BLOCK_TERMS_NOT_TKO_P2">Договоры!$20:$22</definedName>
    <definedName name="BLOCK_TERMS_TKO_TRANS">Договоры!$23:$26</definedName>
    <definedName name="BLOCK_TERRITORY_INFO">'Список территорий'!$7:$7</definedName>
    <definedName name="BLOCK_WARM_ORG_TYPE">Титульный!$34:$34</definedName>
    <definedName name="checkCell_List01">'Список территорий'!$E$15:$I$15</definedName>
    <definedName name="checkCell_List07">'Сведения об изменении'!$D$11:$E$13</definedName>
    <definedName name="CLASS_TKO_LIST">TEHSHEET!$AZ$90:$AZ$94</definedName>
    <definedName name="code">Инструкция!$B$2</definedName>
    <definedName name="CodeTemplateList">TEHSHEET!$F$46:$F$53</definedName>
    <definedName name="COLDVSNA_FIN_SRC_LIST">TEHSHEET!$BJ$4:$BJ$34</definedName>
    <definedName name="COLDVSNA_FIN_SRC_VLD_LIST">TEHSHEET!$BJ$39:$BJ$60</definedName>
    <definedName name="COLDVSNA_IP_EVENT_CI_STAGE_LIST">TEHSHEET!$BJ$97:$BJ$100</definedName>
    <definedName name="COLDVSNA_IP_EVENT_GROUP_LIST">TEHSHEET!$BJ$69:$BJ$76</definedName>
    <definedName name="COLDVSNA_IP_EVENT_SUBGROUP_1_LIST">TEHSHEET!$BJ$80:$BJ$83</definedName>
    <definedName name="COLDVSNA_IP_EVENT_SUBGROUP_3_LIST">TEHSHEET!$BJ$87:$BJ$88</definedName>
    <definedName name="COLDVSNA_IP_EVENT_SUBGROUP_5_LIST">TEHSHEET!$BJ$92:$BJ$93</definedName>
    <definedName name="COLDVSNA_IP_EVENT_TYPE_LIST">TEHSHEET!$BJ$108</definedName>
    <definedName name="COLDVSNA_PT_VED_ID">TEHSHEET!$BT$19:$BT$21</definedName>
    <definedName name="COLDVSNA_PT_VED_NAME">TEHSHEET!$BU$19:$BU$21</definedName>
    <definedName name="COLDVSNA_PT_VED_NAME_LIST">TEHSHEET!$BT$19:$BU$21</definedName>
    <definedName name="COLDVSNA_TARIFF_A_COLDVSNA_ADD_HL_COLUMN_MARKER">'ХВС. Т-пит'!$T$34</definedName>
    <definedName name="COLDVSNA_TARIFF_A_COLDVSNA_DEL_HL_DATA_DIFF_COLUMN_MARKER">'ХВС. Т-пит'!$R$34</definedName>
    <definedName name="COLDVSNA_TARIFF_A_COLDVSNA_DEL_HL_FLAG_DIFF_COLUMN_MARKER">'ХВС. Т-пит'!$P$34</definedName>
    <definedName name="COLDVSNA_TARIFF_A_COLDVSNA_DEL_HL_GC_COLUMN_MARKER">'ХВС. Т-пит'!$Q$34</definedName>
    <definedName name="COLDVSNA_TARIFF_A_COLDVSNA_DELETE_PERIOD_ROW_MARKER">'ХВС. Т-пит'!$O$35</definedName>
    <definedName name="COLDVSNA_TARIFF_A_COLDVSNA_FLAG_BLOCK_COLUMN_MARKER">'ХВС. Т-пит'!$L$36</definedName>
    <definedName name="COLDVSNA_TARIFF_A_COLDVSNA_FLAG_BLOCK_ROW_MARKER">'ХВС. Т-пит'!$O$20</definedName>
    <definedName name="COLDVSNA_TARIFF_A_COLDVSNA_NUM_CS_COLUMN_MARKER">'ХВС. Т-пит'!$G$36</definedName>
    <definedName name="COLDVSNA_TARIFF_A_COLDVSNA_NUM_DATA_DIFF_COLUMN_MARKER">'ХВС. Т-пит'!$K$36</definedName>
    <definedName name="COLDVSNA_TARIFF_A_COLDVSNA_NUM_FLAG_DIFF_COLUMN_MARKER">'ХВС. Т-пит'!$I$36</definedName>
    <definedName name="COLDVSNA_TARIFF_A_COLDVSNA_NUM_GC_COLUMN_MARKER">'ХВС. Т-пит'!$J$36</definedName>
    <definedName name="COLDVSNA_TARIFF_A_COLDVSNA_NUM_NTAR_COLUMN_MARKER">'ХВС. Т-пит'!$E$36</definedName>
    <definedName name="COLDVSNA_TARIFF_A_COLDVSNA_NUM_TER_COLUMN_MARKER">'ХВС. Т-пит'!$F$36</definedName>
    <definedName name="COLDVSNA_TARIFF_B_COLDVSNA_ADD_HL_COLUMN_MARKER">'ХВС. Т-тех'!$T$34</definedName>
    <definedName name="COLDVSNA_TARIFF_B_COLDVSNA_DEL_HL_DATA_DIFF_COLUMN_MARKER">'ХВС. Т-тех'!$R$34</definedName>
    <definedName name="COLDVSNA_TARIFF_B_COLDVSNA_DEL_HL_FLAG_DIFF_COLUMN_MARKER">'ХВС. Т-тех'!$P$34</definedName>
    <definedName name="COLDVSNA_TARIFF_B_COLDVSNA_DEL_HL_GC_COLUMN_MARKER">'ХВС. Т-тех'!$Q$34</definedName>
    <definedName name="COLDVSNA_TARIFF_B_COLDVSNA_DELETE_PERIOD_ROW_MARKER">'ХВС. Т-тех'!$O$35</definedName>
    <definedName name="COLDVSNA_TARIFF_B_COLDVSNA_FLAG_BLOCK_COLUMN_MARKER">'ХВС. Т-тех'!$L$36</definedName>
    <definedName name="COLDVSNA_TARIFF_B_COLDVSNA_FLAG_BLOCK_ROW_MARKER">'ХВС. Т-тех'!$O$20</definedName>
    <definedName name="COLDVSNA_TARIFF_B_COLDVSNA_NUM_CS_COLUMN_MARKER">'ХВС. Т-тех'!$G$36</definedName>
    <definedName name="COLDVSNA_TARIFF_B_COLDVSNA_NUM_DATA_DIFF_COLUMN_MARKER">'ХВС. Т-тех'!$K$36</definedName>
    <definedName name="COLDVSNA_TARIFF_B_COLDVSNA_NUM_FLAG_DIFF_COLUMN_MARKER">'ХВС. Т-тех'!$I$36</definedName>
    <definedName name="COLDVSNA_TARIFF_B_COLDVSNA_NUM_GC_COLUMN_MARKER">'ХВС. Т-тех'!$J$36</definedName>
    <definedName name="COLDVSNA_TARIFF_B_COLDVSNA_NUM_NTAR_COLUMN_MARKER">'ХВС. Т-тех'!$E$36</definedName>
    <definedName name="COLDVSNA_TARIFF_B_COLDVSNA_NUM_TER_COLUMN_MARKER">'ХВС. Т-тех'!$F$36</definedName>
    <definedName name="COLDVSNA_TARIFF_C_COLDVSNA_ADD_HL_COLUMN_MARKER">'ХВС. Т-транс'!$T$34</definedName>
    <definedName name="COLDVSNA_TARIFF_C_COLDVSNA_DEL_HL_DATA_DIFF_COLUMN_MARKER">'ХВС. Т-транс'!$R$34</definedName>
    <definedName name="COLDVSNA_TARIFF_C_COLDVSNA_DEL_HL_FLAG_DIFF_COLUMN_MARKER">'ХВС. Т-транс'!$P$34</definedName>
    <definedName name="COLDVSNA_TARIFF_C_COLDVSNA_DEL_HL_GC_COLUMN_MARKER">'ХВС. Т-транс'!$Q$34</definedName>
    <definedName name="COLDVSNA_TARIFF_C_COLDVSNA_DELETE_PERIOD_ROW_MARKER">'ХВС. Т-транс'!$O$35</definedName>
    <definedName name="COLDVSNA_TARIFF_C_COLDVSNA_FLAG_BLOCK_COLUMN_MARKER">'ХВС. Т-транс'!$L$36</definedName>
    <definedName name="COLDVSNA_TARIFF_C_COLDVSNA_FLAG_BLOCK_ROW_MARKER">'ХВС. Т-транс'!$O$20</definedName>
    <definedName name="COLDVSNA_TARIFF_C_COLDVSNA_NUM_CS_COLUMN_MARKER">'ХВС. Т-транс'!$G$36</definedName>
    <definedName name="COLDVSNA_TARIFF_C_COLDVSNA_NUM_DATA_DIFF_COLUMN_MARKER">'ХВС. Т-транс'!$K$36</definedName>
    <definedName name="COLDVSNA_TARIFF_C_COLDVSNA_NUM_FLAG_DIFF_COLUMN_MARKER">'ХВС. Т-транс'!$I$36</definedName>
    <definedName name="COLDVSNA_TARIFF_C_COLDVSNA_NUM_GC_COLUMN_MARKER">'ХВС. Т-транс'!$J$36</definedName>
    <definedName name="COLDVSNA_TARIFF_C_COLDVSNA_NUM_NTAR_COLUMN_MARKER">'ХВС. Т-транс'!$E$36</definedName>
    <definedName name="COLDVSNA_TARIFF_C_COLDVSNA_NUM_TER_COLUMN_MARKER">'ХВС. Т-транс'!$F$36</definedName>
    <definedName name="COLDVSNA_TARIFF_D_COLDVSNA_ADD_HL_COLUMN_MARKER">'ХВС. Т-подвоз'!$T$34</definedName>
    <definedName name="COLDVSNA_TARIFF_D_COLDVSNA_DEL_HL_DATA_DIFF_COLUMN_MARKER">'ХВС. Т-подвоз'!$R$34</definedName>
    <definedName name="COLDVSNA_TARIFF_D_COLDVSNA_DEL_HL_FLAG_DIFF_COLUMN_MARKER">'ХВС. Т-подвоз'!$P$34</definedName>
    <definedName name="COLDVSNA_TARIFF_D_COLDVSNA_DEL_HL_GC_COLUMN_MARKER">'ХВС. Т-подвоз'!$Q$34</definedName>
    <definedName name="COLDVSNA_TARIFF_D_COLDVSNA_DELETE_PERIOD_ROW_MARKER">'ХВС. Т-подвоз'!$O$35</definedName>
    <definedName name="COLDVSNA_TARIFF_D_COLDVSNA_FLAG_BLOCK_COLUMN_MARKER">'ХВС. Т-подвоз'!$L$36</definedName>
    <definedName name="COLDVSNA_TARIFF_D_COLDVSNA_FLAG_BLOCK_ROW_MARKER">'ХВС. Т-подвоз'!$O$20</definedName>
    <definedName name="COLDVSNA_TARIFF_D_COLDVSNA_NUM_CS_COLUMN_MARKER">'ХВС. Т-подвоз'!$G$36</definedName>
    <definedName name="COLDVSNA_TARIFF_D_COLDVSNA_NUM_DATA_DIFF_COLUMN_MARKER">'ХВС. Т-подвоз'!$K$36</definedName>
    <definedName name="COLDVSNA_TARIFF_D_COLDVSNA_NUM_FLAG_DIFF_COLUMN_MARKER">'ХВС. Т-подвоз'!$I$36</definedName>
    <definedName name="COLDVSNA_TARIFF_D_COLDVSNA_NUM_GC_COLUMN_MARKER">'ХВС. Т-подвоз'!$J$36</definedName>
    <definedName name="COLDVSNA_TARIFF_D_COLDVSNA_NUM_NTAR_COLUMN_MARKER">'ХВС. Т-подвоз'!$E$36</definedName>
    <definedName name="COLDVSNA_TARIFF_D_COLDVSNA_NUM_TER_COLUMN_MARKER">'ХВС. Т-подвоз'!$F$36</definedName>
    <definedName name="COLDVSNA_TARIFF_E_COLDVSNA_ADD_HL_COLUMN_MARKER">'ХВС. Т-подкл'!$T$38</definedName>
    <definedName name="COLDVSNA_TARIFF_E_COLDVSNA_ADD_HL_DIAMETERS_COLUMN_MARKER">'ХВС. Т-подкл'!$AK$38</definedName>
    <definedName name="COLDVSNA_TARIFF_E_COLDVSNA_ADD_HL_LEN_COLUMN_MARKER">'ХВС. Т-подкл'!$AO$38</definedName>
    <definedName name="COLDVSNA_TARIFF_E_COLDVSNA_ADD_HL_LOAD_COLUMN_MARKER">'ХВС. Т-подкл'!$AG$38</definedName>
    <definedName name="COLDVSNA_TARIFF_E_COLDVSNA_ADD_HL_NETS_COLUMN_MARKER">'ХВС. Т-подкл'!$AS$38</definedName>
    <definedName name="COLDVSNA_TARIFF_E_COLDVSNA_DEL_HL_DATA_DIFF_COLUMN_MARKER">'ХВС. Т-подкл'!$R$38</definedName>
    <definedName name="COLDVSNA_TARIFF_E_COLDVSNA_DEL_HL_DIAMETERS_COLUMN_MARKER">'ХВС. Т-подкл'!$AI$38</definedName>
    <definedName name="COLDVSNA_TARIFF_E_COLDVSNA_DEL_HL_FLAG_DIFF_COLUMN_MARKER">'ХВС. Т-подкл'!$P$38</definedName>
    <definedName name="COLDVSNA_TARIFF_E_COLDVSNA_DEL_HL_GC_COLUMN_MARKER">'ХВС. Т-подкл'!$Q$38</definedName>
    <definedName name="COLDVSNA_TARIFF_E_COLDVSNA_DEL_HL_LEN_COLUMN_MARKER">'ХВС. Т-подкл'!$AM$38</definedName>
    <definedName name="COLDVSNA_TARIFF_E_COLDVSNA_DEL_HL_LOAD_COLUMN_MARKER">'ХВС. Т-подкл'!$AE$38</definedName>
    <definedName name="COLDVSNA_TARIFF_E_COLDVSNA_DEL_HL_NETS_COLUMN_MARKER">'ХВС. Т-подкл'!$AQ$38</definedName>
    <definedName name="COLDVSNA_TARIFF_E_COLDVSNA_DELETE_PERIOD_ROW_MARKER">'ХВС. Т-подкл'!$O$39</definedName>
    <definedName name="COLDVSNA_TARIFF_E_COLDVSNA_FLAG_BLOCK_COLUMN_MARKER">'ХВС. Т-подкл'!$L$44</definedName>
    <definedName name="COLDVSNA_TARIFF_E_COLDVSNA_FLAG_BLOCK_ROW_MARKER">'ХВС. Т-подкл'!$O$24</definedName>
    <definedName name="COLDVSNA_TARIFF_E_COLDVSNA_NUM_CS_COLUMN_MARKER">'ХВС. Т-подкл'!$G$44</definedName>
    <definedName name="COLDVSNA_TARIFF_E_COLDVSNA_NUM_DATA_DIFF_COLUMN_MARKER">'ХВС. Т-подкл'!$K$44</definedName>
    <definedName name="COLDVSNA_TARIFF_E_COLDVSNA_NUM_DIAMETERS_COLUMN_MARKER">'ХВС. Т-подкл'!$AJ$38</definedName>
    <definedName name="COLDVSNA_TARIFF_E_COLDVSNA_NUM_FLAG_DIFF_COLUMN_MARKER">'ХВС. Т-подкл'!$I$44</definedName>
    <definedName name="COLDVSNA_TARIFF_E_COLDVSNA_NUM_GC_COLUMN_MARKER">'ХВС. Т-подкл'!$J$44</definedName>
    <definedName name="COLDVSNA_TARIFF_E_COLDVSNA_NUM_LEN_COLUMN_MARKER">'ХВС. Т-подкл'!$AN$38</definedName>
    <definedName name="COLDVSNA_TARIFF_E_COLDVSNA_NUM_LOAD_COLUMN_MARKER">'ХВС. Т-подкл'!$AF$38</definedName>
    <definedName name="COLDVSNA_TARIFF_E_COLDVSNA_NUM_NETS_COLUMN_MARKER">'ХВС. Т-подкл'!$AR$38</definedName>
    <definedName name="COLDVSNA_TARIFF_E_COLDVSNA_NUM_NTAR_COLUMN_MARKER">'ХВС. Т-подкл'!$E$44</definedName>
    <definedName name="COLDVSNA_TARIFF_E_COLDVSNA_NUM_TER_COLUMN_MARKER">'ХВС. Т-подкл'!$F$44</definedName>
    <definedName name="cross_without_borders">TEHSHEET!$J$27</definedName>
    <definedName name="CS_ID">TEHSHEET!$E$63</definedName>
    <definedName name="CURRENT_DATE">TEHSHEET!$H$29</definedName>
    <definedName name="DATA_URL">TEHSHEET!$H$32</definedName>
    <definedName name="DIFFERENTIATION_AREA">Дифференциация!$I$12:$I$43</definedName>
    <definedName name="DIFFERENTIATION_AREA_ID">Дифференциация!$U$11:$U$44</definedName>
    <definedName name="DIFFERENTIATION_CheckC">Дифференциация!$D$12:$M$43</definedName>
    <definedName name="DIFFERENTIATION_fieldMarker">Дифференциация!$W$12:$W$43</definedName>
    <definedName name="DIFFERENTIATION_ID">TEHSHEET!$E$57</definedName>
    <definedName name="DIFFERENTIATION_ID_DIFF">Дифференциация!$O$12:$O$43</definedName>
    <definedName name="DIFFERENTIATION_SYSTEM">Дифференциация!$M$12:$M$43</definedName>
    <definedName name="DIFFERENTIATION_TARIFF_AREA_ID">'Перечень тарифов'!$Z$12:$Z$122</definedName>
    <definedName name="DIFFERENTIATION_TARIFF_VD_ID">'Перечень тарифов'!$AB$12:$AB$122</definedName>
    <definedName name="DIFFERENTIATION_TARIFF_VTAR_ID">'Перечень тарифов'!$AA$12:$AA$122</definedName>
    <definedName name="DIFFERENTIATION_TKO_ADD_HL_CLASS_TKO_COLUMN_MARKER">'Дифференциация тариф показатель'!$AH$7</definedName>
    <definedName name="DIFFERENTIATION_TKO_ADD_HL_NTAR_COLUMN_MARKER">'Дифференциация тариф показатель'!$J$7</definedName>
    <definedName name="DIFFERENTIATION_TKO_ADD_HL_TER_COLUMN_MARKER">'Дифференциация тариф показатель'!$V$7</definedName>
    <definedName name="DIFFERENTIATION_TKO_ADD_HL_TO_COLUMN_MARKER">'Дифференциация тариф показатель'!$P$7</definedName>
    <definedName name="DIFFERENTIATION_TKO_ADD_HL_TYPE_TKO_COLUMN_MARKER">'Дифференциация тариф показатель'!$AB$7</definedName>
    <definedName name="DIFFERENTIATION_TKO_ADD_HL_VTAR_COLUMN_MARKER">'Дифференциация тариф показатель'!$F$7</definedName>
    <definedName name="DIFFERENTIATION_TKO_AREA_ID">'Дифференциация тариф показатель'!$AK$11:$AK$41</definedName>
    <definedName name="DIFFERENTIATION_TKO_DEL_HL_CLASS_TKO_COLUMN_MARKER">'Дифференциация тариф показатель'!$AF$7</definedName>
    <definedName name="DIFFERENTIATION_TKO_DEL_HL_NTAR_COLUMN_MARKER">'Дифференциация тариф показатель'!$H$7</definedName>
    <definedName name="DIFFERENTIATION_TKO_DEL_HL_TER_COLUMN_MARKER">'Дифференциация тариф показатель'!$T$7</definedName>
    <definedName name="DIFFERENTIATION_TKO_DEL_HL_TO_COLUMN_MARKER">'Дифференциация тариф показатель'!$N$7</definedName>
    <definedName name="DIFFERENTIATION_TKO_DEL_HL_TYPE_TKO_COLUMN_MARKER">'Дифференциация тариф показатель'!$Z$7</definedName>
    <definedName name="DIFFERENTIATION_TKO_FLAG_DIFF_CLASS_TKO_ETC_COLUMN_MARKER">'Дифференциация тариф показатель'!$AE$7</definedName>
    <definedName name="DIFFERENTIATION_TKO_FLAG_DIFF_CLASS_TKO_TARIFF_COLUMN_MARKER">'Дифференциация тариф показатель'!$AD$7</definedName>
    <definedName name="DIFFERENTIATION_TKO_FLAG_DIFF_TER_ETC_COLUMN_MARKER">'Дифференциация тариф показатель'!$S$7</definedName>
    <definedName name="DIFFERENTIATION_TKO_FLAG_DIFF_TER_TARIFF_COLUMN_MARKER">'Дифференциация тариф показатель'!$R$7</definedName>
    <definedName name="DIFFERENTIATION_TKO_FLAG_DIFF_TO_ETC_COLUMN_MARKER">'Дифференциация тариф показатель'!$M$7</definedName>
    <definedName name="DIFFERENTIATION_TKO_FLAG_DIFF_TO_TARIFF_COLUMN_MARKER">'Дифференциация тариф показатель'!$L$7</definedName>
    <definedName name="DIFFERENTIATION_TKO_FLAG_DIFF_TYPE_TKO_ETC_COLUMN_MARKER">'Дифференциация тариф показатель'!$Y$7</definedName>
    <definedName name="DIFFERENTIATION_TKO_FLAG_DIFF_TYPE_TKO_TARIFF_COLUMN_MARKER">'Дифференциация тариф показатель'!$X$7</definedName>
    <definedName name="DIFFERENTIATION_TKO_FLAG_VTAR_COLUMN_MARKER">'Дифференциация тариф показатель'!$G$7</definedName>
    <definedName name="DIFFERENTIATION_TKO_TER_ID">'Дифференциация тариф показатель'!$AL$11:$AL$41</definedName>
    <definedName name="DIFFERENTIATION_UNMERGE_AREA">Дифференциация!$Q$12:$Q$43</definedName>
    <definedName name="DIFFERENTIATION_UNMERGE_SYSTEM">Дифференциация!$R$12:$R$43</definedName>
    <definedName name="DIFFERENTIATION_UNMERGE_VD">Дифференциация!$P$12:$P$43</definedName>
    <definedName name="DIFFERENTIATION_VD">Дифференциация!$E$12:$E$43</definedName>
    <definedName name="DIFFERENTIATION_VD_ID">Дифференциация!$V$11:$V$44</definedName>
    <definedName name="ED_DATE">ЭД!$G$12:$G$13</definedName>
    <definedName name="ED_DATE_PARKING">ЭД!$I$5</definedName>
    <definedName name="ED_LINK">ЭД!$H$12:$H$13</definedName>
    <definedName name="EndDateList">TEHSHEET!$H$46:$H$53</definedName>
    <definedName name="et_B_FHD20_1_HEAT">et_union_hor!$115:$123</definedName>
    <definedName name="et_B_FHD20_1_NOT_HEAT">et_union_hor!$103:$111</definedName>
    <definedName name="et_B_FHD20_2">et_union_hor!$127:$130</definedName>
    <definedName name="et_B_FHD20_3">et_union_hor!$135:$136</definedName>
    <definedName name="et_B_FHD20_4">et_union_hor!$138:$138</definedName>
    <definedName name="et_CHANGE_INFO">et_union_hor!$4:$4</definedName>
    <definedName name="et_COLDVSNA_TARIFF_A_COLDVSNA_CS">'ХВС. Т-пит'!$4:$11</definedName>
    <definedName name="et_COLDVSNA_TARIFF_A_COLDVSNA_DATA_DIFF">'ХВС. Т-пит'!$7:$8</definedName>
    <definedName name="et_COLDVSNA_TARIFF_A_COLDVSNA_FLAG_DIFF">'ХВС. Т-пит'!$5:$10</definedName>
    <definedName name="et_COLDVSNA_TARIFF_A_COLDVSNA_GC">'ХВС. Т-пит'!$6:$9</definedName>
    <definedName name="et_COLDVSNA_TARIFF_A_COLDVSNA_NTAR">'ХВС. Т-пит'!$2:$13</definedName>
    <definedName name="et_COLDVSNA_TARIFF_A_COLDVSNA_PERIOD_COLOR">'ХВС. Т-пит'!$AC$7:$AI$8</definedName>
    <definedName name="et_COLDVSNA_TARIFF_A_COLDVSNA_PERIOD_NOT_COLOR">'ХВС. Т-пит'!$AC$15:$AI$16</definedName>
    <definedName name="et_COLDVSNA_TARIFF_A_COLDVSNA_TER">'ХВС. Т-пит'!$3:$12</definedName>
    <definedName name="et_COLDVSNA_TARIFF_A_COLDVSNA_TN">'ХВС. Т-пит'!$7:$8</definedName>
    <definedName name="et_COLDVSNA_TARIFF_B_COLDVSNA_CS">'ХВС. Т-тех'!$4:$11</definedName>
    <definedName name="et_COLDVSNA_TARIFF_B_COLDVSNA_DATA_DIFF">'ХВС. Т-тех'!$7:$8</definedName>
    <definedName name="et_COLDVSNA_TARIFF_B_COLDVSNA_FLAG_DIFF">'ХВС. Т-тех'!$5:$10</definedName>
    <definedName name="et_COLDVSNA_TARIFF_B_COLDVSNA_GC">'ХВС. Т-тех'!$6:$9</definedName>
    <definedName name="et_COLDVSNA_TARIFF_B_COLDVSNA_NTAR">'ХВС. Т-тех'!$2:$13</definedName>
    <definedName name="et_COLDVSNA_TARIFF_B_COLDVSNA_PERIOD_COLOR">'ХВС. Т-тех'!$AC$7:$AI$8</definedName>
    <definedName name="et_COLDVSNA_TARIFF_B_COLDVSNA_PERIOD_NOT_COLOR">'ХВС. Т-тех'!$AC$15:$AI$16</definedName>
    <definedName name="et_COLDVSNA_TARIFF_B_COLDVSNA_TER">'ХВС. Т-тех'!$3:$12</definedName>
    <definedName name="et_COLDVSNA_TARIFF_C_COLDVSNA_CS">'ХВС. Т-транс'!$4:$11</definedName>
    <definedName name="et_COLDVSNA_TARIFF_C_COLDVSNA_DATA_DIFF">'ХВС. Т-транс'!$7:$8</definedName>
    <definedName name="et_COLDVSNA_TARIFF_C_COLDVSNA_FLAG_DIFF">'ХВС. Т-транс'!$5:$10</definedName>
    <definedName name="et_COLDVSNA_TARIFF_C_COLDVSNA_GC">'ХВС. Т-транс'!$6:$9</definedName>
    <definedName name="et_COLDVSNA_TARIFF_C_COLDVSNA_NTAR">'ХВС. Т-транс'!$2:$13</definedName>
    <definedName name="et_COLDVSNA_TARIFF_C_COLDVSNA_PERIOD_COLOR">'ХВС. Т-транс'!$AC$7:$AI$8</definedName>
    <definedName name="et_COLDVSNA_TARIFF_C_COLDVSNA_PERIOD_NOT_COLOR">'ХВС. Т-транс'!$AC$15:$AI$16</definedName>
    <definedName name="et_COLDVSNA_TARIFF_C_COLDVSNA_TER">'ХВС. Т-транс'!$3:$12</definedName>
    <definedName name="et_COLDVSNA_TARIFF_D_COLDVSNA_CS">'ХВС. Т-подвоз'!$4:$11</definedName>
    <definedName name="et_COLDVSNA_TARIFF_D_COLDVSNA_DATA_DIFF">'ХВС. Т-подвоз'!$7:$8</definedName>
    <definedName name="et_COLDVSNA_TARIFF_D_COLDVSNA_FLAG_DIFF">'ХВС. Т-подвоз'!$5:$10</definedName>
    <definedName name="et_COLDVSNA_TARIFF_D_COLDVSNA_GC">'ХВС. Т-подвоз'!$6:$9</definedName>
    <definedName name="et_COLDVSNA_TARIFF_D_COLDVSNA_NTAR">'ХВС. Т-подвоз'!$2:$13</definedName>
    <definedName name="et_COLDVSNA_TARIFF_D_COLDVSNA_PERIOD_COLOR">'ХВС. Т-подвоз'!$AC$7:$AI$8</definedName>
    <definedName name="et_COLDVSNA_TARIFF_D_COLDVSNA_PERIOD_NOT_COLOR">'ХВС. Т-подвоз'!$AC$15:$AI$16</definedName>
    <definedName name="et_COLDVSNA_TARIFF_D_COLDVSNA_TER">'ХВС. Т-подвоз'!$3:$12</definedName>
    <definedName name="et_COLDVSNA_TARIFF_E_COLDVSNA_CS">'ХВС. Т-подкл'!$4:$16</definedName>
    <definedName name="et_COLDVSNA_TARIFF_E_COLDVSNA_DATA_DIFF">'ХВС. Т-подкл'!$8:$12</definedName>
    <definedName name="et_COLDVSNA_TARIFF_E_COLDVSNA_DIAMETERS">'ХВС. Т-подкл'!$8:$10</definedName>
    <definedName name="et_COLDVSNA_TARIFF_E_COLDVSNA_FLAG_DIFF">'ХВС. Т-подкл'!$6:$14</definedName>
    <definedName name="et_COLDVSNA_TARIFF_E_COLDVSNA_GC">'ХВС. Т-подкл'!$7:$13</definedName>
    <definedName name="et_COLDVSNA_TARIFF_E_COLDVSNA_LEN">'ХВС. Т-подкл'!$8:$9</definedName>
    <definedName name="et_COLDVSNA_TARIFF_E_COLDVSNA_LOAD">'ХВС. Т-подкл'!$8:$11</definedName>
    <definedName name="et_COLDVSNA_TARIFF_E_COLDVSNA_NETS">'ХВС. Т-подкл'!$8:$8</definedName>
    <definedName name="et_COLDVSNA_TARIFF_E_COLDVSNA_NTAR">'ХВС. Т-подкл'!$2:$18</definedName>
    <definedName name="et_COLDVSNA_TARIFF_E_COLDVSNA_PERIOD_COLOR">'ХВС. Т-подкл'!$AT$8:$BA$8</definedName>
    <definedName name="et_COLDVSNA_TARIFF_E_COLDVSNA_PERIOD_NOT_COLOR">'ХВС. Т-подкл'!$AT$20:$BA$20</definedName>
    <definedName name="et_COLDVSNA_TARIFF_E_COLDVSNA_TER">'ХВС. Т-подкл'!$3:$17</definedName>
    <definedName name="et_Comm">et_union_hor!$8:$8</definedName>
    <definedName name="et_DIFFERENTIATION_AREA">et_union_hor!$25:$26</definedName>
    <definedName name="et_DIFFERENTIATION_SYSTEM">et_union_hor!$30:$30</definedName>
    <definedName name="et_DIFFERENTIATION_TARIFF_COLOR">et_union_hor!$H$142:$W$146</definedName>
    <definedName name="et_DIFFERENTIATION_TARIFF_CS">et_union_hor!$157:$158</definedName>
    <definedName name="et_DIFFERENTIATION_TARIFF_IST_TE">et_union_hor!$160:$160</definedName>
    <definedName name="et_DIFFERENTIATION_TARIFF_NOT_COLOR">et_union_hor!$H$182:$W$186</definedName>
    <definedName name="et_DIFFERENTIATION_TARIFF_NOT_HEAT_COLOR">et_union_hor!$H$164:$W$168</definedName>
    <definedName name="et_DIFFERENTIATION_TARIFF_NOT_HEAT_CS">et_union_hor!$179:$180</definedName>
    <definedName name="et_DIFFERENTIATION_TARIFF_NOT_HEAT_NTAR">et_union_hor!$170:$173</definedName>
    <definedName name="et_DIFFERENTIATION_TARIFF_NOT_HEAT_TER">et_union_hor!$175:$177</definedName>
    <definedName name="et_DIFFERENTIATION_TARIFF_NOT_HEAT_VTAR">et_union_hor!$164:$168</definedName>
    <definedName name="et_DIFFERENTIATION_TARIFF_NTAR">et_union_hor!$148:$151</definedName>
    <definedName name="et_DIFFERENTIATION_TARIFF_TER">et_union_hor!$153:$155</definedName>
    <definedName name="et_DIFFERENTIATION_TARIFF_VTAR">et_union_hor!$142:$146</definedName>
    <definedName name="et_DIFFERENTIATION_TKO_CLASS_TKO">et_union_hor!$190:$190</definedName>
    <definedName name="et_DIFFERENTIATION_TKO_COLOR">et_union_hor!$H$190:$AI$195</definedName>
    <definedName name="et_DIFFERENTIATION_TKO_NOT_COLOR">et_union_hor!$H$197:$AI$202</definedName>
    <definedName name="et_DIFFERENTIATION_TKO_NTAR">et_union_hor!$190:$194</definedName>
    <definedName name="et_DIFFERENTIATION_TKO_TER">et_union_hor!$190:$192</definedName>
    <definedName name="et_DIFFERENTIATION_TKO_TO">et_union_hor!$190:$193</definedName>
    <definedName name="et_DIFFERENTIATION_TKO_TYPE_TKO">et_union_hor!$190:$191</definedName>
    <definedName name="et_DIFFERENTIATION_TKO_VTAR">et_union_hor!$190:$195</definedName>
    <definedName name="et_DIFFERENTIATION_VD">et_union_hor!$19:$21</definedName>
    <definedName name="et_ED">et_union_hor!$52:$52</definedName>
    <definedName name="et_HEAT_TARIFF_A_CS">'ТС. Т-ТЭ | &gt;=25МВт'!$4:$13</definedName>
    <definedName name="et_HEAT_TARIFF_A_GC">'ТС. Т-ТЭ | &gt;=25МВт'!$7:$10</definedName>
    <definedName name="et_HEAT_TARIFF_A_IST_TE">'ТС. Т-ТЭ | &gt;=25МВт'!$5:$12</definedName>
    <definedName name="et_HEAT_TARIFF_A_NTAR">'ТС. Т-ТЭ | &gt;=25МВт'!$2:$15</definedName>
    <definedName name="et_HEAT_TARIFF_A_PERIOD_COLOR">'ТС. Т-ТЭ | &gt;=25МВт'!$AD$8:$AK$9</definedName>
    <definedName name="et_HEAT_TARIFF_A_PERIOD_NOT_COLOR">'ТС. Т-ТЭ | &gt;=25МВт'!$AD$17:$AK$18</definedName>
    <definedName name="et_HEAT_TARIFF_A_SCHEME">'ТС. Т-ТЭ | &gt;=25МВт'!$6:$11</definedName>
    <definedName name="et_HEAT_TARIFF_A_TER">'ТС. Т-ТЭ | &gt;=25МВт'!$3:$14</definedName>
    <definedName name="et_HEAT_TARIFF_A_TN">'ТС. Т-ТЭ | &gt;=25МВт'!$8:$9</definedName>
    <definedName name="et_HEAT_TARIFF_B_CS">'ТС. Т-ТЭ | ТСО'!$4:$13</definedName>
    <definedName name="et_HEAT_TARIFF_B_GC">'ТС. Т-ТЭ | ТСО'!$7:$10</definedName>
    <definedName name="et_HEAT_TARIFF_B_IST_TE">'ТС. Т-ТЭ | ТСО'!$5:$12</definedName>
    <definedName name="et_HEAT_TARIFF_B_NTAR">'ТС. Т-ТЭ | ТСО'!$2:$15</definedName>
    <definedName name="et_HEAT_TARIFF_B_PERIOD_COLOR">'ТС. Т-ТЭ | ТСО'!$AD$8:$AK$9</definedName>
    <definedName name="et_HEAT_TARIFF_B_PERIOD_NOT_COLOR">'ТС. Т-ТЭ | ТСО'!$AD$17:$AK$18</definedName>
    <definedName name="et_HEAT_TARIFF_B_SCHEME">'ТС. Т-ТЭ | ТСО'!$6:$11</definedName>
    <definedName name="et_HEAT_TARIFF_B_TER">'ТС. Т-ТЭ | ТСО'!$3:$14</definedName>
    <definedName name="et_HEAT_TARIFF_B_TN">'ТС. Т-ТЭ | ТСО'!$8:$9</definedName>
    <definedName name="et_HEAT_TARIFF_C_CS">'ТС. Т-ТН'!$4:$13</definedName>
    <definedName name="et_HEAT_TARIFF_C_GC">'ТС. Т-ТН'!$7:$10</definedName>
    <definedName name="et_HEAT_TARIFF_C_IST_TE">'ТС. Т-ТН'!$5:$12</definedName>
    <definedName name="et_HEAT_TARIFF_C_NTAR">'ТС. Т-ТН'!$2:$15</definedName>
    <definedName name="et_HEAT_TARIFF_C_PERIOD_COLOR">'ТС. Т-ТН'!$AD$8:$AK$9</definedName>
    <definedName name="et_HEAT_TARIFF_C_PERIOD_NOT_COLOR">'ТС. Т-ТН'!$AD$17:$AK$18</definedName>
    <definedName name="et_HEAT_TARIFF_C_SCHEME">'ТС. Т-ТН'!$6:$11</definedName>
    <definedName name="et_HEAT_TARIFF_C_TER">'ТС. Т-ТН'!$3:$14</definedName>
    <definedName name="et_HEAT_TARIFF_C_TN">'ТС. Т-ТН'!$8:$9</definedName>
    <definedName name="et_HEAT_TARIFF_D_CONS">'ТС. Т-гор.вода'!$9:$10</definedName>
    <definedName name="et_HEAT_TARIFF_D_CS">'ТС. Т-гор.вода'!$4:$15</definedName>
    <definedName name="et_HEAT_TARIFF_D_GC">'ТС. Т-гор.вода'!$7:$12</definedName>
    <definedName name="et_HEAT_TARIFF_D_IST_TE">'ТС. Т-гор.вода'!$5:$14</definedName>
    <definedName name="et_HEAT_TARIFF_D_NTAR">'ТС. Т-гор.вода'!$2:$17</definedName>
    <definedName name="et_HEAT_TARIFF_D_PERIOD_COLOR">'ТС. Т-гор.вода'!$AG$8:$AO$10</definedName>
    <definedName name="et_HEAT_TARIFF_D_PERIOD_NOT_COLOR">'ТС. Т-гор.вода'!$AG$19:$AO$22</definedName>
    <definedName name="et_HEAT_TARIFF_D_SCHEME">'ТС. Т-гор.вода'!$6:$13</definedName>
    <definedName name="et_HEAT_TARIFF_D_TER">'ТС. Т-гор.вода'!$3:$16</definedName>
    <definedName name="et_HEAT_TARIFF_D_TN">'ТС. Т-гор.вода'!$8:$11</definedName>
    <definedName name="et_HEAT_TARIFF_E1_CS">'ТС. Т-передача ТЭ'!$4:$13</definedName>
    <definedName name="et_HEAT_TARIFF_E1_GC">'ТС. Т-передача ТЭ'!$7:$10</definedName>
    <definedName name="et_HEAT_TARIFF_E1_IST_TE">'ТС. Т-передача ТЭ'!$5:$12</definedName>
    <definedName name="et_HEAT_TARIFF_E1_NTAR">'ТС. Т-передача ТЭ'!$2:$15</definedName>
    <definedName name="et_HEAT_TARIFF_E1_PERIOD_COLOR">'ТС. Т-передача ТЭ'!$AD$8:$AK$9</definedName>
    <definedName name="et_HEAT_TARIFF_E1_PERIOD_NOT_COLOR">'ТС. Т-передача ТЭ'!$AD$17:$AK$18</definedName>
    <definedName name="et_HEAT_TARIFF_E1_SCHEME">'ТС. Т-передача ТЭ'!$6:$11</definedName>
    <definedName name="et_HEAT_TARIFF_E1_TER">'ТС. Т-передача ТЭ'!$3:$14</definedName>
    <definedName name="et_HEAT_TARIFF_E1_TN">'ТС. Т-передача ТЭ'!$8:$9</definedName>
    <definedName name="et_HEAT_TARIFF_E2_CS">'ТС. Т-передача ТН'!$4:$13</definedName>
    <definedName name="et_HEAT_TARIFF_E2_GC">'ТС. Т-передача ТН'!$7:$10</definedName>
    <definedName name="et_HEAT_TARIFF_E2_IST_TE">'ТС. Т-передача ТН'!$5:$12</definedName>
    <definedName name="et_HEAT_TARIFF_E2_NTAR">'ТС. Т-передача ТН'!$2:$15</definedName>
    <definedName name="et_HEAT_TARIFF_E2_PERIOD_COLOR">'ТС. Т-передача ТН'!$AD$8:$AK$9</definedName>
    <definedName name="et_HEAT_TARIFF_E2_PERIOD_NOT_COLOR">'ТС. Т-передача ТН'!$AD$17:$AK$18</definedName>
    <definedName name="et_HEAT_TARIFF_E2_SCHEME">'ТС. Т-передача ТН'!$6:$11</definedName>
    <definedName name="et_HEAT_TARIFF_E2_TER">'ТС. Т-передача ТН'!$3:$14</definedName>
    <definedName name="et_HEAT_TARIFF_E2_TN">'ТС. Т-передача ТН'!$8:$9</definedName>
    <definedName name="et_HEAT_TARIFF_F_CS">'ТС. Резерв мощности'!$4:$13</definedName>
    <definedName name="et_HEAT_TARIFF_F_GC">'ТС. Резерв мощности'!$7:$10</definedName>
    <definedName name="et_HEAT_TARIFF_F_IST_TE">'ТС. Резерв мощности'!$5:$12</definedName>
    <definedName name="et_HEAT_TARIFF_F_NTAR">'ТС. Резерв мощности'!$2:$15</definedName>
    <definedName name="et_HEAT_TARIFF_F_PERIOD_COLOR">'ТС. Резерв мощности'!$AD$8:$AK$9</definedName>
    <definedName name="et_HEAT_TARIFF_F_PERIOD_NOT_COLOR">'ТС. Резерв мощности'!$AD$17:$AK$18</definedName>
    <definedName name="et_HEAT_TARIFF_F_SCHEME">'ТС. Резерв мощности'!$6:$11</definedName>
    <definedName name="et_HEAT_TARIFF_F_TER">'ТС. Резерв мощности'!$3:$14</definedName>
    <definedName name="et_HEAT_TARIFF_F_TN">'ТС. Резерв мощности'!$8:$9</definedName>
    <definedName name="et_HEAT_TARIFF_G_CS">'ТС. Т-подкл'!$4:$15</definedName>
    <definedName name="et_HEAT_TARIFF_G_DIAMETERS">'ТС. Т-подкл'!$8:$8</definedName>
    <definedName name="et_HEAT_TARIFF_G_GC">'ТС. Т-подкл'!$7:$12</definedName>
    <definedName name="et_HEAT_TARIFF_G_IST_TE">'ТС. Т-подкл'!$5:$14</definedName>
    <definedName name="et_HEAT_TARIFF_G_LOAD">'ТС. Т-подкл'!$8:$10</definedName>
    <definedName name="et_HEAT_TARIFF_G_NETS">'ТС. Т-подкл'!$8:$9</definedName>
    <definedName name="et_HEAT_TARIFF_G_NTAR">'ТС. Т-подкл'!$2:$17</definedName>
    <definedName name="et_HEAT_TARIFF_G_PERIOD_COLOR">'ТС. Т-подкл'!$AN$8:$AS$8</definedName>
    <definedName name="et_HEAT_TARIFF_G_PERIOD_NOT_COLOR">'ТС. Т-подкл'!$AN$19:$AS$19</definedName>
    <definedName name="et_HEAT_TARIFF_G_SCHEME">'ТС. Т-подкл'!$6:$13</definedName>
    <definedName name="et_HEAT_TARIFF_G_TER">'ТС. Т-подкл'!$3:$16</definedName>
    <definedName name="et_HEAT_TARIFF_G_TN">'ТС. Т-подкл'!$8:$11</definedName>
    <definedName name="et_hor_B_FHD_1">'Показатели ФХД'!$2:$7</definedName>
    <definedName name="et_hor_B_FHD_2">'Показатели ФХД'!$9:$9</definedName>
    <definedName name="et_hor_B_FHD_3">'Показатели ФХД'!$11:$11</definedName>
    <definedName name="et_hor_B_FHD_4">'Показатели ФХД'!$13:$13</definedName>
    <definedName name="et_hor_B_FHD_5">'Показатели ФХД'!$15:$15</definedName>
    <definedName name="et_hor_B_FHD_6">'Показатели ФХД'!$17:$17</definedName>
    <definedName name="et_hor_B_FHD_TKO_2">'ТКО. Показатели ФХД'!$2:$2</definedName>
    <definedName name="et_hor_B_FHD_TKO_TRANS_2">'ТКО. Транс. Показатели ФХД'!$2:$2</definedName>
    <definedName name="et_hor_Q_LIMIT_1">Ограничения!$3:$4</definedName>
    <definedName name="et_hor_Q_LIMIT_2">Ограничения!$6:$7</definedName>
    <definedName name="et_hor_Q_LIMIT_3">Ограничения!$9:$11</definedName>
    <definedName name="et_hor_Q_LIMIT_4">Ограничения!$13:$14</definedName>
    <definedName name="et_hor_Q_TP_1">ТП!$2:$2</definedName>
    <definedName name="et_HOTVSNA_TARIFF_A_HOTVSNA_CS">'ГВС. Т-гор.вода'!$4:$11</definedName>
    <definedName name="et_HOTVSNA_TARIFF_A_HOTVSNA_DATA_DIFF">'ГВС. Т-гор.вода'!$7:$8</definedName>
    <definedName name="et_HOTVSNA_TARIFF_A_HOTVSNA_FLAG_DIFF">'ГВС. Т-гор.вода'!$5:$10</definedName>
    <definedName name="et_HOTVSNA_TARIFF_A_HOTVSNA_GC">'ГВС. Т-гор.вода'!$6:$9</definedName>
    <definedName name="et_HOTVSNA_TARIFF_A_HOTVSNA_NTAR">'ГВС. Т-гор.вода'!$2:$13</definedName>
    <definedName name="et_HOTVSNA_TARIFF_A_HOTVSNA_PERIOD_COLOR">'ГВС. Т-гор.вода'!$AC$7:$AI$8</definedName>
    <definedName name="et_HOTVSNA_TARIFF_A_HOTVSNA_PERIOD_NOT_COLOR">'ГВС. Т-гор.вода'!$AC$15:$AI$16</definedName>
    <definedName name="et_HOTVSNA_TARIFF_A_HOTVSNA_TER">'ГВС. Т-гор.вода'!$3:$12</definedName>
    <definedName name="et_HOTVSNA_TARIFF_A_HOTVSNA_TN">'ГВС. Т-гор.вода'!$7:$8</definedName>
    <definedName name="et_HOTVSNA_TARIFF_B_HOTVSNA_CS">'ГВС. Т-транс'!$4:$11</definedName>
    <definedName name="et_HOTVSNA_TARIFF_B_HOTVSNA_DATA_DIFF">'ГВС. Т-транс'!$7:$8</definedName>
    <definedName name="et_HOTVSNA_TARIFF_B_HOTVSNA_FLAG_DIFF">'ГВС. Т-транс'!$5:$10</definedName>
    <definedName name="et_HOTVSNA_TARIFF_B_HOTVSNA_GC">'ГВС. Т-транс'!$6:$9</definedName>
    <definedName name="et_HOTVSNA_TARIFF_B_HOTVSNA_NTAR">'ГВС. Т-транс'!$2:$13</definedName>
    <definedName name="et_HOTVSNA_TARIFF_B_HOTVSNA_PERIOD_COLOR">'ГВС. Т-транс'!$AC$7:$AI$8</definedName>
    <definedName name="et_HOTVSNA_TARIFF_B_HOTVSNA_PERIOD_NOT_COLOR">'ГВС. Т-транс'!$AC$15:$AI$16</definedName>
    <definedName name="et_HOTVSNA_TARIFF_B_HOTVSNA_TER">'ГВС. Т-транс'!$3:$12</definedName>
    <definedName name="et_HOTVSNA_TARIFF_B_HOTVSNA_TN">'ГВС. Т-транс'!$7:$8</definedName>
    <definedName name="et_HOTVSNA_TARIFF_C_HOTVSNA_CS">'ГВС. Т-подкл'!$4:$16</definedName>
    <definedName name="et_HOTVSNA_TARIFF_C_HOTVSNA_DATA_DIFF">'ГВС. Т-подкл'!$8:$12</definedName>
    <definedName name="et_HOTVSNA_TARIFF_C_HOTVSNA_DIAMETERS">'ГВС. Т-подкл'!$8:$10</definedName>
    <definedName name="et_HOTVSNA_TARIFF_C_HOTVSNA_FLAG_DIFF">'ГВС. Т-подкл'!$6:$14</definedName>
    <definedName name="et_HOTVSNA_TARIFF_C_HOTVSNA_GC">'ГВС. Т-подкл'!$7:$13</definedName>
    <definedName name="et_HOTVSNA_TARIFF_C_HOTVSNA_LEN">'ГВС. Т-подкл'!$8:$9</definedName>
    <definedName name="et_HOTVSNA_TARIFF_C_HOTVSNA_LOAD">'ГВС. Т-подкл'!$8:$11</definedName>
    <definedName name="et_HOTVSNA_TARIFF_C_HOTVSNA_NETS">'ГВС. Т-подкл'!$8:$8</definedName>
    <definedName name="et_HOTVSNA_TARIFF_C_HOTVSNA_NTAR">'ГВС. Т-подкл'!$2:$18</definedName>
    <definedName name="et_HOTVSNA_TARIFF_C_HOTVSNA_PERIOD_COLOR">'ГВС. Т-подкл'!$AT$8:$BA$8</definedName>
    <definedName name="et_HOTVSNA_TARIFF_C_HOTVSNA_PERIOD_NOT_COLOR">'ГВС. Т-подкл'!$AT$20:$BA$20</definedName>
    <definedName name="et_HOTVSNA_TARIFF_C_HOTVSNA_TER">'ГВС. Т-подкл'!$3:$17</definedName>
    <definedName name="et_IP_DETAILED">et_union_hor!$69:$75</definedName>
    <definedName name="et_IP_DETAILED_EVENT">et_union_hor!$89:$93</definedName>
    <definedName name="et_IP_DETAILED_IST_FIN">et_union_hor!$85:$85</definedName>
    <definedName name="et_IP_DETAILED_OBJECT">et_union_hor!$79:$81</definedName>
    <definedName name="et_IP_DETAILED_YEAR">et_union_hor!$70:$75</definedName>
    <definedName name="et_IP_MAIN">et_union_hor!$60:$61</definedName>
    <definedName name="et_IP_MAIN_PROPERTY">et_union_hor!$65:$65</definedName>
    <definedName name="et_IP_QRE">et_union_hor!$97:$99</definedName>
    <definedName name="et_IP_QRE_CLAIM">et_union_hor!$98:$98</definedName>
    <definedName name="et_List02">et_union_hor!$142:$146</definedName>
    <definedName name="et_List02_1_wd">et_union_hor!$182:$185</definedName>
    <definedName name="et_List02_2_wd">et_union_hor!$182:$184</definedName>
    <definedName name="et_List02_3_wd">et_union_hor!$182:$183</definedName>
    <definedName name="et_List02_4_wd">et_union_hor!$182:$182</definedName>
    <definedName name="et_List02_changeColor_1">et_union_hor!$J$142:$J$145</definedName>
    <definedName name="et_List02_changeColor_1_wd">et_union_hor!$J$182:$J$185</definedName>
    <definedName name="et_List02_changeColor_2">et_union_hor!$N$142:$N$144</definedName>
    <definedName name="et_List02_changeColor_2_wd">et_union_hor!$N$182:$N$184</definedName>
    <definedName name="et_List02_changeColor_3">et_union_hor!$R$142:$R$143</definedName>
    <definedName name="et_List02_changeColor_3_wd">et_union_hor!$R$182:$R$183</definedName>
    <definedName name="et_List02_changeColor_4">et_union_hor!$V$142</definedName>
    <definedName name="et_List02_changeColor_4_wd">et_union_hor!$V$182</definedName>
    <definedName name="et_List02_wd">et_union_hor!$182:$186</definedName>
    <definedName name="et_ORG_INFO_1">et_union_hor!$35:$35</definedName>
    <definedName name="et_ORG_INFO_2">et_union_hor!$39:$39</definedName>
    <definedName name="et_ORG_TERRITORY_MO">et_union_hor!$44:$44</definedName>
    <definedName name="et_ORG_TERRITORY_MO_FLAG_INTERNET">et_union_hor!$J$44</definedName>
    <definedName name="et_ORG_TERRITORY_MO_LINK">et_union_hor!$K$44</definedName>
    <definedName name="et_ORG_VD">et_union_hor!$48:$48</definedName>
    <definedName name="et_ORG_VD_COLDVSNA">et_union_hor!$X$48:$Z$48</definedName>
    <definedName name="et_ORG_VD_FIRST_SYSTEM">et_union_hor!$E$48</definedName>
    <definedName name="et_ORG_VD_HEAT">et_union_hor!$H$48:$R$48</definedName>
    <definedName name="et_ORG_VD_HOTVSNA">et_union_hor!$AB$48:$AC$48</definedName>
    <definedName name="et_ORG_VD_TKO_ACTIVITY">'Виды объектов'!$2:$3</definedName>
    <definedName name="et_ORG_VD_TKO_TYPE_OBJECT">'Виды объектов'!$2:$2</definedName>
    <definedName name="et_ORG_VD_VOTV">et_union_hor!$T$48:$V$48</definedName>
    <definedName name="et_P_PROCEDURE_TC_1">'Порядок ТП'!$2:$2</definedName>
    <definedName name="et_P_PROCEDURE_TC_2">'Порядок ТП'!$4:$4</definedName>
    <definedName name="et_P_PROCEDURE_TC_3">'Порядок ТП'!$6:$6</definedName>
    <definedName name="et_P_PROCEDURE_TC_4">'Порядок ТП'!$8:$8</definedName>
    <definedName name="et_P_PROCEDURE_TC_5">'Порядок ТП'!$10:$10</definedName>
    <definedName name="et_P_T_TERMS">et_union_hor!$56:$56</definedName>
    <definedName name="et_Q_TP_DIFFERENTIATION">ТП!$G:$G</definedName>
    <definedName name="et_QRE">et_union_hor!$97:$99</definedName>
    <definedName name="et_QRE_CLAIM">et_union_hor!$98:$98</definedName>
    <definedName name="et_R_B_Purch">'Сведения о закупках'!$2:$2</definedName>
    <definedName name="et_ROIV_CASE_case">'Дела об установлении тарифов'!$2:$2</definedName>
    <definedName name="et_ROIV_INFO_phone">'Орган регулирования'!$2:$2</definedName>
    <definedName name="et_ROIV_ORG_org">'Перечень организаций'!$2:$2</definedName>
    <definedName name="et_ROIV_OTV_DL">'Привлечение к ответственности'!$2:$2</definedName>
    <definedName name="et_ROIV_OTV_org">'Привлечение к ответственности'!$2:$3</definedName>
    <definedName name="et_TERMS">et_union_hor!$56:$56</definedName>
    <definedName name="et_TERRITORY_AREA">et_union_hor!$13:$15</definedName>
    <definedName name="et_TERRITORY_MO">et_union_hor!$14:$14</definedName>
    <definedName name="et_ver_B_FHD_DIFFERENTIATION">'Показатели ФХД'!$H:$H</definedName>
    <definedName name="et_ver_B_FHD_TKO_DIFFERENTIATION">'ТКО. Показатели ФХД'!$H:$H</definedName>
    <definedName name="et_ver_B_FHD_TKO_TRANS_DIFFERENTIATION">'ТКО. Транс. Показатели ФХД'!$H:$H</definedName>
    <definedName name="et_ver_B_KNE_DIFFERENTIATION">'Показатели КНЭ'!$G:$H</definedName>
    <definedName name="et_ver_COLDVSNA_TARIFF_A_COLDVSNA">'ХВС. Т-пит'!$V:$AB</definedName>
    <definedName name="et_ver_COLDVSNA_TARIFF_B_COLDVSNA">'ХВС. Т-тех'!$V:$AB</definedName>
    <definedName name="et_ver_COLDVSNA_TARIFF_C_COLDVSNA">'ХВС. Т-транс'!$V:$AB</definedName>
    <definedName name="et_ver_COLDVSNA_TARIFF_D_COLDVSNA">'ХВС. Т-подвоз'!$V:$AB</definedName>
    <definedName name="et_ver_COLDVSNA_TARIFF_E_COLDVSNA">'ХВС. Т-подкл'!$V:$AC</definedName>
    <definedName name="et_ver_HEAT_TARIFF_A">'ТС. Т-ТЭ | &gt;=25МВт'!$V:$AC</definedName>
    <definedName name="et_ver_HEAT_TARIFF_B">'ТС. Т-ТЭ | ТСО'!$V:$AC</definedName>
    <definedName name="et_ver_HEAT_TARIFF_C">'ТС. Т-ТН'!$V:$AC</definedName>
    <definedName name="et_ver_HEAT_TARIFF_D">'ТС. Т-гор.вода'!$X:$AF</definedName>
    <definedName name="et_ver_HEAT_TARIFF_E1">'ТС. Т-передача ТЭ'!$V:$AC</definedName>
    <definedName name="et_ver_HEAT_TARIFF_E2">'ТС. Т-передача ТН'!$V:$AC</definedName>
    <definedName name="et_ver_HEAT_TARIFF_F">'ТС. Резерв мощности'!$V:$AC</definedName>
    <definedName name="et_ver_HEAT_TARIFF_G">'ТС. Т-подкл'!$V:$AA</definedName>
    <definedName name="et_ver_HOTVSNA_TARIFF_A_HOTVSNA">'ГВС. Т-гор.вода'!$V:$AB</definedName>
    <definedName name="et_ver_HOTVSNA_TARIFF_B_HOTVSNA">'ГВС. Т-транс'!$V:$AB</definedName>
    <definedName name="et_ver_HOTVSNA_TARIFF_C_HOTVSNA">'ГВС. Т-подкл'!$V:$AC</definedName>
    <definedName name="et_ver_IP_FIN_PLAN">'ИП. Финансовый план'!$H:$J</definedName>
    <definedName name="et_ver_IP_FIN_PLAN_YEAR">'ИП. Финансовый план'!$I:$I</definedName>
    <definedName name="et_ver_Q_LIMIT_DIFFERENTIATION">Ограничения!$G:$H</definedName>
    <definedName name="et_ver_Q_PH_DIFFERENTIATION">'Потребительские характеристики'!$G:$H</definedName>
    <definedName name="et_ver_Q_TP_DIFFERENTIATION">ТП!$G:$G</definedName>
    <definedName name="et_ver_VOTV_TARIFF_A_VOTV">'ВО. Т-во'!$V:$AB</definedName>
    <definedName name="et_ver_VOTV_TARIFF_B_VOTV">'ВО. Т-транс'!$V:$AB</definedName>
    <definedName name="et_ver_VOTV_TARIFF_C_VOTV">'ВО. Т-подкл'!$V:$AC</definedName>
    <definedName name="et_VOTV_TARIFF_A_VOTV_CS">'ВО. Т-во'!$4:$11</definedName>
    <definedName name="et_VOTV_TARIFF_A_VOTV_DATA_DIFF">'ВО. Т-во'!$7:$8</definedName>
    <definedName name="et_VOTV_TARIFF_A_VOTV_FLAG_DIFF">'ВО. Т-во'!$5:$10</definedName>
    <definedName name="et_VOTV_TARIFF_A_VOTV_GC">'ВО. Т-во'!$6:$9</definedName>
    <definedName name="et_VOTV_TARIFF_A_VOTV_NTAR">'ВО. Т-во'!$2:$13</definedName>
    <definedName name="et_VOTV_TARIFF_A_VOTV_PERIOD_COLOR">'ВО. Т-во'!$AC$7:$AI$8</definedName>
    <definedName name="et_VOTV_TARIFF_A_VOTV_PERIOD_NOT_COLOR">'ВО. Т-во'!$AC$15:$AI$16</definedName>
    <definedName name="et_VOTV_TARIFF_A_VOTV_TER">'ВО. Т-во'!$3:$12</definedName>
    <definedName name="et_VOTV_TARIFF_A_VOTV_TN">'ВО. Т-во'!$7:$8</definedName>
    <definedName name="et_VOTV_TARIFF_B_VOTV_CS">'ВО. Т-транс'!$4:$11</definedName>
    <definedName name="et_VOTV_TARIFF_B_VOTV_DATA_DIFF">'ВО. Т-транс'!$7:$8</definedName>
    <definedName name="et_VOTV_TARIFF_B_VOTV_FLAG_DIFF">'ВО. Т-транс'!$5:$10</definedName>
    <definedName name="et_VOTV_TARIFF_B_VOTV_GC">'ВО. Т-транс'!$6:$9</definedName>
    <definedName name="et_VOTV_TARIFF_B_VOTV_NTAR">'ВО. Т-транс'!$2:$13</definedName>
    <definedName name="et_VOTV_TARIFF_B_VOTV_PERIOD_COLOR">'ВО. Т-транс'!$AC$7:$AI$8</definedName>
    <definedName name="et_VOTV_TARIFF_B_VOTV_PERIOD_NOT_COLOR">'ВО. Т-транс'!$AC$15:$AI$16</definedName>
    <definedName name="et_VOTV_TARIFF_B_VOTV_TER">'ВО. Т-транс'!$3:$12</definedName>
    <definedName name="et_VOTV_TARIFF_B_VOTV_TN">'ВО. Т-транс'!$7:$8</definedName>
    <definedName name="et_VOTV_TARIFF_C_VOTV_CS">'ВО. Т-подкл'!$4:$16</definedName>
    <definedName name="et_VOTV_TARIFF_C_VOTV_DATA_DIFF">'ВО. Т-подкл'!$8:$12</definedName>
    <definedName name="et_VOTV_TARIFF_C_VOTV_DIAMETERS">'ВО. Т-подкл'!$8:$10</definedName>
    <definedName name="et_VOTV_TARIFF_C_VOTV_FLAG_DIFF">'ВО. Т-подкл'!$6:$14</definedName>
    <definedName name="et_VOTV_TARIFF_C_VOTV_GC">'ВО. Т-подкл'!$7:$13</definedName>
    <definedName name="et_VOTV_TARIFF_C_VOTV_LEN">'ВО. Т-подкл'!$8:$9</definedName>
    <definedName name="et_VOTV_TARIFF_C_VOTV_LOAD">'ВО. Т-подкл'!$8:$11</definedName>
    <definedName name="et_VOTV_TARIFF_C_VOTV_NETS">'ВО. Т-подкл'!$8:$8</definedName>
    <definedName name="et_VOTV_TARIFF_C_VOTV_NTAR">'ВО. Т-подкл'!$2:$18</definedName>
    <definedName name="et_VOTV_TARIFF_C_VOTV_PERIOD_COLOR">'ВО. Т-подкл'!$AT$8:$BA$8</definedName>
    <definedName name="et_VOTV_TARIFF_C_VOTV_PERIOD_NOT_COLOR">'ВО. Т-подкл'!$AT$20:$BA$20</definedName>
    <definedName name="et_VOTV_TARIFF_C_VOTV_TER">'ВО. Т-подкл'!$3:$17</definedName>
    <definedName name="f_quart">Титульный!$F$13</definedName>
    <definedName name="f_year">Титульный!$F$12</definedName>
    <definedName name="FHD_NAME_FORM">DATA_FORMS!$C$6</definedName>
    <definedName name="FHD_NOTE_P_1">DATA_NPA!$N$18</definedName>
    <definedName name="FHD_NOTE_P_10">DATA_NPA!$N$27</definedName>
    <definedName name="FHD_NOTE_P_11">DATA_NPA!$N$28</definedName>
    <definedName name="FHD_NOTE_P_12">DATA_NPA!$N$29</definedName>
    <definedName name="FHD_NOTE_P_13">DATA_NPA!$N$30</definedName>
    <definedName name="FHD_NOTE_P_14">DATA_NPA!$N$31</definedName>
    <definedName name="FHD_NOTE_P_15">DATA_NPA!$N$32</definedName>
    <definedName name="FHD_NOTE_P_16">DATA_NPA!$N$33</definedName>
    <definedName name="FHD_NOTE_P_17">DATA_NPA!$N$34</definedName>
    <definedName name="FHD_NOTE_P_18">DATA_NPA!$N$35</definedName>
    <definedName name="FHD_NOTE_P_19">DATA_NPA!$N$36</definedName>
    <definedName name="FHD_NOTE_P_2">DATA_NPA!$N$19</definedName>
    <definedName name="FHD_NOTE_P_20">DATA_NPA!$N$37</definedName>
    <definedName name="FHD_NOTE_P_21">DATA_NPA!$N$38</definedName>
    <definedName name="FHD_NOTE_P_22">DATA_NPA!$N$39</definedName>
    <definedName name="FHD_NOTE_P_23">DATA_NPA!$N$40</definedName>
    <definedName name="FHD_NOTE_P_24">DATA_NPA!$N$41</definedName>
    <definedName name="FHD_NOTE_P_25">DATA_NPA!$N$42</definedName>
    <definedName name="FHD_NOTE_P_26">DATA_NPA!$N$43</definedName>
    <definedName name="FHD_NOTE_P_27">DATA_NPA!$N$44</definedName>
    <definedName name="FHD_NOTE_P_28">DATA_NPA!$N$45</definedName>
    <definedName name="FHD_NOTE_P_29">DATA_NPA!$N$46</definedName>
    <definedName name="FHD_NOTE_P_3">DATA_NPA!$N$20</definedName>
    <definedName name="FHD_NOTE_P_30">DATA_NPA!$N$47</definedName>
    <definedName name="FHD_NOTE_P_31">DATA_NPA!$N$48</definedName>
    <definedName name="FHD_NOTE_P_32">DATA_NPA!$N$49</definedName>
    <definedName name="FHD_NOTE_P_33">DATA_NPA!$N$50</definedName>
    <definedName name="FHD_NOTE_P_34">DATA_NPA!$N$51</definedName>
    <definedName name="FHD_NOTE_P_35">DATA_NPA!$N$52</definedName>
    <definedName name="FHD_NOTE_P_36">DATA_NPA!$N$53</definedName>
    <definedName name="FHD_NOTE_P_37">DATA_NPA!$N$54</definedName>
    <definedName name="FHD_NOTE_P_38">DATA_NPA!$N$55</definedName>
    <definedName name="FHD_NOTE_P_39">DATA_NPA!$N$56</definedName>
    <definedName name="FHD_NOTE_P_4">DATA_NPA!$N$21</definedName>
    <definedName name="FHD_NOTE_P_40">DATA_NPA!$N$57</definedName>
    <definedName name="FHD_NOTE_P_41">DATA_NPA!$N$58</definedName>
    <definedName name="FHD_NOTE_P_42">DATA_NPA!$N$59</definedName>
    <definedName name="FHD_NOTE_P_43">DATA_NPA!$N$60</definedName>
    <definedName name="FHD_NOTE_P_44">DATA_NPA!$N$61</definedName>
    <definedName name="FHD_NOTE_P_45">DATA_NPA!$N$62</definedName>
    <definedName name="FHD_NOTE_P_46">DATA_NPA!$N$63</definedName>
    <definedName name="FHD_NOTE_P_47">DATA_NPA!$N$64</definedName>
    <definedName name="FHD_NOTE_P_48">DATA_NPA!$N$65</definedName>
    <definedName name="FHD_NOTE_P_49">DATA_NPA!$N$66</definedName>
    <definedName name="FHD_NOTE_P_5">DATA_NPA!$N$22</definedName>
    <definedName name="FHD_NOTE_P_50">DATA_NPA!$N$67</definedName>
    <definedName name="FHD_NOTE_P_51">DATA_NPA!$N$68</definedName>
    <definedName name="FHD_NOTE_P_52">DATA_NPA!$N$69</definedName>
    <definedName name="FHD_NOTE_P_53">DATA_NPA!$N$70</definedName>
    <definedName name="FHD_NOTE_P_54">DATA_NPA!$N$71</definedName>
    <definedName name="FHD_NOTE_P_55">DATA_NPA!$N$72</definedName>
    <definedName name="FHD_NOTE_P_56">DATA_NPA!$N$73</definedName>
    <definedName name="FHD_NOTE_P_57">DATA_NPA!$N$74</definedName>
    <definedName name="FHD_NOTE_P_58">DATA_NPA!$N$75</definedName>
    <definedName name="FHD_NOTE_P_59">DATA_NPA!$N$76</definedName>
    <definedName name="FHD_NOTE_P_6">DATA_NPA!$N$23</definedName>
    <definedName name="FHD_NOTE_P_60">DATA_NPA!$N$77</definedName>
    <definedName name="FHD_NOTE_P_61">DATA_NPA!$N$78</definedName>
    <definedName name="FHD_NOTE_P_62">DATA_NPA!$N$79</definedName>
    <definedName name="FHD_NOTE_P_63">DATA_NPA!$N$80</definedName>
    <definedName name="FHD_NOTE_P_64">DATA_NPA!$N$81</definedName>
    <definedName name="FHD_NOTE_P_65">DATA_NPA!$N$82</definedName>
    <definedName name="FHD_NOTE_P_66">DATA_NPA!$N$83</definedName>
    <definedName name="FHD_NOTE_P_67">DATA_NPA!$N$84</definedName>
    <definedName name="FHD_NOTE_P_68">DATA_NPA!$N$85</definedName>
    <definedName name="FHD_NOTE_P_69">DATA_NPA!$N$86</definedName>
    <definedName name="FHD_NOTE_P_7">DATA_NPA!$N$24</definedName>
    <definedName name="FHD_NOTE_P_70">DATA_NPA!$N$87</definedName>
    <definedName name="FHD_NOTE_P_71">DATA_NPA!$N$88</definedName>
    <definedName name="FHD_NOTE_P_72">DATA_NPA!$N$89</definedName>
    <definedName name="FHD_NOTE_P_73">DATA_NPA!$N$90</definedName>
    <definedName name="FHD_NOTE_P_74">DATA_NPA!$N$91</definedName>
    <definedName name="FHD_NOTE_P_75">DATA_NPA!$N$92</definedName>
    <definedName name="FHD_NOTE_P_76">DATA_NPA!$N$93</definedName>
    <definedName name="FHD_NOTE_P_77">DATA_NPA!$N$94</definedName>
    <definedName name="FHD_NOTE_P_78">DATA_NPA!$N$95</definedName>
    <definedName name="FHD_NOTE_P_79">DATA_NPA!$N$96</definedName>
    <definedName name="FHD_NOTE_P_8">DATA_NPA!$N$25</definedName>
    <definedName name="FHD_NOTE_P_80">DATA_NPA!$N$97</definedName>
    <definedName name="FHD_NOTE_P_81">DATA_NPA!$N$98</definedName>
    <definedName name="FHD_NOTE_P_82">DATA_NPA!$N$99</definedName>
    <definedName name="FHD_NOTE_P_83">DATA_NPA!$N$100</definedName>
    <definedName name="FHD_NOTE_P_84">DATA_NPA!$N$101</definedName>
    <definedName name="FHD_NOTE_P_9">DATA_NPA!$N$26</definedName>
    <definedName name="FHD_NUM_P_1">DATA_NPA!$L$18</definedName>
    <definedName name="FHD_NUM_P_10">DATA_NPA!$L$27</definedName>
    <definedName name="FHD_NUM_P_11">DATA_NPA!$L$28</definedName>
    <definedName name="FHD_NUM_P_12">DATA_NPA!$L$29</definedName>
    <definedName name="FHD_NUM_P_13">DATA_NPA!$L$30</definedName>
    <definedName name="FHD_NUM_P_14">DATA_NPA!$L$31</definedName>
    <definedName name="FHD_NUM_P_15">DATA_NPA!$L$32</definedName>
    <definedName name="FHD_NUM_P_16">DATA_NPA!$L$33</definedName>
    <definedName name="FHD_NUM_P_17">DATA_NPA!$L$34</definedName>
    <definedName name="FHD_NUM_P_18">DATA_NPA!$L$35</definedName>
    <definedName name="FHD_NUM_P_19">DATA_NPA!$L$36</definedName>
    <definedName name="FHD_NUM_P_2">DATA_NPA!$L$19</definedName>
    <definedName name="FHD_NUM_P_20">DATA_NPA!$L$37</definedName>
    <definedName name="FHD_NUM_P_21">DATA_NPA!$L$38</definedName>
    <definedName name="FHD_NUM_P_22">DATA_NPA!$L$39</definedName>
    <definedName name="FHD_NUM_P_23">DATA_NPA!$L$40</definedName>
    <definedName name="FHD_NUM_P_24">DATA_NPA!$L$41</definedName>
    <definedName name="FHD_NUM_P_25">DATA_NPA!$L$42</definedName>
    <definedName name="FHD_NUM_P_26">DATA_NPA!$L$43</definedName>
    <definedName name="FHD_NUM_P_27">DATA_NPA!$L$44</definedName>
    <definedName name="FHD_NUM_P_28">DATA_NPA!$L$45</definedName>
    <definedName name="FHD_NUM_P_29">DATA_NPA!$L$46</definedName>
    <definedName name="FHD_NUM_P_3">DATA_NPA!$L$20</definedName>
    <definedName name="FHD_NUM_P_30">DATA_NPA!$L$47</definedName>
    <definedName name="FHD_NUM_P_31">DATA_NPA!$L$48</definedName>
    <definedName name="FHD_NUM_P_32">DATA_NPA!$L$49</definedName>
    <definedName name="FHD_NUM_P_33">DATA_NPA!$L$50</definedName>
    <definedName name="FHD_NUM_P_34">DATA_NPA!$L$51</definedName>
    <definedName name="FHD_NUM_P_35">DATA_NPA!$L$52</definedName>
    <definedName name="FHD_NUM_P_36">DATA_NPA!$L$53</definedName>
    <definedName name="FHD_NUM_P_37">DATA_NPA!$L$54</definedName>
    <definedName name="FHD_NUM_P_38">DATA_NPA!$L$55</definedName>
    <definedName name="FHD_NUM_P_39">DATA_NPA!$L$56</definedName>
    <definedName name="FHD_NUM_P_4">DATA_NPA!$L$21</definedName>
    <definedName name="FHD_NUM_P_40">DATA_NPA!$L$57</definedName>
    <definedName name="FHD_NUM_P_41">DATA_NPA!$L$58</definedName>
    <definedName name="FHD_NUM_P_42">DATA_NPA!$L$59</definedName>
    <definedName name="FHD_NUM_P_43">DATA_NPA!$L$60</definedName>
    <definedName name="FHD_NUM_P_44">DATA_NPA!$L$61</definedName>
    <definedName name="FHD_NUM_P_45">DATA_NPA!$L$62</definedName>
    <definedName name="FHD_NUM_P_46">DATA_NPA!$L$63</definedName>
    <definedName name="FHD_NUM_P_47">DATA_NPA!$L$64</definedName>
    <definedName name="FHD_NUM_P_48">DATA_NPA!$L$65</definedName>
    <definedName name="FHD_NUM_P_49">DATA_NPA!$L$66</definedName>
    <definedName name="FHD_NUM_P_5">DATA_NPA!$L$22</definedName>
    <definedName name="FHD_NUM_P_50">DATA_NPA!$L$67</definedName>
    <definedName name="FHD_NUM_P_51">DATA_NPA!$L$68</definedName>
    <definedName name="FHD_NUM_P_52">DATA_NPA!$L$69</definedName>
    <definedName name="FHD_NUM_P_53">DATA_NPA!$L$70</definedName>
    <definedName name="FHD_NUM_P_54">DATA_NPA!$L$71</definedName>
    <definedName name="FHD_NUM_P_55">DATA_NPA!$L$72</definedName>
    <definedName name="FHD_NUM_P_56">DATA_NPA!$L$73</definedName>
    <definedName name="FHD_NUM_P_57">DATA_NPA!$L$74</definedName>
    <definedName name="FHD_NUM_P_58">DATA_NPA!$L$75</definedName>
    <definedName name="FHD_NUM_P_59">DATA_NPA!$L$76</definedName>
    <definedName name="FHD_NUM_P_6">DATA_NPA!$L$23</definedName>
    <definedName name="FHD_NUM_P_60">DATA_NPA!$L$77</definedName>
    <definedName name="FHD_NUM_P_61">DATA_NPA!$L$78</definedName>
    <definedName name="FHD_NUM_P_62">DATA_NPA!$L$79</definedName>
    <definedName name="FHD_NUM_P_63">DATA_NPA!$L$80</definedName>
    <definedName name="FHD_NUM_P_64">DATA_NPA!$L$81</definedName>
    <definedName name="FHD_NUM_P_65">DATA_NPA!$L$82</definedName>
    <definedName name="FHD_NUM_P_66">DATA_NPA!$L$83</definedName>
    <definedName name="FHD_NUM_P_67">DATA_NPA!$L$84</definedName>
    <definedName name="FHD_NUM_P_68">DATA_NPA!$L$85</definedName>
    <definedName name="FHD_NUM_P_69">DATA_NPA!$L$86</definedName>
    <definedName name="FHD_NUM_P_7">DATA_NPA!$L$24</definedName>
    <definedName name="FHD_NUM_P_70">DATA_NPA!$L$87</definedName>
    <definedName name="FHD_NUM_P_71">DATA_NPA!$L$88</definedName>
    <definedName name="FHD_NUM_P_72">DATA_NPA!$L$89</definedName>
    <definedName name="FHD_NUM_P_73">DATA_NPA!$L$90</definedName>
    <definedName name="FHD_NUM_P_74">DATA_NPA!$L$91</definedName>
    <definedName name="FHD_NUM_P_75">DATA_NPA!$L$92</definedName>
    <definedName name="FHD_NUM_P_76">DATA_NPA!$L$93</definedName>
    <definedName name="FHD_NUM_P_77">DATA_NPA!$L$94</definedName>
    <definedName name="FHD_NUM_P_78">DATA_NPA!$L$95</definedName>
    <definedName name="FHD_NUM_P_79">DATA_NPA!$L$96</definedName>
    <definedName name="FHD_NUM_P_8">DATA_NPA!$L$25</definedName>
    <definedName name="FHD_NUM_P_80">DATA_NPA!$L$97</definedName>
    <definedName name="FHD_NUM_P_81">DATA_NPA!$L$98</definedName>
    <definedName name="FHD_NUM_P_82">DATA_NPA!$L$99</definedName>
    <definedName name="FHD_NUM_P_83">DATA_NPA!$L$100</definedName>
    <definedName name="FHD_NUM_P_84">DATA_NPA!$L$101</definedName>
    <definedName name="FHD_NUM_P_9">DATA_NPA!$L$26</definedName>
    <definedName name="FHD_NUM_P_A">DATA_NPA!$L$18</definedName>
    <definedName name="FHD_P_1">DATA_NPA!$M$18</definedName>
    <definedName name="FHD_P_10">DATA_NPA!$M$27</definedName>
    <definedName name="FHD_P_11">DATA_NPA!$M$28</definedName>
    <definedName name="FHD_P_12">DATA_NPA!$M$29</definedName>
    <definedName name="FHD_P_13">DATA_NPA!$M$30</definedName>
    <definedName name="FHD_P_14">DATA_NPA!$M$31</definedName>
    <definedName name="FHD_P_15">DATA_NPA!$M$32</definedName>
    <definedName name="FHD_P_16">DATA_NPA!$M$33</definedName>
    <definedName name="FHD_P_17">DATA_NPA!$M$34</definedName>
    <definedName name="FHD_P_18">DATA_NPA!$M$35</definedName>
    <definedName name="FHD_P_19">DATA_NPA!$M$36</definedName>
    <definedName name="FHD_P_2">DATA_NPA!$M$19</definedName>
    <definedName name="FHD_P_20">DATA_NPA!$M$37</definedName>
    <definedName name="FHD_P_21">DATA_NPA!$M$38</definedName>
    <definedName name="FHD_P_22">DATA_NPA!$M$39</definedName>
    <definedName name="FHD_P_23">DATA_NPA!$M$40</definedName>
    <definedName name="FHD_P_24">DATA_NPA!$M$41</definedName>
    <definedName name="FHD_P_25">DATA_NPA!$M$42</definedName>
    <definedName name="FHD_P_26">DATA_NPA!$M$43</definedName>
    <definedName name="FHD_P_27">DATA_NPA!$M$44</definedName>
    <definedName name="FHD_P_28">DATA_NPA!$M$45</definedName>
    <definedName name="FHD_P_29">DATA_NPA!$M$46</definedName>
    <definedName name="FHD_P_3">DATA_NPA!$M$20</definedName>
    <definedName name="FHD_P_30">DATA_NPA!$M$47</definedName>
    <definedName name="FHD_P_31">DATA_NPA!$M$48</definedName>
    <definedName name="FHD_P_32">DATA_NPA!$M$49</definedName>
    <definedName name="FHD_P_33">DATA_NPA!$M$50</definedName>
    <definedName name="FHD_P_34">DATA_NPA!$M$51</definedName>
    <definedName name="FHD_P_35">DATA_NPA!$M$52</definedName>
    <definedName name="FHD_P_36">DATA_NPA!$M$53</definedName>
    <definedName name="FHD_P_37">DATA_NPA!$M$54</definedName>
    <definedName name="FHD_P_38">DATA_NPA!$M$55</definedName>
    <definedName name="FHD_P_39">DATA_NPA!$M$56</definedName>
    <definedName name="FHD_P_4">DATA_NPA!$M$21</definedName>
    <definedName name="FHD_P_40">DATA_NPA!$M$57</definedName>
    <definedName name="FHD_P_41">DATA_NPA!$M$58</definedName>
    <definedName name="FHD_P_42">DATA_NPA!$M$59</definedName>
    <definedName name="FHD_P_43">DATA_NPA!$M$60</definedName>
    <definedName name="FHD_P_44">DATA_NPA!$M$61</definedName>
    <definedName name="FHD_P_45">DATA_NPA!$M$62</definedName>
    <definedName name="FHD_P_46">DATA_NPA!$M$63</definedName>
    <definedName name="FHD_P_47">DATA_NPA!$M$64</definedName>
    <definedName name="FHD_P_48">DATA_NPA!$M$65</definedName>
    <definedName name="FHD_P_49">DATA_NPA!$M$66</definedName>
    <definedName name="FHD_P_5">DATA_NPA!$M$22</definedName>
    <definedName name="FHD_P_50">DATA_NPA!$M$67</definedName>
    <definedName name="FHD_P_51">DATA_NPA!$M$68</definedName>
    <definedName name="FHD_P_52">DATA_NPA!$M$69</definedName>
    <definedName name="FHD_P_53">DATA_NPA!$M$70</definedName>
    <definedName name="FHD_P_54">DATA_NPA!$M$71</definedName>
    <definedName name="FHD_P_55">DATA_NPA!$M$72</definedName>
    <definedName name="FHD_P_56">DATA_NPA!$M$73</definedName>
    <definedName name="FHD_P_57">DATA_NPA!$M$74</definedName>
    <definedName name="FHD_P_58">DATA_NPA!$M$75</definedName>
    <definedName name="FHD_P_59">DATA_NPA!$M$76</definedName>
    <definedName name="FHD_P_6">DATA_NPA!$M$23</definedName>
    <definedName name="FHD_P_60">DATA_NPA!$M$77</definedName>
    <definedName name="FHD_P_61">DATA_NPA!$M$78</definedName>
    <definedName name="FHD_P_62">DATA_NPA!$M$79</definedName>
    <definedName name="FHD_P_63">DATA_NPA!$M$80</definedName>
    <definedName name="FHD_P_64">DATA_NPA!$M$81</definedName>
    <definedName name="FHD_P_65">DATA_NPA!$M$82</definedName>
    <definedName name="FHD_P_66">DATA_NPA!$M$83</definedName>
    <definedName name="FHD_P_67">DATA_NPA!$M$84</definedName>
    <definedName name="FHD_P_68">DATA_NPA!$M$85</definedName>
    <definedName name="FHD_P_69">DATA_NPA!$M$86</definedName>
    <definedName name="FHD_P_7">DATA_NPA!$M$24</definedName>
    <definedName name="FHD_P_70">DATA_NPA!$M$87</definedName>
    <definedName name="FHD_P_71">DATA_NPA!$M$88</definedName>
    <definedName name="FHD_P_72">DATA_NPA!$M$89</definedName>
    <definedName name="FHD_P_73">DATA_NPA!$M$90</definedName>
    <definedName name="FHD_P_74">DATA_NPA!$M$91</definedName>
    <definedName name="FHD_P_75">DATA_NPA!$M$92</definedName>
    <definedName name="FHD_P_76">DATA_NPA!$M$93</definedName>
    <definedName name="FHD_P_77">DATA_NPA!$M$94</definedName>
    <definedName name="FHD_P_78">DATA_NPA!$M$95</definedName>
    <definedName name="FHD_P_79">DATA_NPA!$M$96</definedName>
    <definedName name="FHD_P_8">DATA_NPA!$M$25</definedName>
    <definedName name="FHD_P_80">DATA_NPA!$M$97</definedName>
    <definedName name="FHD_P_81">DATA_NPA!$M$98</definedName>
    <definedName name="FHD_P_82">DATA_NPA!$M$99</definedName>
    <definedName name="FHD_P_83">DATA_NPA!$M$100</definedName>
    <definedName name="FHD_P_84">DATA_NPA!$M$101</definedName>
    <definedName name="FHD_P_9">DATA_NPA!$M$26</definedName>
    <definedName name="FHD_P_A">DATA_NPA!$M$18</definedName>
    <definedName name="FHD20_NAME_FORM">DATA_FORMS!$C$7</definedName>
    <definedName name="fil">Титульный!$F$30</definedName>
    <definedName name="HEAT_FIN_SRC_LIST">TEHSHEET!$BH$4:$BH$26</definedName>
    <definedName name="HEAT_FIN_SRC_VLD_LIST">TEHSHEET!$BH$39:$BH$54</definedName>
    <definedName name="HEAT_IP_EVENT_CI_STAGE_LIST">TEHSHEET!$BH$97:$BH$99</definedName>
    <definedName name="HEAT_IP_EVENT_GROUP_LIST">TEHSHEET!$BH$69:$BH$76</definedName>
    <definedName name="HEAT_IP_EVENT_SUBGROUP_1_LIST">TEHSHEET!$BH$80:$BH$83</definedName>
    <definedName name="HEAT_IP_EVENT_SUBGROUP_3_LIST">TEHSHEET!$BH$87:$BH$88</definedName>
    <definedName name="HEAT_IP_EVENT_SUBGROUP_5_LIST">TEHSHEET!$BH$92:$BH$93</definedName>
    <definedName name="HEAT_IP_EVENT_TYPE_LIST">TEHSHEET!$BH$108:$BH$110</definedName>
    <definedName name="HEAT_PT_SCHEME">TEHSHEET!$BH$115:$BH$118</definedName>
    <definedName name="HEAT_PT_TARIFF_ID">TEHSHEET!$BQ$5:$BQ$14</definedName>
    <definedName name="HEAT_PT_TARIFF_NAME">TEHSHEET!$BR$5:$BR$14</definedName>
    <definedName name="HEAT_PT_TARIFF_NAME_LIST">TEHSHEET!$BQ$5:$BR$14</definedName>
    <definedName name="HEAT_PT_VED_ID">TEHSHEET!$BQ$19:$BQ$28</definedName>
    <definedName name="HEAT_PT_VED_NAME">TEHSHEET!$BR$19:$BR$28</definedName>
    <definedName name="HEAT_PT_VED_NAME_LIST">TEHSHEET!$BQ$19:$BR$28</definedName>
    <definedName name="HEAT_TARIFF_A_ADD_HL_COLUMN_MARKER">'ТС. Т-ТЭ | &gt;=25МВт'!$T$36</definedName>
    <definedName name="HEAT_TARIFF_A_DEL_HL_GC_COLUMN_MARKER">'ТС. Т-ТЭ | &gt;=25МВт'!$Q$36</definedName>
    <definedName name="HEAT_TARIFF_A_DEL_HL_SCHEME_COLUMN_MARKER">'ТС. Т-ТЭ | &gt;=25МВт'!$P$36</definedName>
    <definedName name="HEAT_TARIFF_A_DEL_HL_TN_COLUMN_MARKER">'ТС. Т-ТЭ | &gt;=25МВт'!$R$36</definedName>
    <definedName name="HEAT_TARIFF_A_DELETE_PERIOD_ROW_MARKER">'ТС. Т-ТЭ | &gt;=25МВт'!$O$37</definedName>
    <definedName name="HEAT_TARIFF_A_FLAG_BLOCK_COLUMN_MARKER">'ТС. Т-ТЭ | &gt;=25МВт'!$L$41</definedName>
    <definedName name="HEAT_TARIFF_A_FLAG_BLOCK_ROW_MARKER">'ТС. Т-ТЭ | &gt;=25МВт'!$O$22</definedName>
    <definedName name="HEAT_TARIFF_A_NUM_CS_COLUMN_MARKER">'ТС. Т-ТЭ | &gt;=25МВт'!$G$41</definedName>
    <definedName name="HEAT_TARIFF_A_NUM_GC_COLUMN_MARKER">'ТС. Т-ТЭ | &gt;=25МВт'!$J$41</definedName>
    <definedName name="HEAT_TARIFF_A_NUM_IST_TE_COLUMN_MARKER">'ТС. Т-ТЭ | &gt;=25МВт'!$H$41</definedName>
    <definedName name="HEAT_TARIFF_A_NUM_NTAR_COLUMN_MARKER">'ТС. Т-ТЭ | &gt;=25МВт'!$E$41</definedName>
    <definedName name="HEAT_TARIFF_A_NUM_SCHEME_COLUMN_MARKER">'ТС. Т-ТЭ | &gt;=25МВт'!$I$41</definedName>
    <definedName name="HEAT_TARIFF_A_NUM_TER_COLUMN_MARKER">'ТС. Т-ТЭ | &gt;=25МВт'!$F$41</definedName>
    <definedName name="HEAT_TARIFF_A_NUM_TN_COLUMN_MARKER">'ТС. Т-ТЭ | &gt;=25МВт'!$K$41</definedName>
    <definedName name="HEAT_TARIFF_B_ADD_HL_COLUMN_MARKER">'ТС. Т-ТЭ | ТСО'!$T$36</definedName>
    <definedName name="HEAT_TARIFF_B_DEL_HL_GC_COLUMN_MARKER">'ТС. Т-ТЭ | ТСО'!$Q$36</definedName>
    <definedName name="HEAT_TARIFF_B_DEL_HL_SCHEME_COLUMN_MARKER">'ТС. Т-ТЭ | ТСО'!$P$36</definedName>
    <definedName name="HEAT_TARIFF_B_DEL_HL_TN_COLUMN_MARKER">'ТС. Т-ТЭ | ТСО'!$R$36</definedName>
    <definedName name="HEAT_TARIFF_B_DELETE_PERIOD_ROW_MARKER">'ТС. Т-ТЭ | ТСО'!$O$37</definedName>
    <definedName name="HEAT_TARIFF_B_FLAG_BLOCK_COLUMN_MARKER">'ТС. Т-ТЭ | ТСО'!$L$41</definedName>
    <definedName name="HEAT_TARIFF_B_FLAG_BLOCK_ROW_MARKER">'ТС. Т-ТЭ | ТСО'!$O$22</definedName>
    <definedName name="HEAT_TARIFF_B_NUM_CS_COLUMN_MARKER">'ТС. Т-ТЭ | ТСО'!$G$41</definedName>
    <definedName name="HEAT_TARIFF_B_NUM_GC_COLUMN_MARKER">'ТС. Т-ТЭ | ТСО'!$J$41</definedName>
    <definedName name="HEAT_TARIFF_B_NUM_IST_TE_COLUMN_MARKER">'ТС. Т-ТЭ | ТСО'!$H$41</definedName>
    <definedName name="HEAT_TARIFF_B_NUM_NTAR_COLUMN_MARKER">'ТС. Т-ТЭ | ТСО'!$E$41</definedName>
    <definedName name="HEAT_TARIFF_B_NUM_SCHEME_COLUMN_MARKER">'ТС. Т-ТЭ | ТСО'!$I$41</definedName>
    <definedName name="HEAT_TARIFF_B_NUM_TER_COLUMN_MARKER">'ТС. Т-ТЭ | ТСО'!$F$41</definedName>
    <definedName name="HEAT_TARIFF_B_NUM_TN_COLUMN_MARKER">'ТС. Т-ТЭ | ТСО'!$K$41</definedName>
    <definedName name="HEAT_TARIFF_C_ADD_HL_COLUMN_MARKER">'ТС. Т-ТН'!$T$36</definedName>
    <definedName name="HEAT_TARIFF_C_DEL_HL_GC_COLUMN_MARKER">'ТС. Т-ТН'!$Q$36</definedName>
    <definedName name="HEAT_TARIFF_C_DEL_HL_SCHEME_COLUMN_MARKER">'ТС. Т-ТН'!$P$36</definedName>
    <definedName name="HEAT_TARIFF_C_DEL_HL_TN_COLUMN_MARKER">'ТС. Т-ТН'!$R$36</definedName>
    <definedName name="HEAT_TARIFF_C_DELETE_PERIOD_ROW_MARKER">'ТС. Т-ТН'!$O$37</definedName>
    <definedName name="HEAT_TARIFF_C_FLAG_BLOCK_COLUMN_MARKER">'ТС. Т-ТН'!$L$41</definedName>
    <definedName name="HEAT_TARIFF_C_FLAG_BLOCK_ROW_MARKER">'ТС. Т-ТН'!$O$22</definedName>
    <definedName name="HEAT_TARIFF_C_NUM_CS_COLUMN_MARKER">'ТС. Т-ТН'!$G$41</definedName>
    <definedName name="HEAT_TARIFF_C_NUM_GC_COLUMN_MARKER">'ТС. Т-ТН'!$J$41</definedName>
    <definedName name="HEAT_TARIFF_C_NUM_IST_TE_COLUMN_MARKER">'ТС. Т-ТН'!$H$41</definedName>
    <definedName name="HEAT_TARIFF_C_NUM_NTAR_COLUMN_MARKER">'ТС. Т-ТН'!$E$41</definedName>
    <definedName name="HEAT_TARIFF_C_NUM_SCHEME_COLUMN_MARKER">'ТС. Т-ТН'!$I$41</definedName>
    <definedName name="HEAT_TARIFF_C_NUM_TER_COLUMN_MARKER">'ТС. Т-ТН'!$F$41</definedName>
    <definedName name="HEAT_TARIFF_C_NUM_TN_COLUMN_MARKER">'ТС. Т-ТН'!$K$41</definedName>
    <definedName name="HEAT_TARIFF_D_ADD_HL_COLUMN_MARKER">'ТС. Т-гор.вода'!$V$40</definedName>
    <definedName name="HEAT_TARIFF_D_DEL_HL_CONS_COLUMN_MARKER">'ТС. Т-гор.вода'!$T$40</definedName>
    <definedName name="HEAT_TARIFF_D_DEL_HL_GC_COLUMN_MARKER">'ТС. Т-гор.вода'!$R$40</definedName>
    <definedName name="HEAT_TARIFF_D_DEL_HL_SCHEME_COLUMN_MARKER">'ТС. Т-гор.вода'!$Q$40</definedName>
    <definedName name="HEAT_TARIFF_D_DEL_HL_TN_COLUMN_MARKER">'ТС. Т-гор.вода'!$S$40</definedName>
    <definedName name="HEAT_TARIFF_D_DELETE_PERIOD_ROW_MARKER">'ТС. Т-гор.вода'!$P$41</definedName>
    <definedName name="HEAT_TARIFF_D_FLAG_BLOCK_COLUMN_MARKER">'ТС. Т-гор.вода'!$M$47</definedName>
    <definedName name="HEAT_TARIFF_D_FLAG_BLOCK_ROW_MARKER">'ТС. Т-гор.вода'!$P$26</definedName>
    <definedName name="HEAT_TARIFF_D_NUM_CONS_COLUMN_MARKER">'ТС. Т-гор.вода'!$L$47</definedName>
    <definedName name="HEAT_TARIFF_D_NUM_CS_COLUMN_MARKER">'ТС. Т-гор.вода'!$G$47</definedName>
    <definedName name="HEAT_TARIFF_D_NUM_GC_COLUMN_MARKER">'ТС. Т-гор.вода'!$J$47</definedName>
    <definedName name="HEAT_TARIFF_D_NUM_IST_TE_COLUMN_MARKER">'ТС. Т-гор.вода'!$H$47</definedName>
    <definedName name="HEAT_TARIFF_D_NUM_NTAR_COLUMN_MARKER">'ТС. Т-гор.вода'!$E$47</definedName>
    <definedName name="HEAT_TARIFF_D_NUM_SCHEME_COLUMN_MARKER">'ТС. Т-гор.вода'!$I$47</definedName>
    <definedName name="HEAT_TARIFF_D_NUM_TER_COLUMN_MARKER">'ТС. Т-гор.вода'!$F$47</definedName>
    <definedName name="HEAT_TARIFF_D_NUM_TN_COLUMN_MARKER">'ТС. Т-гор.вода'!$K$47</definedName>
    <definedName name="HEAT_TARIFF_E1_ADD_HL_COLUMN_MARKER">'ТС. Т-передача ТЭ'!$T$36</definedName>
    <definedName name="HEAT_TARIFF_E1_DEL_HL_GC_COLUMN_MARKER">'ТС. Т-передача ТЭ'!$Q$36</definedName>
    <definedName name="HEAT_TARIFF_E1_DEL_HL_SCHEME_COLUMN_MARKER">'ТС. Т-передача ТЭ'!$P$36</definedName>
    <definedName name="HEAT_TARIFF_E1_DEL_HL_TN_COLUMN_MARKER">'ТС. Т-передача ТЭ'!$R$36</definedName>
    <definedName name="HEAT_TARIFF_E1_DELETE_PERIOD_ROW_MARKER">'ТС. Т-передача ТЭ'!$O$37</definedName>
    <definedName name="HEAT_TARIFF_E1_FLAG_BLOCK_COLUMN_MARKER">'ТС. Т-передача ТЭ'!$L$41</definedName>
    <definedName name="HEAT_TARIFF_E1_FLAG_BLOCK_ROW_MARKER">'ТС. Т-передача ТЭ'!$O$22</definedName>
    <definedName name="HEAT_TARIFF_E1_NUM_CS_COLUMN_MARKER">'ТС. Т-передача ТЭ'!$G$41</definedName>
    <definedName name="HEAT_TARIFF_E1_NUM_GC_COLUMN_MARKER">'ТС. Т-передача ТЭ'!$J$41</definedName>
    <definedName name="HEAT_TARIFF_E1_NUM_IST_TE_COLUMN_MARKER">'ТС. Т-передача ТЭ'!$H$41</definedName>
    <definedName name="HEAT_TARIFF_E1_NUM_NTAR_COLUMN_MARKER">'ТС. Т-передача ТЭ'!$E$41</definedName>
    <definedName name="HEAT_TARIFF_E1_NUM_SCHEME_COLUMN_MARKER">'ТС. Т-передача ТЭ'!$I$41</definedName>
    <definedName name="HEAT_TARIFF_E1_NUM_TER_COLUMN_MARKER">'ТС. Т-передача ТЭ'!$F$41</definedName>
    <definedName name="HEAT_TARIFF_E1_NUM_TN_COLUMN_MARKER">'ТС. Т-передача ТЭ'!$K$41</definedName>
    <definedName name="HEAT_TARIFF_E2_ADD_HL_COLUMN_MARKER">'ТС. Т-передача ТН'!$T$36</definedName>
    <definedName name="HEAT_TARIFF_E2_DEL_HL_GC_COLUMN_MARKER">'ТС. Т-передача ТН'!$Q$36</definedName>
    <definedName name="HEAT_TARIFF_E2_DEL_HL_SCHEME_COLUMN_MARKER">'ТС. Т-передача ТН'!$P$36</definedName>
    <definedName name="HEAT_TARIFF_E2_DEL_HL_TN_COLUMN_MARKER">'ТС. Т-передача ТН'!$R$36</definedName>
    <definedName name="HEAT_TARIFF_E2_DELETE_PERIOD_ROW_MARKER">'ТС. Т-передача ТН'!$O$37</definedName>
    <definedName name="HEAT_TARIFF_E2_FLAG_BLOCK_COLUMN_MARKER">'ТС. Т-передача ТН'!$L$41</definedName>
    <definedName name="HEAT_TARIFF_E2_FLAG_BLOCK_ROW_MARKER">'ТС. Т-передача ТН'!$O$22</definedName>
    <definedName name="HEAT_TARIFF_E2_NUM_CS_COLUMN_MARKER">'ТС. Т-передача ТН'!$G$41</definedName>
    <definedName name="HEAT_TARIFF_E2_NUM_GC_COLUMN_MARKER">'ТС. Т-передача ТН'!$J$41</definedName>
    <definedName name="HEAT_TARIFF_E2_NUM_IST_TE_COLUMN_MARKER">'ТС. Т-передача ТН'!$H$41</definedName>
    <definedName name="HEAT_TARIFF_E2_NUM_NTAR_COLUMN_MARKER">'ТС. Т-передача ТН'!$E$41</definedName>
    <definedName name="HEAT_TARIFF_E2_NUM_SCHEME_COLUMN_MARKER">'ТС. Т-передача ТН'!$I$41</definedName>
    <definedName name="HEAT_TARIFF_E2_NUM_TER_COLUMN_MARKER">'ТС. Т-передача ТН'!$F$41</definedName>
    <definedName name="HEAT_TARIFF_E2_NUM_TN_COLUMN_MARKER">'ТС. Т-передача ТН'!$K$41</definedName>
    <definedName name="HEAT_TARIFF_F_ADD_HL_COLUMN_MARKER">'ТС. Резерв мощности'!$T$36</definedName>
    <definedName name="HEAT_TARIFF_F_DEL_HL_GC_COLUMN_MARKER">'ТС. Резерв мощности'!$Q$36</definedName>
    <definedName name="HEAT_TARIFF_F_DEL_HL_SCHEME_COLUMN_MARKER">'ТС. Резерв мощности'!$P$36</definedName>
    <definedName name="HEAT_TARIFF_F_DEL_HL_TN_COLUMN_MARKER">'ТС. Резерв мощности'!$R$36</definedName>
    <definedName name="HEAT_TARIFF_F_DELETE_PERIOD_ROW_MARKER">'ТС. Резерв мощности'!$O$37</definedName>
    <definedName name="HEAT_TARIFF_F_FLAG_BLOCK_COLUMN_MARKER">'ТС. Резерв мощности'!$L$41</definedName>
    <definedName name="HEAT_TARIFF_F_FLAG_BLOCK_ROW_MARKER">'ТС. Резерв мощности'!$O$22</definedName>
    <definedName name="HEAT_TARIFF_F_NUM_CS_COLUMN_MARKER">'ТС. Резерв мощности'!$G$41</definedName>
    <definedName name="HEAT_TARIFF_F_NUM_GC_COLUMN_MARKER">'ТС. Резерв мощности'!$J$41</definedName>
    <definedName name="HEAT_TARIFF_F_NUM_IST_TE_COLUMN_MARKER">'ТС. Резерв мощности'!$H$41</definedName>
    <definedName name="HEAT_TARIFF_F_NUM_NTAR_COLUMN_MARKER">'ТС. Резерв мощности'!$E$41</definedName>
    <definedName name="HEAT_TARIFF_F_NUM_SCHEME_COLUMN_MARKER">'ТС. Резерв мощности'!$I$41</definedName>
    <definedName name="HEAT_TARIFF_F_NUM_TER_COLUMN_MARKER">'ТС. Резерв мощности'!$F$41</definedName>
    <definedName name="HEAT_TARIFF_F_NUM_TN_COLUMN_MARKER">'ТС. Резерв мощности'!$K$41</definedName>
    <definedName name="HEAT_TARIFF_G_ADD_HL_COLUMN_MARKER">'ТС. Т-подкл'!$T$37</definedName>
    <definedName name="HEAT_TARIFF_G_ADD_HL_DIAMETERS_COLUMN_MARKER">'ТС. Т-подкл'!$AM$37</definedName>
    <definedName name="HEAT_TARIFF_G_ADD_HL_LOAD_COLUMN_MARKER">'ТС. Т-подкл'!$AE$37</definedName>
    <definedName name="HEAT_TARIFF_G_ADD_HL_NETS_COLUMN_MARKER">'ТС. Т-подкл'!$AI$37</definedName>
    <definedName name="HEAT_TARIFF_G_DEL_HL_DIAMETERS_COLUMN_MARKER">'ТС. Т-подкл'!$AK$37</definedName>
    <definedName name="HEAT_TARIFF_G_DEL_HL_GC_COLUMN_MARKER">'ТС. Т-подкл'!$Q$37</definedName>
    <definedName name="HEAT_TARIFF_G_DEL_HL_LOAD_COLUMN_MARKER">'ТС. Т-подкл'!$AC$37</definedName>
    <definedName name="HEAT_TARIFF_G_DEL_HL_NETS_COLUMN_MARKER">'ТС. Т-подкл'!$AG$37</definedName>
    <definedName name="HEAT_TARIFF_G_DEL_HL_SCHEME_COLUMN_MARKER">'ТС. Т-подкл'!$P$37</definedName>
    <definedName name="HEAT_TARIFF_G_DEL_HL_TN_COLUMN_MARKER">'ТС. Т-подкл'!$R$37</definedName>
    <definedName name="HEAT_TARIFF_G_DELETE_PERIOD_ROW_MARKER">'ТС. Т-подкл'!$O$38</definedName>
    <definedName name="HEAT_TARIFF_G_FLAG_BLOCK_COLUMN_MARKER">'ТС. Т-подкл'!$L$43</definedName>
    <definedName name="HEAT_TARIFF_G_FLAG_BLOCK_ROW_MARKER">'ТС. Т-подкл'!$O$23</definedName>
    <definedName name="HEAT_TARIFF_G_NUM_CS_COLUMN_MARKER">'ТС. Т-подкл'!$G$43</definedName>
    <definedName name="HEAT_TARIFF_G_NUM_DIAMETERS_COLUMN_MARKER">'ТС. Т-подкл'!$AL$37</definedName>
    <definedName name="HEAT_TARIFF_G_NUM_GC_COLUMN_MARKER">'ТС. Т-подкл'!$J$43</definedName>
    <definedName name="HEAT_TARIFF_G_NUM_IST_TE_COLUMN_MARKER">'ТС. Т-подкл'!$H$43</definedName>
    <definedName name="HEAT_TARIFF_G_NUM_LOAD_COLUMN_MARKER">'ТС. Т-подкл'!$AD$37</definedName>
    <definedName name="HEAT_TARIFF_G_NUM_NETS_COLUMN_MARKER">'ТС. Т-подкл'!$AH$37</definedName>
    <definedName name="HEAT_TARIFF_G_NUM_NTAR_COLUMN_MARKER">'ТС. Т-подкл'!$E$43</definedName>
    <definedName name="HEAT_TARIFF_G_NUM_SCHEME_COLUMN_MARKER">'ТС. Т-подкл'!$I$43</definedName>
    <definedName name="HEAT_TARIFF_G_NUM_TER_COLUMN_MARKER">'ТС. Т-подкл'!$F$43</definedName>
    <definedName name="HEAT_TARIFF_G_NUM_TN_COLUMN_MARKER">'ТС. Т-подкл'!$K$43</definedName>
    <definedName name="HOTVSNA_FIN_SRC_LIST">TEHSHEET!$BJ$4:$BJ$34</definedName>
    <definedName name="HOTVSNA_FIN_SRC_VLD_LIST">TEHSHEET!$BJ$39:$BJ$60</definedName>
    <definedName name="HOTVSNA_IP_EVENT_CI_STAGE_LIST">TEHSHEET!$BJ$97:$BJ$100</definedName>
    <definedName name="HOTVSNA_IP_EVENT_GROUP_LIST">TEHSHEET!$BJ$69:$BJ$76</definedName>
    <definedName name="HOTVSNA_IP_EVENT_SUBGROUP_1_LIST">TEHSHEET!$BJ$80:$BJ$83</definedName>
    <definedName name="HOTVSNA_IP_EVENT_SUBGROUP_3_LIST">TEHSHEET!$BJ$87:$BJ$88</definedName>
    <definedName name="HOTVSNA_IP_EVENT_SUBGROUP_5_LIST">TEHSHEET!$BJ$92:$BJ$93</definedName>
    <definedName name="HOTVSNA_IP_EVENT_TYPE_LIST">TEHSHEET!$BJ$108</definedName>
    <definedName name="HOTVSNA_PT_VED_ID">TEHSHEET!$BW$19:$BW$21</definedName>
    <definedName name="HOTVSNA_PT_VED_NAME">TEHSHEET!$BX$19:$BX$21</definedName>
    <definedName name="HOTVSNA_PT_VED_NAME_LIST">TEHSHEET!$BW$19:$BX$21</definedName>
    <definedName name="HOTVSNA_TARIFF_A_HOTVSNA_ADD_HL_COLUMN_MARKER">'ГВС. Т-гор.вода'!$T$34</definedName>
    <definedName name="HOTVSNA_TARIFF_A_HOTVSNA_DEL_HL_DATA_DIFF_COLUMN_MARKER">'ГВС. Т-гор.вода'!$R$34</definedName>
    <definedName name="HOTVSNA_TARIFF_A_HOTVSNA_DEL_HL_FLAG_DIFF_COLUMN_MARKER">'ГВС. Т-гор.вода'!$P$34</definedName>
    <definedName name="HOTVSNA_TARIFF_A_HOTVSNA_DEL_HL_GC_COLUMN_MARKER">'ГВС. Т-гор.вода'!$Q$34</definedName>
    <definedName name="HOTVSNA_TARIFF_A_HOTVSNA_DELETE_PERIOD_ROW_MARKER">'ГВС. Т-гор.вода'!$O$35</definedName>
    <definedName name="HOTVSNA_TARIFF_A_HOTVSNA_FLAG_BLOCK_COLUMN_MARKER">'ГВС. Т-гор.вода'!$L$36</definedName>
    <definedName name="HOTVSNA_TARIFF_A_HOTVSNA_FLAG_BLOCK_ROW_MARKER">'ГВС. Т-гор.вода'!$O$20</definedName>
    <definedName name="HOTVSNA_TARIFF_A_HOTVSNA_NUM_CS_COLUMN_MARKER">'ГВС. Т-гор.вода'!$G$36</definedName>
    <definedName name="HOTVSNA_TARIFF_A_HOTVSNA_NUM_DATA_DIFF_COLUMN_MARKER">'ГВС. Т-гор.вода'!$K$36</definedName>
    <definedName name="HOTVSNA_TARIFF_A_HOTVSNA_NUM_FLAG_DIFF_COLUMN_MARKER">'ГВС. Т-гор.вода'!$I$36</definedName>
    <definedName name="HOTVSNA_TARIFF_A_HOTVSNA_NUM_GC_COLUMN_MARKER">'ГВС. Т-гор.вода'!$J$36</definedName>
    <definedName name="HOTVSNA_TARIFF_A_HOTVSNA_NUM_NTAR_COLUMN_MARKER">'ГВС. Т-гор.вода'!$E$36</definedName>
    <definedName name="HOTVSNA_TARIFF_A_HOTVSNA_NUM_TER_COLUMN_MARKER">'ГВС. Т-гор.вода'!$F$36</definedName>
    <definedName name="HOTVSNA_TARIFF_B_HOTVSNA_ADD_HL_COLUMN_MARKER">'ГВС. Т-транс'!$T$34</definedName>
    <definedName name="HOTVSNA_TARIFF_B_HOTVSNA_DEL_HL_DATA_DIFF_COLUMN_MARKER">'ГВС. Т-транс'!$R$34</definedName>
    <definedName name="HOTVSNA_TARIFF_B_HOTVSNA_DEL_HL_FLAG_DIFF_COLUMN_MARKER">'ГВС. Т-транс'!$P$34</definedName>
    <definedName name="HOTVSNA_TARIFF_B_HOTVSNA_DEL_HL_GC_COLUMN_MARKER">'ГВС. Т-транс'!$Q$34</definedName>
    <definedName name="HOTVSNA_TARIFF_B_HOTVSNA_DELETE_PERIOD_ROW_MARKER">'ГВС. Т-транс'!$O$35</definedName>
    <definedName name="HOTVSNA_TARIFF_B_HOTVSNA_FLAG_BLOCK_COLUMN_MARKER">'ГВС. Т-транс'!$L$36</definedName>
    <definedName name="HOTVSNA_TARIFF_B_HOTVSNA_FLAG_BLOCK_ROW_MARKER">'ГВС. Т-транс'!$O$20</definedName>
    <definedName name="HOTVSNA_TARIFF_B_HOTVSNA_NUM_CS_COLUMN_MARKER">'ГВС. Т-транс'!$G$36</definedName>
    <definedName name="HOTVSNA_TARIFF_B_HOTVSNA_NUM_DATA_DIFF_COLUMN_MARKER">'ГВС. Т-транс'!$K$36</definedName>
    <definedName name="HOTVSNA_TARIFF_B_HOTVSNA_NUM_FLAG_DIFF_COLUMN_MARKER">'ГВС. Т-транс'!$I$36</definedName>
    <definedName name="HOTVSNA_TARIFF_B_HOTVSNA_NUM_GC_COLUMN_MARKER">'ГВС. Т-транс'!$J$36</definedName>
    <definedName name="HOTVSNA_TARIFF_B_HOTVSNA_NUM_NTAR_COLUMN_MARKER">'ГВС. Т-транс'!$E$36</definedName>
    <definedName name="HOTVSNA_TARIFF_B_HOTVSNA_NUM_TER_COLUMN_MARKER">'ГВС. Т-транс'!$F$36</definedName>
    <definedName name="HOTVSNA_TARIFF_C_HOTVSNA_ADD_HL_COLUMN_MARKER">'ГВС. Т-подкл'!$T$38</definedName>
    <definedName name="HOTVSNA_TARIFF_C_HOTVSNA_ADD_HL_DIAMETERS_COLUMN_MARKER">'ГВС. Т-подкл'!$AK$38</definedName>
    <definedName name="HOTVSNA_TARIFF_C_HOTVSNA_ADD_HL_LEN_COLUMN_MARKER">'ГВС. Т-подкл'!$AO$38</definedName>
    <definedName name="HOTVSNA_TARIFF_C_HOTVSNA_ADD_HL_LOAD_COLUMN_MARKER">'ГВС. Т-подкл'!$AG$38</definedName>
    <definedName name="HOTVSNA_TARIFF_C_HOTVSNA_ADD_HL_NETS_COLUMN_MARKER">'ГВС. Т-подкл'!$AS$38</definedName>
    <definedName name="HOTVSNA_TARIFF_C_HOTVSNA_DEL_HL_DATA_DIFF_COLUMN_MARKER">'ГВС. Т-подкл'!$R$38</definedName>
    <definedName name="HOTVSNA_TARIFF_C_HOTVSNA_DEL_HL_DIAMETERS_COLUMN_MARKER">'ГВС. Т-подкл'!$AI$38</definedName>
    <definedName name="HOTVSNA_TARIFF_C_HOTVSNA_DEL_HL_FLAG_DIFF_COLUMN_MARKER">'ГВС. Т-подкл'!$P$38</definedName>
    <definedName name="HOTVSNA_TARIFF_C_HOTVSNA_DEL_HL_GC_COLUMN_MARKER">'ГВС. Т-подкл'!$Q$38</definedName>
    <definedName name="HOTVSNA_TARIFF_C_HOTVSNA_DEL_HL_LEN_COLUMN_MARKER">'ГВС. Т-подкл'!$AM$38</definedName>
    <definedName name="HOTVSNA_TARIFF_C_HOTVSNA_DEL_HL_LOAD_COLUMN_MARKER">'ГВС. Т-подкл'!$AE$38</definedName>
    <definedName name="HOTVSNA_TARIFF_C_HOTVSNA_DEL_HL_NETS_COLUMN_MARKER">'ГВС. Т-подкл'!$AQ$38</definedName>
    <definedName name="HOTVSNA_TARIFF_C_HOTVSNA_DELETE_PERIOD_ROW_MARKER">'ГВС. Т-подкл'!$O$39</definedName>
    <definedName name="HOTVSNA_TARIFF_C_HOTVSNA_FLAG_BLOCK_COLUMN_MARKER">'ГВС. Т-подкл'!$L$44</definedName>
    <definedName name="HOTVSNA_TARIFF_C_HOTVSNA_FLAG_BLOCK_ROW_MARKER">'ГВС. Т-подкл'!$O$24</definedName>
    <definedName name="HOTVSNA_TARIFF_C_HOTVSNA_NUM_CS_COLUMN_MARKER">'ГВС. Т-подкл'!$G$44</definedName>
    <definedName name="HOTVSNA_TARIFF_C_HOTVSNA_NUM_DATA_DIFF_COLUMN_MARKER">'ГВС. Т-подкл'!$K$44</definedName>
    <definedName name="HOTVSNA_TARIFF_C_HOTVSNA_NUM_DIAMETERS_COLUMN_MARKER">'ГВС. Т-подкл'!$AJ$38</definedName>
    <definedName name="HOTVSNA_TARIFF_C_HOTVSNA_NUM_FLAG_DIFF_COLUMN_MARKER">'ГВС. Т-подкл'!$I$44</definedName>
    <definedName name="HOTVSNA_TARIFF_C_HOTVSNA_NUM_GC_COLUMN_MARKER">'ГВС. Т-подкл'!$J$44</definedName>
    <definedName name="HOTVSNA_TARIFF_C_HOTVSNA_NUM_LEN_COLUMN_MARKER">'ГВС. Т-подкл'!$AN$38</definedName>
    <definedName name="HOTVSNA_TARIFF_C_HOTVSNA_NUM_LOAD_COLUMN_MARKER">'ГВС. Т-подкл'!$AF$38</definedName>
    <definedName name="HOTVSNA_TARIFF_C_HOTVSNA_NUM_NETS_COLUMN_MARKER">'ГВС. Т-подкл'!$AR$38</definedName>
    <definedName name="HOTVSNA_TARIFF_C_HOTVSNA_NUM_NTAR_COLUMN_MARKER">'ГВС. Т-подкл'!$E$44</definedName>
    <definedName name="HOTVSNA_TARIFF_C_HOTVSNA_NUM_TER_COLUMN_MARKER">'ГВС. Т-подкл'!$F$44</definedName>
    <definedName name="Info_Diff">modInfo!$B$28</definedName>
    <definedName name="Info_Diff1">modInfo!$B$30</definedName>
    <definedName name="Info_FilFlag">modInfo!$B$1</definedName>
    <definedName name="Info_ForMOInListMO">modInfo!$B$18</definedName>
    <definedName name="Info_ForMRInListMO">modInfo!$B$17</definedName>
    <definedName name="Info_ForSKIInListMO">modInfo!$B$19</definedName>
    <definedName name="Info_ForSKINumberInListMO">modInfo!$B$20</definedName>
    <definedName name="Info_NoteStandarts">modInfo!$B$22</definedName>
    <definedName name="Info_NoUpdates">modInfo!$B$36</definedName>
    <definedName name="Info_PeriodInTitle">modInfo!$B$4</definedName>
    <definedName name="Info_PrDiff">modInfo!$B$29</definedName>
    <definedName name="Info_PublicationNotDisclosed">modInfo!$B$15</definedName>
    <definedName name="Info_PublicationPdf">modInfo!$B$14</definedName>
    <definedName name="Info_PublicationWeb">modInfo!$B$13</definedName>
    <definedName name="Info_T_Podkl">modInfo!$B$24</definedName>
    <definedName name="Info_TarName">modInfo!$B$27</definedName>
    <definedName name="Info_TerExcludeHelp_1">modInfo!$B$33</definedName>
    <definedName name="Info_TerExcludeHelp_2">modInfo!$B$34</definedName>
    <definedName name="Info_TitleFil">modInfo!$B$11</definedName>
    <definedName name="Info_TitleFlagCrossSubsidization">modInfo!$B$8</definedName>
    <definedName name="Info_TitleFlagIstPubl">modInfo!$B$9</definedName>
    <definedName name="Info_TitleFlagTwoPartTariff">modInfo!$B$7</definedName>
    <definedName name="Info_TitleGroupRates">modInfo!$B$5</definedName>
    <definedName name="Info_TitleKindPublication">modInfo!$B$3</definedName>
    <definedName name="Info_TitleKindsOfGoods">modInfo!$B$6</definedName>
    <definedName name="Info_TitlePublication">modInfo!$B$2</definedName>
    <definedName name="Info_TitleType">modInfo!$B$10</definedName>
    <definedName name="inn">Титульный!$F$31</definedName>
    <definedName name="IP_CLAIM_LIST">TEHSHEET!$AZ$20:$AZ$26</definedName>
    <definedName name="IP_DETAILED_ADD_HL_EVENT_COLUMN_MARKER">'ИП. Детализация'!$I$7</definedName>
    <definedName name="IP_DETAILED_ADD_HL_IST_FIN_COLUMN_MARKER">'ИП. Детализация'!$AB$7</definedName>
    <definedName name="IP_DETAILED_ADD_HL_OBJECT_COLUMN_MARKER">'ИП. Детализация'!$P$7</definedName>
    <definedName name="IP_DETAILED_DATA_KS">'ИП. Детализация'!$M$7</definedName>
    <definedName name="IP_DETAILED_EVENT_MARKER">'ИП. Детализация'!$K$7:$Y$7</definedName>
    <definedName name="IP_DETAILED_EVENT_SUBGROUP_COLUMN_MARKER">'ИП. Детализация'!$J$7</definedName>
    <definedName name="IP_DETAILED_EVENT_SUBGROUP_RANGE_COLUMN_MARKER">'ИП. Детализация'!$B$7</definedName>
    <definedName name="IP_DETAILED_FLAG_KS">'ИП. Детализация'!$L$7</definedName>
    <definedName name="IP_DETAILED_FLAG_OBJECT">'ИП. Детализация'!$P$13</definedName>
    <definedName name="IP_DETAILED_GROUP_MARKER">'ИП. Детализация'!$I$7:$J$7</definedName>
    <definedName name="IP_DETAILED_IST_FIN_FACT_COLUMN_MARKER">'ИП. Детализация'!$AD$7</definedName>
    <definedName name="IP_DETAILED_LIST_IP_ID">'ИП. Детализация'!$A$14:$A$14</definedName>
    <definedName name="IP_DETAILED_MONTH_FACT_COLUMN_MARKER">'ИП. Детализация'!$AJ$7</definedName>
    <definedName name="IP_DETAILED_MONTH_PLAN_COLUMN_MARKER">'ИП. Детализация'!$AG$7</definedName>
    <definedName name="IP_DETAILED_NAME_EVENT_COLUMN_MARKER">'ИП. Детализация'!$K$7</definedName>
    <definedName name="IP_DETAILED_YEAR_FACT_COLUMN_MARKER">'ИП. Детализация'!$AK$7</definedName>
    <definedName name="IP_DETAILED_YEAR_PLAN_COLUMN_MARKER">'ИП. Детализация'!$AH$7</definedName>
    <definedName name="IP_FIN_PLAN_LIST_ID_MARKER_ROW">'ИП. Финансовый план'!$E$8</definedName>
    <definedName name="IP_FIN_PLAN_NAME_IP_MARKER_ROW">'ИП. Финансовый план'!$E$11</definedName>
    <definedName name="IP_FIN_PLAN_YEAR_MARKER_ROW">'ИП. Финансовый план'!$E$12</definedName>
    <definedName name="IP_ID">TEHSHEET!$E$58</definedName>
    <definedName name="IP_MAIN_ADD_HL_PROPERTY_COLUMN_MARKER">ИП!$AB$7</definedName>
    <definedName name="IP_MAIN_APPROVAL_DATE">ИП!$I$11:$I$13</definedName>
    <definedName name="IP_MAIN_CHANGE_DATE">ИП!$J$11:$J$13</definedName>
    <definedName name="IP_MAIN_CLAIM">ИП!$K$11:$K$13</definedName>
    <definedName name="IP_MAIN_DATE_PARKING">ИП!$L$5</definedName>
    <definedName name="IP_MAIN_DELETE_HL_COLUMN_MARKER">ИП!$E$7</definedName>
    <definedName name="IP_MAIN_DIFFERENTIATION_EVENTS_FLAG">ИП!$H$11:$H$13</definedName>
    <definedName name="IP_MAIN_END_DATE">ИП!$O$11:$O$13</definedName>
    <definedName name="IP_MAIN_FLAG_KS">ИП!$Y$11:$Y$13</definedName>
    <definedName name="IP_MAIN_FLAG_KS_COLUMN_MARKER">ИП!$Y$7</definedName>
    <definedName name="IP_MAIN_IP_FIN_PLAN_VISIBLE_FLAG">ИП!$H$15</definedName>
    <definedName name="IP_MAIN_LIST_IP_ID">ИП!$AD$11:$AD$13</definedName>
    <definedName name="IP_MAIN_LIST_NAME_IP">ИП!$G$11:$G$13</definedName>
    <definedName name="IP_MAIN_PERIOD_REALIZ_DATE">ИП!$P$11:$P$13</definedName>
    <definedName name="IP_MAIN_PR_IP_CHANGE_DATE">ИП!$X$11:$X$13</definedName>
    <definedName name="IP_MAIN_PR_IP_DATE">ИП!$T$11:$T$13</definedName>
    <definedName name="IP_MAIN_START_DATE">ИП!$N$11:$N$13</definedName>
    <definedName name="IP_QRE_ADD_HL_CLAIM_COLUMN_MARKER">'ИП. КНЭ'!$G$7</definedName>
    <definedName name="IP_QRE_ADD_HL_COLUMN_MARKER">'ИП. КНЭ'!$G$8</definedName>
    <definedName name="IP_QRE_DELETE_HL_COLUMN_MARKER">'ИП. КНЭ'!$E$8</definedName>
    <definedName name="IP_QRE_LIST_IP_ID">'ИП. КНЭ'!$A$18:$A$20</definedName>
    <definedName name="IP_QRE_NUM_COLUMN_MARKER">'ИП. КНЭ'!$F$8</definedName>
    <definedName name="IP_QRE_OTKO_FEATURES_BLOCK">'ИП. КНЭ'!$DY$8</definedName>
    <definedName name="IP_QRE_VOTV_FEATURES_BLOCK">'ИП. КНЭ'!$CY$8:$DX$8</definedName>
    <definedName name="IP_QRE_VSNA_FEATURES_BLOCK">'ИП. КНЭ'!$BT$8:$CX$8</definedName>
    <definedName name="IP_QRE_WARM_FEATURES_BLOCK">'ИП. КНЭ'!$O$8:$BS$8</definedName>
    <definedName name="IST_TE_ID">TEHSHEET!$E$64</definedName>
    <definedName name="kind_group_rates">TEHSHEET!$X$2:$X$14</definedName>
    <definedName name="kind_group_rates_load">TEHSHEET!$AP$2:$AP$11</definedName>
    <definedName name="kind_group_rates_load_ETS">TEHSHEET!$AP$2:$AP$11</definedName>
    <definedName name="kind_group_rates_load_filter">TEHSHEET!$AQ$2:$AQ$11</definedName>
    <definedName name="kind_group_rates_load_filter_ETS">TEHSHEET!$AQ$2:$AQ$11</definedName>
    <definedName name="kind_of_activity_WARM">TEHSHEET!$N$2:$N$8</definedName>
    <definedName name="kind_of_cons">TEHSHEET!$R$2:$R$6</definedName>
    <definedName name="kind_of_control_method">TEHSHEET!$K$2:$K$5</definedName>
    <definedName name="kind_of_control_method_filter">TEHSHEET!$L$2:$L$5</definedName>
    <definedName name="kind_of_data_type">TEHSHEET!$P$2:$P$3</definedName>
    <definedName name="kind_of_diameters">TEHSHEET!$T$2:$T$6</definedName>
    <definedName name="kind_of_diameters2">TEHSHEET!$AU$2:$AU$8</definedName>
    <definedName name="kind_of_diff">TEHSHEET!$AS$2:$AS$4</definedName>
    <definedName name="kind_of_fuel">TEHSHEET!$AK$2:$AK$9</definedName>
    <definedName name="kind_of_fuels">TEHSHEET!$BB$2:$BB$29</definedName>
    <definedName name="kind_of_heat_transfer">TEHSHEET!$O$2:$O$12</definedName>
    <definedName name="kind_of_heat_transfer2">TEHSHEET!$AH$2:$AH$7</definedName>
    <definedName name="kind_of_heat_transfer3">TEHSHEET!$AI$2:$AI$3</definedName>
    <definedName name="kind_of_load">TEHSHEET!$U$2:$U$7</definedName>
    <definedName name="kind_of_load2">TEHSHEET!$U$2:$U$4</definedName>
    <definedName name="kind_of_load3">TEHSHEET!$AF$2:$AF$5</definedName>
    <definedName name="kind_of_load4">TEHSHEET!$U$2:$U$5</definedName>
    <definedName name="kind_of_NDS">TEHSHEET!$H$2:$H$7</definedName>
    <definedName name="kind_of_NDS_tariff">TEHSHEET!$H$10:$H$11</definedName>
    <definedName name="kind_of_NDS_tariff_people">TEHSHEET!$H$16:$H$17</definedName>
    <definedName name="kind_of_nets">TEHSHEET!$S$2:$S$4</definedName>
    <definedName name="kind_of_org_type">TEHSHEET!$AZ$2:$AZ$5</definedName>
    <definedName name="kind_of_power_te_unit">TEHSHEET!$J$11:$J$12</definedName>
    <definedName name="kind_of_publication">TEHSHEET!$G$2:$G$3</definedName>
    <definedName name="kind_of_purchase_method">TEHSHEET!$K$11:$K$13</definedName>
    <definedName name="kind_of_scheme_in">TEHSHEET!$Q$2:$Q$5</definedName>
    <definedName name="kind_of_scheme_in2">TEHSHEET!$Q$3:$Q$5</definedName>
    <definedName name="kind_of_tariff_unit">TEHSHEET!$J$7:$J$8</definedName>
    <definedName name="kind_of_unit">TEHSHEET!$J$2:$J$4</definedName>
    <definedName name="kind_of_volume_te_unit">TEHSHEET!$J$15:$J$16</definedName>
    <definedName name="kind_of_zak">TEHSHEET!$AM$2:$AM$7</definedName>
    <definedName name="KNE_NAME_FORM">DATA_FORMS!$C$8</definedName>
    <definedName name="kpp">Титульный!$F$32</definedName>
    <definedName name="LINK_RANGE">REESTR_LINK!$B$2:$B$3</definedName>
    <definedName name="List_H">TEHSHEET!$AW$2:$AW$25</definedName>
    <definedName name="List_M">TEHSHEET!$AX$2:$AX$61</definedName>
    <definedName name="LIST_MR_MO_OKTMO">REESTR_MO!$A$2:$D$709</definedName>
    <definedName name="LIST_MR_MO_OKTMO_FILTER">REESTR_MO_FILTER!$A$2:$D$708</definedName>
    <definedName name="ListForms">modSheetMain!$A:$A</definedName>
    <definedName name="logical">TEHSHEET!$D$2:$D$3</definedName>
    <definedName name="MONTH">TEHSHEET!$E$2:$E$13</definedName>
    <definedName name="MONTH_IP_LIST">TEHSHEET!$BF$2:$BF$13</definedName>
    <definedName name="nalog">Титульный!$F$35</definedName>
    <definedName name="name_rates_4">TEHSHEET!$AA$2:$AA$3</definedName>
    <definedName name="name_rates_4_filter">TEHSHEET!$AB$2:$AB$3</definedName>
    <definedName name="name_rates_8">TEHSHEET!$AC$2:$AC$4</definedName>
    <definedName name="name_rates_8_filter">TEHSHEET!$AD$2:$AD$4</definedName>
    <definedName name="NameTemplatesInListMO">TEHSHEET!$K$45</definedName>
    <definedName name="NameTemplatesInTitle">TEHSHEET!$J$45</definedName>
    <definedName name="NameTemplatesInTitleList">TEHSHEET!$J$46:$J$53</definedName>
    <definedName name="NTAR_ID">TEHSHEET!$E$61</definedName>
    <definedName name="org">Титульный!$F$29</definedName>
    <definedName name="Org_Address">Титульный!$F$62:$F$62</definedName>
    <definedName name="ORG_END_DATE">TEHSHEET!$F$29</definedName>
    <definedName name="ORG_INFO_DATE_OGRN">'Общая информация об организации'!$F$17</definedName>
    <definedName name="ORG_INFO_DATE_PARKING">'Общая информация об организации'!$G$4</definedName>
    <definedName name="ORG_INFO_DATE_UNI_TS">'Общая информация об организации'!$F$21</definedName>
    <definedName name="ORG_INFO_EMAIL">'Общая информация об организации'!$F$43</definedName>
    <definedName name="ORG_INFO_ET">'Общая информация об организации'!$F$20:$F$23</definedName>
    <definedName name="ORG_INFO_FLAG_INVEST">'Общая информация об организации'!$F$50</definedName>
    <definedName name="ORG_INFO_NAME_FORM">DATA_FORMS!$C$4</definedName>
    <definedName name="ORG_INFO_P_NOTE_MAIN">DATA_NPA!$N$3</definedName>
    <definedName name="ORG_INFO_RESP_EMAIL">'Общая информация об организации'!$F$31</definedName>
    <definedName name="ORG_INFO_URL">'Общая информация об организации'!$F$42</definedName>
    <definedName name="Org_main">Титульный!$F$63</definedName>
    <definedName name="ORG_START_DATE">TEHSHEET!$E$29</definedName>
    <definedName name="ORG_TERRITORY_FIRST_MO">'Сведения по территориям'!$G$12</definedName>
    <definedName name="ORG_TERRITORY_FLAG_INTERNET">'Сведения по территориям'!$J$11:$J$13</definedName>
    <definedName name="ORG_TERRITORY_LINK">'Сведения по территориям'!$K$11:$K$13</definedName>
    <definedName name="ORG_TERRITORY_NAME_COL">'Сведения по территориям'!$G$1:$I$1</definedName>
    <definedName name="ORG_TERRITORY_POINT_NUMBER_1">'Сведения по территориям'!$A:$A</definedName>
    <definedName name="ORG_VD_EM">'Общая информация по ВД'!$K$11:$K$13</definedName>
    <definedName name="ORG_VD_FIRST_ROW">'Общая информация по ВД'!$12:$12</definedName>
    <definedName name="ORG_VD_FIRST_SYSTEM">'Общая информация по ВД'!$E$12</definedName>
    <definedName name="ORG_VD_SYSTEM">'Общая информация по ВД'!$E$11:$E$13</definedName>
    <definedName name="ORG_VD_TKO_ADD_HL_ACTIVITY_COLUMN_MARKER">'Виды объектов'!$E$9</definedName>
    <definedName name="ORG_VD_TKO_ADD_HL_TYPE_OBJECT_COLUMN_MARKER">'Виды объектов'!$H$9</definedName>
    <definedName name="ORG_VD_TKO_DEL_HL_ACTIVITY_COLUMN_MARKER">'Виды объектов'!$C$9</definedName>
    <definedName name="ORG_VD_TKO_DEL_HL_TYPE_OBJECT_COLUMN_MARKER">'Виды объектов'!$F$9</definedName>
    <definedName name="ORG_VD_TKO_VD">'Виды объектов'!$E$13:$E$16</definedName>
    <definedName name="ORG_VD_TKO_VD_ID">'Виды объектов'!$O$13:$O$16</definedName>
    <definedName name="ORG_VD_VD">'Общая информация по ВД'!$F$11:$F$13</definedName>
    <definedName name="ORG_VD_VD_ID">'Общая информация по ВД'!$AM$11:$AM$13</definedName>
    <definedName name="OTKO_FIN_SRC_LIST">TEHSHEET!$BN$4:$BN$18</definedName>
    <definedName name="OTKO_FIN_SRC_VLD_LIST">TEHSHEET!$BN$39:$BN$48</definedName>
    <definedName name="OTKO_IP_EVENT_CI_STAGE_LIST">TEHSHEET!$BN$97:$BN$104</definedName>
    <definedName name="OTKO_IP_EVENT_GROUP_LIST">TEHSHEET!$BN$69:$BN$74</definedName>
    <definedName name="OTKO_IP_EVENT_TYPE_LIST">TEHSHEET!$BN$108</definedName>
    <definedName name="otv_lico_name">Титульный!$F$65:$F$68</definedName>
    <definedName name="P_T_TERMS_LINK">Договоры!$F$12:$F$22</definedName>
    <definedName name="pCng_P_T_TERMS_1">Договоры!$E$14:$E$15</definedName>
    <definedName name="pCng_P_T_TERMS_2">Договоры!$E$17:$E$18</definedName>
    <definedName name="pCng_P_T_TERMS_3">Договоры!$E$21:$E$22</definedName>
    <definedName name="pCng_P_T_TERMS_4">Договоры!$E$25:$E$26</definedName>
    <definedName name="pDel_CHANGE_INFO">'Сведения об изменении'!$C$12:$C$13</definedName>
    <definedName name="pDel_Comm">Комментарии!$C$11:$C$12</definedName>
    <definedName name="pDel_DIFFERENTIATION_AREA">Дифференциация!$G$12:$G$43</definedName>
    <definedName name="pDel_DIFFERENTIATION_SYSTEM">Дифференциация!$K$12:$K$43</definedName>
    <definedName name="pDel_DIFFERENTIATION_VD">Дифференциация!$C$12:$C$43</definedName>
    <definedName name="pDel_ED">ЭД!$C$12:$C$13</definedName>
    <definedName name="pDel_IP_DETAILED_EVENT">'ИП. Детализация'!$G$13</definedName>
    <definedName name="pDel_IP_DETAILED_IST_FIN">'ИП. Детализация'!$Z$13</definedName>
    <definedName name="pDel_IP_DETAILED_OBJECT">'ИП. Детализация'!$N$13</definedName>
    <definedName name="pDel_IP_MAIN">ИП!$E$11:$E$13</definedName>
    <definedName name="pDel_IP_MAIN_PROPERTY">ИП!$Z$11:$Z$13</definedName>
    <definedName name="pDel_IP_QRE_CLAIM">'ИП. КНЭ'!$E$18:$E$20</definedName>
    <definedName name="pDel_List07">'Сведения об изменении'!$C$11:$C$13</definedName>
    <definedName name="pDel_LT_AREA">'Список территорий'!$C$12:$C$15</definedName>
    <definedName name="pDel_LT_MO">'Список территорий'!$D$11:$D$15</definedName>
    <definedName name="pDel_ORG_INFO">'Общая информация об организации'!$C$39:$C$49</definedName>
    <definedName name="pDel_ORG_TERRITORY">'Сведения по территориям'!$D$11:$D$13</definedName>
    <definedName name="pDel_ORG_VD">'Общая информация по ВД'!$C$11:$C$13</definedName>
    <definedName name="pDel_P_PROCEDURE_TC">'Порядок ТП'!$C$26:$C$40</definedName>
    <definedName name="pDel_P_T_TERMS">Договоры!$C$14:$C$26</definedName>
    <definedName name="pDel_R_B_Purch">'Сведения о закупках'!$C$13:$C$14</definedName>
    <definedName name="periodEnd">Титульный!$F$10</definedName>
    <definedName name="PeriodIsEmpty">TEHSHEET!$I$45</definedName>
    <definedName name="PeriodIsEmptyList">TEHSHEET!$I$46:$I$53</definedName>
    <definedName name="periodStart">Титульный!$F$9</definedName>
    <definedName name="pHeader_B_FHD">'Показатели ФХД'!$29:$29</definedName>
    <definedName name="pHeader_B_FHD_TKO">'ТКО. Показатели ФХД'!$14:$14</definedName>
    <definedName name="pHeader_B_FHD_TKO_TRANS">'ТКО. Транс. Показатели ФХД'!$14:$14</definedName>
    <definedName name="pHeader_B_KNE">'Показатели КНЭ'!$11:$11</definedName>
    <definedName name="pHeader_Q_LIMIT">Ограничения!$30:$30</definedName>
    <definedName name="pHeader_Q_PH">'Потребительские характеристики'!$13:$13</definedName>
    <definedName name="pHeader_Q_TP">ТП!$13:$13</definedName>
    <definedName name="pHeader_ver_B_FHD">'Показатели ФХД'!$C:$C</definedName>
    <definedName name="pHeader_ver_B_FHD_TKO">'ТКО. Показатели ФХД'!$C:$C</definedName>
    <definedName name="pHeader_ver_B_FHD_TKO_TRANS">'ТКО. Транс. Показатели ФХД'!$C:$C</definedName>
    <definedName name="pHeader_ver_B_KNE">'Показатели КНЭ'!$B:$B</definedName>
    <definedName name="pHeader_ver_P_PROCEDURE_TC">'Порядок ТП'!$A$21:$A$40</definedName>
    <definedName name="pHeader_ver_Q_LIMIT">Ограничения!$E:$E</definedName>
    <definedName name="pIns_B_FHD_1">'Показатели ФХД'!$F$40</definedName>
    <definedName name="pIns_B_FHD_2">'Показатели ФХД'!$F$71</definedName>
    <definedName name="pIns_B_FHD_3">'Показатели ФХД'!$F$101</definedName>
    <definedName name="pIns_B_FHD_4">'Показатели ФХД'!$F$119</definedName>
    <definedName name="pIns_B_FHD_5">'Показатели ФХД'!$F$122</definedName>
    <definedName name="pIns_B_FHD_6">'Показатели ФХД'!$F$125</definedName>
    <definedName name="pIns_B_FHD_DIFFERENTIATION">'Показатели ФХД'!$AK$24</definedName>
    <definedName name="pIns_B_FHD_TKO_2">'ТКО. Показатели ФХД'!$F$34</definedName>
    <definedName name="pIns_B_FHD_TKO_DIFFERENTIATION">'ТКО. Показатели ФХД'!$AK$9</definedName>
    <definedName name="pIns_B_FHD_TKO_TRANS_2">'ТКО. Транс. Показатели ФХД'!$F$29</definedName>
    <definedName name="pIns_B_FHD_TKO_TRANS_DIFFERENTIATION">'ТКО. Транс. Показатели ФХД'!$AK$9</definedName>
    <definedName name="pIns_B_FHD20_DIFFERENTIATION">'Показатели ФХД &gt;20%'!$D$266</definedName>
    <definedName name="pIns_B_KNE_DIFFERENTIATION">'Показатели КНЭ'!$BM$6</definedName>
    <definedName name="pIns_CHANGE_INFO">'Сведения об изменении'!$E$13</definedName>
    <definedName name="pIns_Comm">Комментарии!$E$12</definedName>
    <definedName name="pIns_ED">ЭД!$E$13</definedName>
    <definedName name="pIns_IP_DETAILED">'ИП. Детализация'!$F$14</definedName>
    <definedName name="pIns_IP_FIN_PLAN">'ИП. Финансовый план'!$K$8</definedName>
    <definedName name="pIns_IP_MAIN">ИП!$G$13</definedName>
    <definedName name="pIns_IP_QRE">'ИП. КНЭ'!$F$21</definedName>
    <definedName name="pIns_List07">'Сведения об изменении'!$E$13</definedName>
    <definedName name="pIns_LT_AREA">'Список территорий'!$G$15</definedName>
    <definedName name="pIns_ORG_INFO_1">'Общая информация об организации'!$E$41</definedName>
    <definedName name="pIns_ORG_INFO_2">'Общая информация об организации'!$E$49</definedName>
    <definedName name="pIns_ORG_TERRITORY">'Сведения по территориям'!$G$13</definedName>
    <definedName name="pIns_ORG_VD_1">'Общая информация по ВД'!$E$13</definedName>
    <definedName name="pIns_ORG_VD_2">'Общая информация по ВД'!$F$13</definedName>
    <definedName name="pIns_ORG_VD_TKO_1">'Виды объектов'!$E$16</definedName>
    <definedName name="pIns_P_PROCEDURE_TC_1">'Порядок ТП'!$E$27</definedName>
    <definedName name="pIns_P_PROCEDURE_TC_2">'Порядок ТП'!$E$30</definedName>
    <definedName name="pIns_P_PROCEDURE_TC_3">'Порядок ТП'!$E$34</definedName>
    <definedName name="pIns_P_PROCEDURE_TC_4">'Порядок ТП'!$E$37</definedName>
    <definedName name="pIns_P_PROCEDURE_TC_5">'Порядок ТП'!$E$40</definedName>
    <definedName name="pIns_P_T_TERMS_1">Договоры!$E$15</definedName>
    <definedName name="pIns_P_T_TERMS_2">Договоры!$E$18</definedName>
    <definedName name="pIns_P_T_TERMS_3">Договоры!$E$22</definedName>
    <definedName name="pIns_P_T_TERMS_4">Договоры!$E$26</definedName>
    <definedName name="pIns_PT_VTAR_A">'ТС. Т-ТЭ | &gt;=25МВт'!$T$57</definedName>
    <definedName name="pIns_PT_VTAR_A_COLDVSNA">'ХВС. Т-пит'!$T$53</definedName>
    <definedName name="pIns_PT_VTAR_A_HOTVSNA">'ГВС. Т-гор.вода'!$T$53</definedName>
    <definedName name="pIns_PT_VTAR_A_VOTV">'ВО. Т-во'!$T$53</definedName>
    <definedName name="pIns_PT_VTAR_B">'ТС. Т-ТЭ | ТСО'!$T$57</definedName>
    <definedName name="pIns_PT_VTAR_B_COLDVSNA">'ХВС. Т-тех'!$T$53</definedName>
    <definedName name="pIns_PT_VTAR_B_HOTVSNA">'ГВС. Т-транс'!$T$53</definedName>
    <definedName name="pIns_PT_VTAR_B_VOTV">'ВО. Т-транс'!$T$53</definedName>
    <definedName name="pIns_PT_VTAR_C">'ТС. Т-ТН'!$T$57</definedName>
    <definedName name="pIns_PT_VTAR_C_COLDVSNA">'ХВС. Т-транс'!$T$53</definedName>
    <definedName name="pIns_PT_VTAR_C_HOTVSNA">'ГВС. Т-подкл'!$T$63</definedName>
    <definedName name="pIns_PT_VTAR_C_VOTV">'ВО. Т-подкл'!$T$63</definedName>
    <definedName name="pIns_PT_VTAR_D">'ТС. Т-гор.вода'!$V$65</definedName>
    <definedName name="pIns_PT_VTAR_D_COLDVSNA">'ХВС. Т-подвоз'!$T$53</definedName>
    <definedName name="pIns_PT_VTAR_E_COLDVSNA">'ХВС. Т-подкл'!$T$63</definedName>
    <definedName name="pIns_PT_VTAR_E1">'ТС. Т-передача ТЭ'!$T$57</definedName>
    <definedName name="pIns_PT_VTAR_E2">'ТС. Т-передача ТН'!$T$57</definedName>
    <definedName name="pIns_PT_VTAR_F">'ТС. Резерв мощности'!$T$57</definedName>
    <definedName name="pIns_PT_VTAR_G">'ТС. Т-подкл'!$T$62</definedName>
    <definedName name="pIns_Q_LIMIT_1">Ограничения!$E$33</definedName>
    <definedName name="pIns_Q_LIMIT_2">Ограничения!$E$35</definedName>
    <definedName name="pIns_Q_LIMIT_3">Ограничения!$E$37</definedName>
    <definedName name="pIns_Q_LIMIT_4">Ограничения!$E$39</definedName>
    <definedName name="pIns_Q_LIMIT_DIFFERENTIATION">Ограничения!$BM$25</definedName>
    <definedName name="pIns_Q_PH_DIFFERENTIATION">'Потребительские характеристики'!$BM$8</definedName>
    <definedName name="pIns_Q_TP_1">ТП!$E$22</definedName>
    <definedName name="pIns_Q_TP_DIFFERENTIATION">ТП!$AJ$8</definedName>
    <definedName name="pIns_R_B_Purch_1">'Сведения о закупках'!$E$14</definedName>
    <definedName name="pIns_ROIV_CASE_case">'Дела об установлении тарифов'!$F$11</definedName>
    <definedName name="pIns_ROIV_INFO_phone">'Орган регулирования'!$E$21</definedName>
    <definedName name="pIns_ROIV_ORG_org">'Перечень организаций'!$F$10</definedName>
    <definedName name="pIns_ROIV_OTV_org">'Привлечение к ответственности'!$G$13</definedName>
    <definedName name="pIns_ver_COLDVSNA_TARIFF_A_COLDVSNA">'ХВС. Т-пит'!$AJ$37</definedName>
    <definedName name="pIns_ver_COLDVSNA_TARIFF_B_COLDVSNA">'ХВС. Т-тех'!$AJ$37</definedName>
    <definedName name="pIns_ver_COLDVSNA_TARIFF_C_COLDVSNA">'ХВС. Т-транс'!$AJ$37</definedName>
    <definedName name="pIns_ver_COLDVSNA_TARIFF_D_COLDVSNA">'ХВС. Т-подвоз'!$AJ$37</definedName>
    <definedName name="pIns_ver_COLDVSNA_TARIFF_E_COLDVSNA">'ХВС. Т-подкл'!$BB$41</definedName>
    <definedName name="pIns_ver_HEAT_TARIFF_A">'ТС. Т-ТЭ | &gt;=25МВт'!$AL$39</definedName>
    <definedName name="pIns_ver_HEAT_TARIFF_B">'ТС. Т-ТЭ | ТСО'!$AL$39</definedName>
    <definedName name="pIns_ver_HEAT_TARIFF_C">'ТС. Т-ТН'!$AL$39</definedName>
    <definedName name="pIns_ver_HEAT_TARIFF_D">'ТС. Т-гор.вода'!$AP$43</definedName>
    <definedName name="pIns_ver_HEAT_TARIFF_E1">'ТС. Т-передача ТЭ'!$AL$39</definedName>
    <definedName name="pIns_ver_HEAT_TARIFF_E2">'ТС. Т-передача ТН'!$AL$39</definedName>
    <definedName name="pIns_ver_HEAT_TARIFF_F">'ТС. Резерв мощности'!$AL$39</definedName>
    <definedName name="pIns_ver_HEAT_TARIFF_G">'ТС. Т-подкл'!$AT$40</definedName>
    <definedName name="pIns_ver_HOTVSNA_TARIFF_A_HOTVSNA">'ГВС. Т-гор.вода'!$AJ$37</definedName>
    <definedName name="pIns_ver_HOTVSNA_TARIFF_B_HOTVSNA">'ГВС. Т-транс'!$AJ$37</definedName>
    <definedName name="pIns_ver_HOTVSNA_TARIFF_C_HOTVSNA">'ГВС. Т-подкл'!$BB$41</definedName>
    <definedName name="pIns_ver_VOTV_TARIFF_A_VOTV">'ВО. Т-во'!$AJ$37</definedName>
    <definedName name="pIns_ver_VOTV_TARIFF_B_VOTV">'ВО. Т-транс'!$AJ$37</definedName>
    <definedName name="pIns_ver_VOTV_TARIFF_C_VOTV">'ВО. Т-подкл'!$BB$41</definedName>
    <definedName name="pNote_LIMIT">Ограничения!$BM$26</definedName>
    <definedName name="pNote_Q_PH">'Потребительские характеристики'!$BM$9</definedName>
    <definedName name="PROCEDURE_TC_NAME_FORM">DATA_FORMS!$C$30</definedName>
    <definedName name="PT_ADD_HL_CS_COLUMN_MARKER">'Перечень тарифов'!$R$8</definedName>
    <definedName name="PT_ADD_HL_IST_TE_COLUMN_MARKER">'Перечень тарифов'!$V$8</definedName>
    <definedName name="PT_ADD_HL_NTAR_COLUMN_MARKER">'Перечень тарифов'!$J$8</definedName>
    <definedName name="PT_ADD_HL_TER_COLUMN_MARKER">'Перечень тарифов'!$N$8</definedName>
    <definedName name="PT_ADD_HL_VTAR_COLUMN_MARKER">'Перечень тарифов'!$E$8</definedName>
    <definedName name="pt_cs_1">'ТС. Т-ТЭ | &gt;=25МВт'!$45:$54</definedName>
    <definedName name="pt_cs_10">'ХВС. Т-тех'!$43:$50</definedName>
    <definedName name="pt_cs_11">'ХВС. Т-транс'!$43:$50</definedName>
    <definedName name="pt_cs_12">'ХВС. Т-подвоз'!$43:$50</definedName>
    <definedName name="pt_cs_13">'ХВС. Т-подкл'!$48:$60</definedName>
    <definedName name="pt_cs_14">'ГВС. Т-гор.вода'!$43:$50</definedName>
    <definedName name="pt_cs_15">'ГВС. Т-транс'!$43:$50</definedName>
    <definedName name="pt_cs_16">'ГВС. Т-подкл'!$48:$60</definedName>
    <definedName name="pt_cs_17">'ВО. Т-во'!$43:$50</definedName>
    <definedName name="pt_cs_18">'ВО. Т-транс'!$43:$50</definedName>
    <definedName name="pt_cs_19">'ВО. Т-подкл'!$48:$60</definedName>
    <definedName name="pt_cs_2">'ТС. Т-ТЭ | ТСО'!$45:$54</definedName>
    <definedName name="pt_cs_3">'ТС. Т-ТН'!$45:$54</definedName>
    <definedName name="pt_cs_4">'ТС. Т-гор.вода'!$51:$62</definedName>
    <definedName name="pt_cs_4i">'Т-ТЭ | индикат'!$21:$30</definedName>
    <definedName name="pt_cs_4p">'Т-ТЭ | предел'!$21:$30</definedName>
    <definedName name="pt_cs_5">'ТС. Т-передача ТЭ'!$45:$54</definedName>
    <definedName name="pt_cs_6">'ТС. Т-передача ТН'!$45:$54</definedName>
    <definedName name="pt_cs_7">'ТС. Резерв мощности'!$45:$54</definedName>
    <definedName name="pt_cs_8">'ТС. Т-подкл'!$47:$58</definedName>
    <definedName name="pt_cs_9">'ХВС. Т-пит'!$43:$50</definedName>
    <definedName name="PT_DEL_HL_CS_COLUMN_MARKER">'Перечень тарифов'!$P$8</definedName>
    <definedName name="PT_DEL_HL_IST_TE_COLUMN_MARKER">'Перечень тарифов'!$T$8</definedName>
    <definedName name="PT_DEL_HL_NTAR_COLUMN_MARKER">'Перечень тарифов'!$H$8</definedName>
    <definedName name="PT_DEL_HL_TER_COLUMN_MARKER">'Перечень тарифов'!$L$8</definedName>
    <definedName name="PT_DEL_HL_VTAR_COLUMN_MARKER">'Перечень тарифов'!$C$8</definedName>
    <definedName name="PT_DIAMETERS_2_LIST">TEHSHEET!$AZ$76:$AZ$82</definedName>
    <definedName name="PT_DIAMETERS_LIST">TEHSHEET!$AZ$60:$AZ$64</definedName>
    <definedName name="PT_DIFFERENTIATION_CS">'Перечень тарифов'!$AL$12:$AL$122</definedName>
    <definedName name="PT_DIFFERENTIATION_CS_ID">'Перечень тарифов'!$AF$12:$AF$122</definedName>
    <definedName name="PT_DIFFERENTIATION_IST_TE">'Перечень тарифов'!$AM$12:$AM$122</definedName>
    <definedName name="PT_DIFFERENTIATION_IST_TE_ID">'Перечень тарифов'!$AG$12:$AG$122</definedName>
    <definedName name="PT_DIFFERENTIATION_NTAR">'Перечень тарифов'!$AJ$12:$AJ$122</definedName>
    <definedName name="PT_DIFFERENTIATION_NTAR_ID">'Перечень тарифов'!$AD$12:$AD$122</definedName>
    <definedName name="PT_DIFFERENTIATION_NUM_CS">'Перечень тарифов'!$AP$12:$AP$122</definedName>
    <definedName name="PT_DIFFERENTIATION_NUM_IST_TE">'Перечень тарифов'!$AQ$12:$AQ$122</definedName>
    <definedName name="PT_DIFFERENTIATION_NUM_NTAR">'Перечень тарифов'!$AN$12:$AN$122</definedName>
    <definedName name="PT_DIFFERENTIATION_NUM_TER">'Перечень тарифов'!$AO$12:$AO$122</definedName>
    <definedName name="PT_DIFFERENTIATION_TER">'Перечень тарифов'!$AK$12:$AK$122</definedName>
    <definedName name="PT_DIFFERENTIATION_TER_ID">'Перечень тарифов'!$AE$12:$AE$122</definedName>
    <definedName name="PT_DIFFERENTIATION_VDET">'Перечень тарифов'!$AI$12:$AI$122</definedName>
    <definedName name="PT_DIFFERENTIATION_VTAR">'Перечень тарифов'!$AH$12:$AH$122</definedName>
    <definedName name="PT_DIFFERENTIATION_VTAR_ID">'Перечень тарифов'!$AC$12:$AC$122</definedName>
    <definedName name="PT_FLAG_CS_COLUMN_MARKER">'Перечень тарифов'!$O$8</definedName>
    <definedName name="PT_FLAG_IST_TE_COLUMN_MARKER">'Перечень тарифов'!$S$8</definedName>
    <definedName name="PT_FLAG_TER_COLUMN_MARKER">'Перечень тарифов'!$K$8</definedName>
    <definedName name="PT_FLAG_VTAR_COLUMN_MARKER">'Перечень тарифов'!$F$8</definedName>
    <definedName name="PT_GROUP_CONSUMER_LIST">TEHSHEET!$AZ$29:$AZ$33</definedName>
    <definedName name="pt_ist_te_1">'ТС. Т-ТЭ | &gt;=25МВт'!$46:$53</definedName>
    <definedName name="pt_ist_te_2">'ТС. Т-ТЭ | ТСО'!$46:$53</definedName>
    <definedName name="pt_ist_te_3">'ТС. Т-ТН'!$46:$53</definedName>
    <definedName name="pt_ist_te_4">'ТС. Т-гор.вода'!$52:$61</definedName>
    <definedName name="pt_ist_te_4i">'Т-ТЭ | индикат'!$22:$29</definedName>
    <definedName name="pt_ist_te_4p">'Т-ТЭ | предел'!$22:$29</definedName>
    <definedName name="pt_ist_te_5">'ТС. Т-передача ТЭ'!$46:$53</definedName>
    <definedName name="pt_ist_te_6">'ТС. Т-передача ТН'!$46:$53</definedName>
    <definedName name="pt_ist_te_7">'ТС. Резерв мощности'!$46:$53</definedName>
    <definedName name="pt_ist_te_8">'ТС. Т-подкл'!$48:$57</definedName>
    <definedName name="PT_LOAD_LIST">TEHSHEET!$AZ$67:$AZ$72</definedName>
    <definedName name="PT_NETS_LIST">TEHSHEET!$AZ$55:$AZ$57</definedName>
    <definedName name="pt_ntar_1">'ТС. Т-ТЭ | &gt;=25МВт'!$43:$56</definedName>
    <definedName name="pt_ntar_10">'ХВС. Т-тех'!$41:$52</definedName>
    <definedName name="pt_ntar_11">'ХВС. Т-транс'!$41:$52</definedName>
    <definedName name="pt_ntar_12">'ХВС. Т-подвоз'!$41:$52</definedName>
    <definedName name="pt_ntar_13">'ХВС. Т-подкл'!$46:$62</definedName>
    <definedName name="pt_ntar_14">'ГВС. Т-гор.вода'!$41:$52</definedName>
    <definedName name="pt_ntar_15">'ГВС. Т-транс'!$41:$52</definedName>
    <definedName name="pt_ntar_16">'ГВС. Т-подкл'!$46:$62</definedName>
    <definedName name="pt_ntar_17">'ВО. Т-во'!$41:$52</definedName>
    <definedName name="pt_ntar_18">'ВО. Т-транс'!$41:$52</definedName>
    <definedName name="pt_ntar_19">'ВО. Т-подкл'!$46:$62</definedName>
    <definedName name="pt_ntar_2">'ТС. Т-ТЭ | ТСО'!$43:$56</definedName>
    <definedName name="pt_ntar_3">'ТС. Т-ТН'!$43:$56</definedName>
    <definedName name="pt_ntar_4">'ТС. Т-гор.вода'!$49:$64</definedName>
    <definedName name="pt_ntar_4i">'Т-ТЭ | индикат'!$19:$32</definedName>
    <definedName name="pt_ntar_4p">'Т-ТЭ | предел'!$19:$32</definedName>
    <definedName name="pt_ntar_5">'ТС. Т-передача ТЭ'!$43:$56</definedName>
    <definedName name="pt_ntar_6">'ТС. Т-передача ТН'!$43:$56</definedName>
    <definedName name="pt_ntar_7">'ТС. Резерв мощности'!$43:$56</definedName>
    <definedName name="pt_ntar_8">'ТС. Т-подкл'!$45:$61</definedName>
    <definedName name="pt_ntar_9">'ХВС. Т-пит'!$41:$52</definedName>
    <definedName name="PT_P_FORM_COLDVSNA_4_NAME_FORM">DATA_FORMS!$C$17</definedName>
    <definedName name="PT_P_FORM_COLDVSNA_5_NAME_FORM">DATA_FORMS!$C$18</definedName>
    <definedName name="PT_P_FORM_HEAT_21_NAME_FORM">DATA_FORMS!$C$13</definedName>
    <definedName name="PT_P_FORM_HEAT_22_NAME_FORM">DATA_FORMS!$C$14</definedName>
    <definedName name="PT_P_FORM_HEAT_4_NAME_FORM">DATA_FORMS!$C$9</definedName>
    <definedName name="PT_P_FORM_HEAT_5_NAME_FORM">DATA_FORMS!$C$10</definedName>
    <definedName name="PT_P_FORM_HEAT_6_NAME_FORM">DATA_FORMS!$C$11</definedName>
    <definedName name="PT_P_FORM_HEAT_7_NAME_FORM">DATA_FORMS!$C$12</definedName>
    <definedName name="PT_P_FORM_HOTVSNA_4_NAME_FORM">DATA_FORMS!$C$21</definedName>
    <definedName name="PT_P_FORM_HOTVSNA_5_NAME_FORM">DATA_FORMS!$C$22</definedName>
    <definedName name="PT_P_FORM_VOTV_4_NAME_FORM">DATA_FORMS!$C$25</definedName>
    <definedName name="PT_P_FORM_VOTV_5_NAME_FORM">DATA_FORMS!$C$26</definedName>
    <definedName name="PT_R_FORM_COLDVSNA_16_NAME_FORM">DATA_FORMS!$C$19</definedName>
    <definedName name="PT_R_FORM_COLDVSNA_17_NAME_FORM">DATA_FORMS!$C$20</definedName>
    <definedName name="PT_R_FORM_HEAT_21_NAME_FORM">DATA_FORMS!$C$13</definedName>
    <definedName name="PT_R_FORM_HEAT_22_NAME_FORM">DATA_FORMS!$C$14</definedName>
    <definedName name="PT_R_FORM_HEAT_23_NAME_FORM">DATA_FORMS!$C$15</definedName>
    <definedName name="PT_R_FORM_HEAT_24_NAME_FORM">DATA_FORMS!$C$16</definedName>
    <definedName name="PT_R_FORM_HOTVSNA_16_NAME_FORM">DATA_FORMS!$C$23</definedName>
    <definedName name="PT_R_FORM_HOTVSNA_17_NAME_FORM">DATA_FORMS!$C$24</definedName>
    <definedName name="PT_R_FORM_VOTV_16_NAME_FORM">DATA_FORMS!$C$27</definedName>
    <definedName name="PT_R_FORM_VOTV_17_NAME_FORM">DATA_FORMS!$C$28</definedName>
    <definedName name="PT_SCHEME_LIST">TEHSHEET!$AZ$36:$AZ$39</definedName>
    <definedName name="pt_ter_1">'ТС. Т-ТЭ | &gt;=25МВт'!$44:$55</definedName>
    <definedName name="pt_ter_10">'ХВС. Т-тех'!$42:$51</definedName>
    <definedName name="pt_ter_11">'ХВС. Т-транс'!$42:$51</definedName>
    <definedName name="pt_ter_12">'ХВС. Т-подвоз'!$42:$51</definedName>
    <definedName name="pt_ter_13">'ХВС. Т-подкл'!$47:$61</definedName>
    <definedName name="pt_ter_14">'ГВС. Т-гор.вода'!$42:$51</definedName>
    <definedName name="pt_ter_15">'ГВС. Т-транс'!$42:$51</definedName>
    <definedName name="pt_ter_16">'ГВС. Т-подкл'!$47:$61</definedName>
    <definedName name="pt_ter_17">'ВО. Т-во'!$42:$51</definedName>
    <definedName name="pt_ter_18">'ВО. Т-транс'!$42:$51</definedName>
    <definedName name="pt_ter_19">'ВО. Т-подкл'!$47:$61</definedName>
    <definedName name="pt_ter_2">'ТС. Т-ТЭ | ТСО'!$44:$55</definedName>
    <definedName name="pt_ter_3">'ТС. Т-ТН'!$44:$55</definedName>
    <definedName name="pt_ter_4">'ТС. Т-гор.вода'!$50:$63</definedName>
    <definedName name="pt_ter_4i">'Т-ТЭ | индикат'!$20:$31</definedName>
    <definedName name="pt_ter_4p">'Т-ТЭ | предел'!$20:$31</definedName>
    <definedName name="pt_ter_5">'ТС. Т-передача ТЭ'!$44:$55</definedName>
    <definedName name="pt_ter_6">'ТС. Т-передача ТН'!$44:$55</definedName>
    <definedName name="pt_ter_7">'ТС. Резерв мощности'!$44:$55</definedName>
    <definedName name="pt_ter_8">'ТС. Т-подкл'!$46:$59</definedName>
    <definedName name="pt_ter_9">'ХВС. Т-пит'!$42:$51</definedName>
    <definedName name="PT_TN_LIST">TEHSHEET!$AZ$42:$AZ$52</definedName>
    <definedName name="PT_VDET_COLUMN_MARKER">'Перечень тарифов'!$G$8</definedName>
    <definedName name="PURCH_NAME_FORM">DATA_FORMS!$C$29</definedName>
    <definedName name="Q_LIMIT_CheckC">Ограничения!$E$32:$BM$39</definedName>
    <definedName name="Q_LIMIT_diff_1">Ограничения!$I$26:$J$28</definedName>
    <definedName name="Q_LIMIT_p3">Ограничения!$F$36:$BM$36</definedName>
    <definedName name="Q_LIMIT_p4">Ограничения!$F$38:$BM$38</definedName>
    <definedName name="Q_PH_diff_1">'Потребительские характеристики'!$I$9:$J$11</definedName>
    <definedName name="Q_TP_COUNT_REFUSAL">ТП!$H$17:$H$17</definedName>
    <definedName name="Q_TP_diff_1">ТП!$H$9:$H$11</definedName>
    <definedName name="QRE_METHOD_LIST">TEHSHEET!$AZ$8:$AZ$10</definedName>
    <definedName name="QUARTER">TEHSHEET!$F$2:$F$5</definedName>
    <definedName name="REESTR_LINK_RANGE">REESTR_LINK!$A$2:$C$3</definedName>
    <definedName name="REESTR_VT_RANGE">REESTR_VT!$A$2:$B$11</definedName>
    <definedName name="REGION">TEHSHEET!$A$2:$A$87</definedName>
    <definedName name="region_name">Титульный!$F$7</definedName>
    <definedName name="RegulatoryPeriod">Титульный!$F$9:$F$10</definedName>
    <definedName name="ReportPeriod">Титульный!$F$9:$F$13</definedName>
    <definedName name="ROIV_CASE_ADD_HL_CASE_COLUMN_MARKER">'Дела об установлении тарифов'!$F$1</definedName>
    <definedName name="ROIV_CASE_DEL_HL_CASE_COLUMN_MARKER">'Дела об установлении тарифов'!$D$1</definedName>
    <definedName name="ROIV_CASE_NUM_CASE_COLUMN_MARKER">'Дела об установлении тарифов'!$E$1</definedName>
    <definedName name="ROIV_INFO_DEL_HL_PHONE_COLUMN_MARKER">'Орган регулирования'!$C$1</definedName>
    <definedName name="ROIV_INFO_NAME">'Орган регулирования'!$F$12</definedName>
    <definedName name="ROIV_INFO_NUM_PHONE_COLUMN_MARKER">'Орган регулирования'!$D$1</definedName>
    <definedName name="ROIV_ORG_DEL_HL_ORG_COLUMN_MARKER">'Перечень организаций'!$D$1</definedName>
    <definedName name="ROIV_ORG_INN_COLUMN_MARKER">'Перечень организаций'!$G$1</definedName>
    <definedName name="ROIV_ORG_KPP_COLUMN_MARKER">'Перечень организаций'!$H$1</definedName>
    <definedName name="ROIV_ORG_NAME_ORG_COLUMN_MARKER">'Перечень организаций'!$F$1</definedName>
    <definedName name="ROIV_ORG_NUM_ORG_COLUMN_MARKER">'Перечень организаций'!$E$1</definedName>
    <definedName name="ROIV_ORG_TECH_ORG_ID_COLUMN_MARKER">'Перечень организаций'!$A$1</definedName>
    <definedName name="ROIV_OTV_ADD_HL_DL_COLUMN_MARKER">'Привлечение к ответственности'!$L$1</definedName>
    <definedName name="ROIV_OTV_DEL_HL_DL_COLUMN_MARKER">'Привлечение к ответственности'!$J$1</definedName>
    <definedName name="ROIV_OTV_DEL_HL_ORG_COLUMN_MARKER">'Привлечение к ответственности'!$D$1</definedName>
    <definedName name="ROIV_OTV_INN_COLUMN_MARKER">'Привлечение к ответственности'!$I$1</definedName>
    <definedName name="ROIV_OTV_NAME_ORG_COLUMN_MARKER">'Привлечение к ответственности'!$H$1</definedName>
    <definedName name="ROIV_OTV_NUM_DL_COLUMN_MARKER">'Привлечение к ответственности'!$K$1</definedName>
    <definedName name="ROIV_OTV_NUM_ORG_COLUMN_MARKER">'Привлечение к ответственности'!$F$1</definedName>
    <definedName name="ROIV_OTV_TECH_ORG_ID_COLUMN_MARKER">'Привлечение к ответственности'!$A$1</definedName>
    <definedName name="SKI_number">TEHSHEET!$I$2:$I$21</definedName>
    <definedName name="StartDateList">TEHSHEET!$G$46:$G$53</definedName>
    <definedName name="TECH_ORG_ID">Титульный!$F$1</definedName>
    <definedName name="TEMPLATE_DATA_POINT">DATA_NPA!$T$11:$X$16</definedName>
    <definedName name="TEMPLATE_DATA_POINT_FHD">DATA_NPA!$T$18:$W$146</definedName>
    <definedName name="TEMPLATE_GROUP">TEHSHEET!$E$45</definedName>
    <definedName name="TEMPLATE_NAME_FORM_LIST">DATA_FORMS!$D$3:$H$35</definedName>
    <definedName name="TEMPLATE_NOTE_POINT">DATA_NPA!$Z$11:$AD$15</definedName>
    <definedName name="TEMPLATE_NOTE_POINT_FHD">DATA_NPA!$Z$18:$AD$146</definedName>
    <definedName name="TEMPLATE_NUMBER_FORM_LIST">DATA_FORMS!$D$2:$H$2</definedName>
    <definedName name="TEMPLATE_NUMBER_POINT_FHD">DATA_NPA!$O$18:$S$146</definedName>
    <definedName name="TEMPLATE_ORG_DATA_POINT">DATA_NPA!$Z$3:$AD$9</definedName>
    <definedName name="TEMPLATE_SPHERE">TEHSHEET!$E$36</definedName>
    <definedName name="TEMPLATE_SPHERE_LIST">DATA_FORMS!$D$1:$H$1</definedName>
    <definedName name="TEMPLATE_SPHERE_LIST_FOR_NOTE">DATA_NPA!$Z$2:$AD$2</definedName>
    <definedName name="TEMPLATE_SPHERE_LIST_FOR_NPA">DATA_NPA!$T$2:$X$2</definedName>
    <definedName name="TEMPLATE_SPHERE_RUS">TEHSHEET!$F$36</definedName>
    <definedName name="TEMPLATE_SPHERE_RUS_2">TEHSHEET!$G$36</definedName>
    <definedName name="TemplateState">TEHSHEET!$E$16</definedName>
    <definedName name="ter_1">'Список территорий'!$G$13:$I$13</definedName>
    <definedName name="TER_ID">TEHSHEET!$E$62</definedName>
    <definedName name="TERMS_LINK">Договоры!$F$12:$F$22</definedName>
    <definedName name="TERMS_NAME_FORM">DATA_FORMS!$C$5</definedName>
    <definedName name="TERMS_NUM_CONTRACT_COLUMN_MARKER">Договоры!$D$8</definedName>
    <definedName name="TERMS_P_1">DATA_NPA!$M$148</definedName>
    <definedName name="TERMS_TKO_TRANS_DATA">Договоры!$E$25:$F$26</definedName>
    <definedName name="TERRITORY_CheckC">'Список территорий'!$E$11:$I$15</definedName>
    <definedName name="TERRITORY_ID">TEHSHEET!$E$56</definedName>
    <definedName name="TERRITORY_LIST_ID">'Список территорий'!$F$11:$F$15</definedName>
    <definedName name="TERRITORY_MO_LIST">'Список территорий'!$H$11:$H$15</definedName>
    <definedName name="TERRITORY_MR_LIST">'Список территорий'!$G$11:$G$15</definedName>
    <definedName name="TERRITORY_NAME_COL">'Список территорий'!$G$1:$I$1</definedName>
    <definedName name="TERRITORY_POINT_NUMBER_1">'Список территорий'!$A:$A</definedName>
    <definedName name="TITLE_BUHG_FLAG">Титульный!$F$51</definedName>
    <definedName name="TITLE_CONNECTION_FLAG">Титульный!$F$47</definedName>
    <definedName name="TITLE_DATA_TYPE">Титульный!$F$15</definedName>
    <definedName name="TITLE_DATE_BUHG">Титульный!$F$52</definedName>
    <definedName name="TITLE_DATE_CHANGE">Титульный!$F$16</definedName>
    <definedName name="TITLE_DATE_CHANGE_PERIOD">Титульный!$F$17</definedName>
    <definedName name="TITLE_DATE_FIL">Титульный!$F$11</definedName>
    <definedName name="TITLE_DATE_PARKING">Титульный!$H$5</definedName>
    <definedName name="TITLE_DATE_PR">Титульный!$F$19</definedName>
    <definedName name="TITLE_DATE_PR_CHANGE">Титульный!$F$25</definedName>
    <definedName name="TITLE_DIFFERENTIATION_TYPE">Титульный!$F$39</definedName>
    <definedName name="TITLE_FIL_YEAR">Титульный!$F$12</definedName>
    <definedName name="TITLE_FLAG_DIFF_SELLER">Титульный!$F$44</definedName>
    <definedName name="TITLE_FLAG_INTERNET">Титульный!$F$37</definedName>
    <definedName name="TITLE_FLAG_IP">Титульный!$F$56</definedName>
    <definedName name="TITLE_FLAG_IP_DETAILED">Титульный!$F$58</definedName>
    <definedName name="TITLE_FLAG_NO_DIFF_COMPONENT">Титульный!$F$45</definedName>
    <definedName name="TITLE_FLAG_NOT_REG_PRICE">Титульный!$F$49</definedName>
    <definedName name="TITLE_FLAG_REG_PRICE_IP">Титульный!$F$57</definedName>
    <definedName name="TITLE_FLAG_TKO_TRANS">Титульный!$F$60</definedName>
    <definedName name="TITLE_FLAG_TOP80_ACTIVITY">Титульный!$F$54</definedName>
    <definedName name="TITLE_HEADER_PR_CHANGE">Титульный!$F$23</definedName>
    <definedName name="TITLE_IP_DETAILED_METHOD_LIST">TEHSHEET!$AZ$15:$AZ$17</definedName>
    <definedName name="TITLE_IST_PUB">Титульный!$F$22</definedName>
    <definedName name="TITLE_IST_PUB_CHANGE">Титульный!$F$27</definedName>
    <definedName name="TITLE_NAME_OR_PR">Титульный!$F$21</definedName>
    <definedName name="TITLE_NAME_OR_PR_CHANGE">Титульный!$F$24</definedName>
    <definedName name="TITLE_NUMBER_PR">Титульный!$F$20</definedName>
    <definedName name="TITLE_NUMBER_PR_CHANGE">Титульный!$F$26</definedName>
    <definedName name="TITLE_PERIOD_END">Титульный!$F$10</definedName>
    <definedName name="TITLE_PERIOD_START">Титульный!$F$9</definedName>
    <definedName name="TITLE_TYPE_ORG">Титульный!$F$34</definedName>
    <definedName name="TKO_PT_VED_ID">TEHSHEET!$CC$19:$CC$23</definedName>
    <definedName name="TKO_PT_VED_NAME">TEHSHEET!$CD$19:$CD$23</definedName>
    <definedName name="TKO_PT_VED_NAME_LIST">TEHSHEET!$CC$19:$CD$23</definedName>
    <definedName name="TP_NAME_FORM">DATA_FORMS!$C$3</definedName>
    <definedName name="TP_NUMBER_FORM">DATA_FORMS!$C$2</definedName>
    <definedName name="TP_P_A">DATA_NPA!$M$11</definedName>
    <definedName name="TP_P_B">DATA_NPA!$M$12</definedName>
    <definedName name="TP_P_G">DATA_NPA!$M$15</definedName>
    <definedName name="TP_P_NOTE_A">DATA_NPA!$N$11</definedName>
    <definedName name="TP_P_NOTE_B">DATA_NPA!$N$12</definedName>
    <definedName name="TP_P_NOTE_G">DATA_NPA!$N$15</definedName>
    <definedName name="TP_P_NOTE_G_1">DATA_NPA!$N$16</definedName>
    <definedName name="TP_P_NOTE_V">DATA_NPA!$N$13</definedName>
    <definedName name="TP_P_NOTE_V_1">DATA_NPA!$N$14</definedName>
    <definedName name="TP_P_V">DATA_NPA!$M$13</definedName>
    <definedName name="TP_P_V_1">DATA_NPA!$M$14</definedName>
    <definedName name="TYPE_TKO_LIST">TEHSHEET!$AZ$85:$AZ$87</definedName>
    <definedName name="VDET_END_DATE">TEHSHEET!$F$32</definedName>
    <definedName name="VDET_START_DATE">TEHSHEET!$E$32</definedName>
    <definedName name="version">Инструкция!$B$3</definedName>
    <definedName name="VOTV_FIN_SRC_LIST">TEHSHEET!$BL$4:$BL$36</definedName>
    <definedName name="VOTV_FIN_SRC_VLD_LIST">TEHSHEET!$BL$39:$BL$62</definedName>
    <definedName name="VOTV_IP_EVENT_CI_STAGE_LIST">TEHSHEET!$BL$97:$BL$100</definedName>
    <definedName name="VOTV_IP_EVENT_GROUP_LIST">TEHSHEET!$BL$69:$BL$76</definedName>
    <definedName name="VOTV_IP_EVENT_SUBGROUP_1_LIST">TEHSHEET!$BL$80:$BL$83</definedName>
    <definedName name="VOTV_IP_EVENT_SUBGROUP_3_LIST">TEHSHEET!$BL$87:$BL$88</definedName>
    <definedName name="VOTV_IP_EVENT_SUBGROUP_5_LIST">TEHSHEET!$BL$92:$BL$93</definedName>
    <definedName name="VOTV_IP_EVENT_TYPE_LIST">TEHSHEET!$BL$108</definedName>
    <definedName name="VOTV_PT_VED_ID">TEHSHEET!$BZ$19:$BZ$21</definedName>
    <definedName name="VOTV_PT_VED_NAME">TEHSHEET!$CA$19:$CA$21</definedName>
    <definedName name="VOTV_PT_VED_NAME_LIST">TEHSHEET!$BZ$19:$CA$21</definedName>
    <definedName name="VOTV_TARIFF_A_VOTV_ADD_HL_COLUMN_MARKER">'ВО. Т-во'!$T$34</definedName>
    <definedName name="VOTV_TARIFF_A_VOTV_DEL_HL_DATA_DIFF_COLUMN_MARKER">'ВО. Т-во'!$R$34</definedName>
    <definedName name="VOTV_TARIFF_A_VOTV_DEL_HL_FLAG_DIFF_COLUMN_MARKER">'ВО. Т-во'!$P$34</definedName>
    <definedName name="VOTV_TARIFF_A_VOTV_DEL_HL_GC_COLUMN_MARKER">'ВО. Т-во'!$Q$34</definedName>
    <definedName name="VOTV_TARIFF_A_VOTV_DELETE_PERIOD_ROW_MARKER">'ВО. Т-во'!$O$35</definedName>
    <definedName name="VOTV_TARIFF_A_VOTV_FLAG_BLOCK_COLUMN_MARKER">'ВО. Т-во'!$L$36</definedName>
    <definedName name="VOTV_TARIFF_A_VOTV_FLAG_BLOCK_ROW_MARKER">'ВО. Т-во'!$O$20</definedName>
    <definedName name="VOTV_TARIFF_A_VOTV_NUM_CS_COLUMN_MARKER">'ВО. Т-во'!$G$36</definedName>
    <definedName name="VOTV_TARIFF_A_VOTV_NUM_DATA_DIFF_COLUMN_MARKER">'ВО. Т-во'!$K$36</definedName>
    <definedName name="VOTV_TARIFF_A_VOTV_NUM_FLAG_DIFF_COLUMN_MARKER">'ВО. Т-во'!$I$36</definedName>
    <definedName name="VOTV_TARIFF_A_VOTV_NUM_GC_COLUMN_MARKER">'ВО. Т-во'!$J$36</definedName>
    <definedName name="VOTV_TARIFF_A_VOTV_NUM_NTAR_COLUMN_MARKER">'ВО. Т-во'!$E$36</definedName>
    <definedName name="VOTV_TARIFF_A_VOTV_NUM_TER_COLUMN_MARKER">'ВО. Т-во'!$F$36</definedName>
    <definedName name="VOTV_TARIFF_B_VOTV_ADD_HL_COLUMN_MARKER">'ВО. Т-транс'!$T$34</definedName>
    <definedName name="VOTV_TARIFF_B_VOTV_DEL_HL_DATA_DIFF_COLUMN_MARKER">'ВО. Т-транс'!$R$34</definedName>
    <definedName name="VOTV_TARIFF_B_VOTV_DEL_HL_FLAG_DIFF_COLUMN_MARKER">'ВО. Т-транс'!$P$34</definedName>
    <definedName name="VOTV_TARIFF_B_VOTV_DEL_HL_GC_COLUMN_MARKER">'ВО. Т-транс'!$Q$34</definedName>
    <definedName name="VOTV_TARIFF_B_VOTV_DELETE_PERIOD_ROW_MARKER">'ВО. Т-транс'!$O$35</definedName>
    <definedName name="VOTV_TARIFF_B_VOTV_FLAG_BLOCK_COLUMN_MARKER">'ВО. Т-транс'!$L$36</definedName>
    <definedName name="VOTV_TARIFF_B_VOTV_FLAG_BLOCK_ROW_MARKER">'ВО. Т-транс'!$O$20</definedName>
    <definedName name="VOTV_TARIFF_B_VOTV_NUM_CS_COLUMN_MARKER">'ВО. Т-транс'!$G$36</definedName>
    <definedName name="VOTV_TARIFF_B_VOTV_NUM_DATA_DIFF_COLUMN_MARKER">'ВО. Т-транс'!$K$36</definedName>
    <definedName name="VOTV_TARIFF_B_VOTV_NUM_FLAG_DIFF_COLUMN_MARKER">'ВО. Т-транс'!$I$36</definedName>
    <definedName name="VOTV_TARIFF_B_VOTV_NUM_GC_COLUMN_MARKER">'ВО. Т-транс'!$J$36</definedName>
    <definedName name="VOTV_TARIFF_B_VOTV_NUM_NTAR_COLUMN_MARKER">'ВО. Т-транс'!$E$36</definedName>
    <definedName name="VOTV_TARIFF_B_VOTV_NUM_TER_COLUMN_MARKER">'ВО. Т-транс'!$F$36</definedName>
    <definedName name="VOTV_TARIFF_C_VOTV_ADD_HL_COLUMN_MARKER">'ВО. Т-подкл'!$T$38</definedName>
    <definedName name="VOTV_TARIFF_C_VOTV_ADD_HL_DIAMETERS_COLUMN_MARKER">'ВО. Т-подкл'!$AK$38</definedName>
    <definedName name="VOTV_TARIFF_C_VOTV_ADD_HL_LEN_COLUMN_MARKER">'ВО. Т-подкл'!$AO$38</definedName>
    <definedName name="VOTV_TARIFF_C_VOTV_ADD_HL_LOAD_COLUMN_MARKER">'ВО. Т-подкл'!$AG$38</definedName>
    <definedName name="VOTV_TARIFF_C_VOTV_ADD_HL_NETS_COLUMN_MARKER">'ВО. Т-подкл'!$AS$38</definedName>
    <definedName name="VOTV_TARIFF_C_VOTV_DEL_HL_DATA_DIFF_COLUMN_MARKER">'ВО. Т-подкл'!$R$38</definedName>
    <definedName name="VOTV_TARIFF_C_VOTV_DEL_HL_DIAMETERS_COLUMN_MARKER">'ВО. Т-подкл'!$AI$38</definedName>
    <definedName name="VOTV_TARIFF_C_VOTV_DEL_HL_FLAG_DIFF_COLUMN_MARKER">'ВО. Т-подкл'!$P$38</definedName>
    <definedName name="VOTV_TARIFF_C_VOTV_DEL_HL_GC_COLUMN_MARKER">'ВО. Т-подкл'!$Q$38</definedName>
    <definedName name="VOTV_TARIFF_C_VOTV_DEL_HL_LEN_COLUMN_MARKER">'ВО. Т-подкл'!$AM$38</definedName>
    <definedName name="VOTV_TARIFF_C_VOTV_DEL_HL_LOAD_COLUMN_MARKER">'ВО. Т-подкл'!$AE$38</definedName>
    <definedName name="VOTV_TARIFF_C_VOTV_DEL_HL_NETS_COLUMN_MARKER">'ВО. Т-подкл'!$AQ$38</definedName>
    <definedName name="VOTV_TARIFF_C_VOTV_DELETE_PERIOD_ROW_MARKER">'ВО. Т-подкл'!$O$39</definedName>
    <definedName name="VOTV_TARIFF_C_VOTV_FLAG_BLOCK_COLUMN_MARKER">'ВО. Т-подкл'!$L$44</definedName>
    <definedName name="VOTV_TARIFF_C_VOTV_FLAG_BLOCK_ROW_MARKER">'ВО. Т-подкл'!$O$24</definedName>
    <definedName name="VOTV_TARIFF_C_VOTV_NUM_CS_COLUMN_MARKER">'ВО. Т-подкл'!$G$44</definedName>
    <definedName name="VOTV_TARIFF_C_VOTV_NUM_DATA_DIFF_COLUMN_MARKER">'ВО. Т-подкл'!$K$44</definedName>
    <definedName name="VOTV_TARIFF_C_VOTV_NUM_DIAMETERS_COLUMN_MARKER">'ВО. Т-подкл'!$AJ$38</definedName>
    <definedName name="VOTV_TARIFF_C_VOTV_NUM_FLAG_DIFF_COLUMN_MARKER">'ВО. Т-подкл'!$I$44</definedName>
    <definedName name="VOTV_TARIFF_C_VOTV_NUM_GC_COLUMN_MARKER">'ВО. Т-подкл'!$J$44</definedName>
    <definedName name="VOTV_TARIFF_C_VOTV_NUM_LEN_COLUMN_MARKER">'ВО. Т-подкл'!$AN$38</definedName>
    <definedName name="VOTV_TARIFF_C_VOTV_NUM_LOAD_COLUMN_MARKER">'ВО. Т-подкл'!$AF$38</definedName>
    <definedName name="VOTV_TARIFF_C_VOTV_NUM_NETS_COLUMN_MARKER">'ВО. Т-подкл'!$AR$38</definedName>
    <definedName name="VOTV_TARIFF_C_VOTV_NUM_NTAR_COLUMN_MARKER">'ВО. Т-подкл'!$E$44</definedName>
    <definedName name="VOTV_TARIFF_C_VOTV_NUM_TER_COLUMN_MARKER">'ВО. Т-подкл'!$F$44</definedName>
    <definedName name="VSNA_FIN_SRC_LIST">TEHSHEET!$BJ$4:$BJ$34</definedName>
    <definedName name="VSNA_FIN_SRC_VLD_LIST">TEHSHEET!$BJ$39:$BJ$60</definedName>
    <definedName name="VSNA_IP_EVENT_CI_STAGE_LIST">TEHSHEET!$BJ$97:$BJ$100</definedName>
    <definedName name="VSNA_IP_EVENT_GROUP_LIST">TEHSHEET!$BJ$69:$BJ$76</definedName>
    <definedName name="VSNA_IP_EVENT_SUBGROUP_1_LIST">TEHSHEET!$BJ$80:$BJ$83</definedName>
    <definedName name="VSNA_IP_EVENT_SUBGROUP_3_LIST">TEHSHEET!$BJ$87:$BJ$88</definedName>
    <definedName name="VSNA_IP_EVENT_SUBGROUP_5_LIST">TEHSHEET!$BJ$92:$BJ$93</definedName>
    <definedName name="VSNA_IP_EVENT_TYPE_LIST">TEHSHEET!$BJ$108</definedName>
    <definedName name="VTAR_ID">TEHSHEET!$E$59</definedName>
    <definedName name="Y_N_DIFFERENTIATION_AREA">Дифференциация!$F$12:$F$43</definedName>
    <definedName name="Y_N_DIFFERENTIATION_SYSTEM">Дифференциация!$J$12:$J$43</definedName>
    <definedName name="YEAR_IP_LIST">TEHSHEET!$BE$2:$BE$72</definedName>
    <definedName name="year_list">TEHSHEET!$C$2:$C$6</definedName>
    <definedName name="year_list1">TEHSHEET!$B$2:$B$27</definedName>
    <definedName name="REESTR_IP_RANGE">REESTR_IP!$A$2:$D$37</definedName>
    <definedName name="VD_LIST">REESTR_VED!$A$2:$B$11</definedName>
    <definedName name="VD_ID_LIST">REESTR_VED!$A$2:$A$11</definedName>
    <definedName name="VD_NAME_LIST">REESTR_VED!$B$2:$B$11</definedName>
    <definedName name="et_B_FHD20_1">et_union_hor!$115:$123</definedName>
    <definedName name="DESCRIPTION_TERRITORY">REESTR_DS!$B$2</definedName>
    <definedName name="Q_PH_diff_66">'Потребительские характеристики'!$K$9:$L$11</definedName>
    <definedName name="Q_TP_diff_66">ТП!$I$9:$I$11</definedName>
    <definedName name="Q_Limit_diff_66">Ограничения!$K$26:$L$28</definedName>
    <definedName name="B_FHD_diff_66">'Показатели ФХД'!$J$25:$J$27</definedName>
    <definedName name="B_FHD_TKO_diff_66">'ТКО. Показатели ФХД'!$J$10:$J$12</definedName>
    <definedName name="B_FHD_TKO_TRANS_diff_66">'ТКО. Транс. Показатели ФХД'!$J$10:$J$12</definedName>
    <definedName name="B_FHD20_diff_66">'Показатели ФХД &gt;20%'!$H$23:$R$25</definedName>
    <definedName name="B_KNE_diff_66">'Показатели КНЭ'!$K$7:$L$9</definedName>
    <definedName name="Q_PH_diff_67">'Потребительские характеристики'!$M$9:$N$11</definedName>
    <definedName name="Q_TP_diff_67">ТП!$J$9:$J$11</definedName>
    <definedName name="Q_Limit_diff_67">Ограничения!$M$26:$N$28</definedName>
    <definedName name="B_FHD_diff_67">'Показатели ФХД'!$K$25:$K$27</definedName>
    <definedName name="B_FHD_TKO_diff_67">'ТКО. Показатели ФХД'!$K$10:$K$12</definedName>
    <definedName name="B_FHD_TKO_TRANS_diff_67">'ТКО. Транс. Показатели ФХД'!$K$10:$K$12</definedName>
    <definedName name="B_FHD20_diff_67">'Показатели ФХД &gt;20%'!$H$32:$R$34</definedName>
    <definedName name="B_KNE_diff_67">'Показатели КНЭ'!$M$7:$N$9</definedName>
    <definedName name="Q_PH_diff_68">'Потребительские характеристики'!$O$9:$P$11</definedName>
    <definedName name="Q_TP_diff_68">ТП!$K$9:$K$11</definedName>
    <definedName name="Q_Limit_diff_68">Ограничения!$O$26:$P$28</definedName>
    <definedName name="B_FHD_diff_68">'Показатели ФХД'!$L$25:$L$27</definedName>
    <definedName name="B_FHD_TKO_diff_68">'ТКО. Показатели ФХД'!$L$10:$L$12</definedName>
    <definedName name="B_FHD_TKO_TRANS_diff_68">'ТКО. Транс. Показатели ФХД'!$L$10:$L$12</definedName>
    <definedName name="B_FHD20_diff_68">'Показатели ФХД &gt;20%'!$H$41:$R$43</definedName>
    <definedName name="B_KNE_diff_68">'Показатели КНЭ'!$O$7:$P$9</definedName>
    <definedName name="Q_PH_diff_69">'Потребительские характеристики'!$Q$9:$R$11</definedName>
    <definedName name="Q_TP_diff_69">ТП!$L$9:$L$11</definedName>
    <definedName name="Q_Limit_diff_69">Ограничения!$Q$26:$R$28</definedName>
    <definedName name="B_FHD_diff_69">'Показатели ФХД'!$M$25:$M$27</definedName>
    <definedName name="B_FHD_TKO_diff_69">'ТКО. Показатели ФХД'!$M$10:$M$12</definedName>
    <definedName name="B_FHD_TKO_TRANS_diff_69">'ТКО. Транс. Показатели ФХД'!$M$10:$M$12</definedName>
    <definedName name="B_FHD20_diff_69">'Показатели ФХД &gt;20%'!$H$50:$R$52</definedName>
    <definedName name="B_KNE_diff_69">'Показатели КНЭ'!$Q$7:$R$9</definedName>
    <definedName name="Q_PH_diff_70">'Потребительские характеристики'!$S$9:$T$11</definedName>
    <definedName name="Q_TP_diff_70">ТП!$M$9:$M$11</definedName>
    <definedName name="Q_Limit_diff_70">Ограничения!$S$26:$T$28</definedName>
    <definedName name="B_FHD_diff_70">'Показатели ФХД'!$N$25:$N$27</definedName>
    <definedName name="B_FHD_TKO_diff_70">'ТКО. Показатели ФХД'!$N$10:$N$12</definedName>
    <definedName name="B_FHD_TKO_TRANS_diff_70">'ТКО. Транс. Показатели ФХД'!$N$10:$N$12</definedName>
    <definedName name="B_FHD20_diff_70">'Показатели ФХД &gt;20%'!$H$59:$R$61</definedName>
    <definedName name="B_KNE_diff_70">'Показатели КНЭ'!$S$7:$T$9</definedName>
    <definedName name="Q_PH_diff_71">'Потребительские характеристики'!$U$9:$V$11</definedName>
    <definedName name="Q_TP_diff_71">ТП!$N$9:$N$11</definedName>
    <definedName name="Q_Limit_diff_71">Ограничения!$U$26:$V$28</definedName>
    <definedName name="B_FHD_diff_71">'Показатели ФХД'!$O$25:$O$27</definedName>
    <definedName name="B_FHD_TKO_diff_71">'ТКО. Показатели ФХД'!$O$10:$O$12</definedName>
    <definedName name="B_FHD_TKO_TRANS_diff_71">'ТКО. Транс. Показатели ФХД'!$O$10:$O$12</definedName>
    <definedName name="B_FHD20_diff_71">'Показатели ФХД &gt;20%'!$H$68:$R$70</definedName>
    <definedName name="B_KNE_diff_71">'Показатели КНЭ'!$U$7:$V$9</definedName>
    <definedName name="Q_PH_diff_72">'Потребительские характеристики'!$W$9:$X$11</definedName>
    <definedName name="Q_TP_diff_72">ТП!$O$9:$O$11</definedName>
    <definedName name="Q_Limit_diff_72">Ограничения!$W$26:$X$28</definedName>
    <definedName name="B_FHD_diff_72">'Показатели ФХД'!$P$25:$P$27</definedName>
    <definedName name="B_FHD_TKO_diff_72">'ТКО. Показатели ФХД'!$P$10:$P$12</definedName>
    <definedName name="B_FHD_TKO_TRANS_diff_72">'ТКО. Транс. Показатели ФХД'!$P$10:$P$12</definedName>
    <definedName name="B_FHD20_diff_72">'Показатели ФХД &gt;20%'!$H$77:$R$79</definedName>
    <definedName name="B_KNE_diff_72">'Показатели КНЭ'!$W$7:$X$9</definedName>
    <definedName name="Q_PH_diff_73">'Потребительские характеристики'!$Y$9:$Z$11</definedName>
    <definedName name="Q_TP_diff_73">ТП!$P$9:$P$11</definedName>
    <definedName name="Q_Limit_diff_73">Ограничения!$Y$26:$Z$28</definedName>
    <definedName name="B_FHD_diff_73">'Показатели ФХД'!$Q$25:$Q$27</definedName>
    <definedName name="B_FHD_TKO_diff_73">'ТКО. Показатели ФХД'!$Q$10:$Q$12</definedName>
    <definedName name="B_FHD_TKO_TRANS_diff_73">'ТКО. Транс. Показатели ФХД'!$Q$10:$Q$12</definedName>
    <definedName name="B_FHD20_diff_73">'Показатели ФХД &gt;20%'!$H$86:$R$88</definedName>
    <definedName name="B_KNE_diff_73">'Показатели КНЭ'!$Y$7:$Z$9</definedName>
    <definedName name="Q_PH_diff_74">'Потребительские характеристики'!$AA$9:$AB$11</definedName>
    <definedName name="Q_TP_diff_74">ТП!$Q$9:$Q$11</definedName>
    <definedName name="Q_Limit_diff_74">Ограничения!$AA$26:$AB$28</definedName>
    <definedName name="B_FHD_diff_74">'Показатели ФХД'!$R$25:$R$27</definedName>
    <definedName name="B_FHD_TKO_diff_74">'ТКО. Показатели ФХД'!$R$10:$R$12</definedName>
    <definedName name="B_FHD_TKO_TRANS_diff_74">'ТКО. Транс. Показатели ФХД'!$R$10:$R$12</definedName>
    <definedName name="B_FHD20_diff_74">'Показатели ФХД &gt;20%'!$H$95:$R$97</definedName>
    <definedName name="B_KNE_diff_74">'Показатели КНЭ'!$AA$7:$AB$9</definedName>
    <definedName name="Q_PH_diff_75">'Потребительские характеристики'!$AC$9:$AD$11</definedName>
    <definedName name="Q_TP_diff_75">ТП!$R$9:$R$11</definedName>
    <definedName name="Q_Limit_diff_75">Ограничения!$AC$26:$AD$28</definedName>
    <definedName name="B_FHD_diff_75">'Показатели ФХД'!$S$25:$S$27</definedName>
    <definedName name="B_FHD_TKO_diff_75">'ТКО. Показатели ФХД'!$S$10:$S$12</definedName>
    <definedName name="B_FHD_TKO_TRANS_diff_75">'ТКО. Транс. Показатели ФХД'!$S$10:$S$12</definedName>
    <definedName name="B_FHD20_diff_75">'Показатели ФХД &gt;20%'!$H$104:$R$106</definedName>
    <definedName name="B_KNE_diff_75">'Показатели КНЭ'!$AC$7:$AD$9</definedName>
    <definedName name="Q_PH_diff_76">'Потребительские характеристики'!$AE$9:$AF$11</definedName>
    <definedName name="Q_TP_diff_76">ТП!$S$9:$S$11</definedName>
    <definedName name="Q_Limit_diff_76">Ограничения!$AE$26:$AF$28</definedName>
    <definedName name="B_FHD_diff_76">'Показатели ФХД'!$T$25:$T$27</definedName>
    <definedName name="B_FHD_TKO_diff_76">'ТКО. Показатели ФХД'!$T$10:$T$12</definedName>
    <definedName name="B_FHD_TKO_TRANS_diff_76">'ТКО. Транс. Показатели ФХД'!$T$10:$T$12</definedName>
    <definedName name="B_FHD20_diff_76">'Показатели ФХД &gt;20%'!$H$113:$R$115</definedName>
    <definedName name="B_KNE_diff_76">'Показатели КНЭ'!$AE$7:$AF$9</definedName>
    <definedName name="Q_PH_diff_77">'Потребительские характеристики'!$AG$9:$AH$11</definedName>
    <definedName name="Q_TP_diff_77">ТП!$T$9:$T$11</definedName>
    <definedName name="Q_Limit_diff_77">Ограничения!$AG$26:$AH$28</definedName>
    <definedName name="B_FHD_diff_77">'Показатели ФХД'!$U$25:$U$27</definedName>
    <definedName name="B_FHD_TKO_diff_77">'ТКО. Показатели ФХД'!$U$10:$U$12</definedName>
    <definedName name="B_FHD_TKO_TRANS_diff_77">'ТКО. Транс. Показатели ФХД'!$U$10:$U$12</definedName>
    <definedName name="B_FHD20_diff_77">'Показатели ФХД &gt;20%'!$H$122:$R$124</definedName>
    <definedName name="B_KNE_diff_77">'Показатели КНЭ'!$AG$7:$AH$9</definedName>
    <definedName name="Q_PH_diff_78">'Потребительские характеристики'!$AI$9:$AJ$11</definedName>
    <definedName name="Q_TP_diff_78">ТП!$U$9:$U$11</definedName>
    <definedName name="Q_Limit_diff_78">Ограничения!$AI$26:$AJ$28</definedName>
    <definedName name="B_FHD_diff_78">'Показатели ФХД'!$V$25:$V$27</definedName>
    <definedName name="B_FHD_TKO_diff_78">'ТКО. Показатели ФХД'!$V$10:$V$12</definedName>
    <definedName name="B_FHD_TKO_TRANS_diff_78">'ТКО. Транс. Показатели ФХД'!$V$10:$V$12</definedName>
    <definedName name="B_FHD20_diff_78">'Показатели ФХД &gt;20%'!$H$131:$R$133</definedName>
    <definedName name="B_KNE_diff_78">'Показатели КНЭ'!$AI$7:$AJ$9</definedName>
    <definedName name="Q_PH_diff_79">'Потребительские характеристики'!$AK$9:$AL$11</definedName>
    <definedName name="Q_TP_diff_79">ТП!$V$9:$V$11</definedName>
    <definedName name="Q_Limit_diff_79">Ограничения!$AK$26:$AL$28</definedName>
    <definedName name="B_FHD_diff_79">'Показатели ФХД'!$W$25:$W$27</definedName>
    <definedName name="B_FHD_TKO_diff_79">'ТКО. Показатели ФХД'!$W$10:$W$12</definedName>
    <definedName name="B_FHD_TKO_TRANS_diff_79">'ТКО. Транс. Показатели ФХД'!$W$10:$W$12</definedName>
    <definedName name="B_FHD20_diff_79">'Показатели ФХД &gt;20%'!$H$140:$R$142</definedName>
    <definedName name="B_KNE_diff_79">'Показатели КНЭ'!$AK$7:$AL$9</definedName>
    <definedName name="Q_PH_diff_80">'Потребительские характеристики'!$AM$9:$AN$11</definedName>
    <definedName name="Q_TP_diff_80">ТП!$W$9:$W$11</definedName>
    <definedName name="Q_Limit_diff_80">Ограничения!$AM$26:$AN$28</definedName>
    <definedName name="B_FHD_diff_80">'Показатели ФХД'!$X$25:$X$27</definedName>
    <definedName name="B_FHD_TKO_diff_80">'ТКО. Показатели ФХД'!$X$10:$X$12</definedName>
    <definedName name="B_FHD_TKO_TRANS_diff_80">'ТКО. Транс. Показатели ФХД'!$X$10:$X$12</definedName>
    <definedName name="B_FHD20_diff_80">'Показатели ФХД &gt;20%'!$H$149:$R$151</definedName>
    <definedName name="B_KNE_diff_80">'Показатели КНЭ'!$AM$7:$AN$9</definedName>
    <definedName name="Q_PH_diff_81">'Потребительские характеристики'!$AO$9:$AP$11</definedName>
    <definedName name="Q_TP_diff_81">ТП!$X$9:$X$11</definedName>
    <definedName name="Q_Limit_diff_81">Ограничения!$AO$26:$AP$28</definedName>
    <definedName name="B_FHD_diff_81">'Показатели ФХД'!$Y$25:$Y$27</definedName>
    <definedName name="B_FHD_TKO_diff_81">'ТКО. Показатели ФХД'!$Y$10:$Y$12</definedName>
    <definedName name="B_FHD_TKO_TRANS_diff_81">'ТКО. Транс. Показатели ФХД'!$Y$10:$Y$12</definedName>
    <definedName name="B_FHD20_diff_81">'Показатели ФХД &gt;20%'!$H$158:$R$160</definedName>
    <definedName name="B_KNE_diff_81">'Показатели КНЭ'!$AO$7:$AP$9</definedName>
    <definedName name="Q_PH_diff_82">'Потребительские характеристики'!$AQ$9:$AR$11</definedName>
    <definedName name="Q_TP_diff_82">ТП!$Y$9:$Y$11</definedName>
    <definedName name="Q_Limit_diff_82">Ограничения!$AQ$26:$AR$28</definedName>
    <definedName name="B_FHD_diff_82">'Показатели ФХД'!$Z$25:$Z$27</definedName>
    <definedName name="B_FHD_TKO_diff_82">'ТКО. Показатели ФХД'!$Z$10:$Z$12</definedName>
    <definedName name="B_FHD_TKO_TRANS_diff_82">'ТКО. Транс. Показатели ФХД'!$Z$10:$Z$12</definedName>
    <definedName name="B_FHD20_diff_82">'Показатели ФХД &gt;20%'!$H$167:$R$169</definedName>
    <definedName name="B_KNE_diff_82">'Показатели КНЭ'!$AQ$7:$AR$9</definedName>
    <definedName name="Q_PH_diff_83">'Потребительские характеристики'!$AS$9:$AT$11</definedName>
    <definedName name="Q_TP_diff_83">ТП!$Z$9:$Z$11</definedName>
    <definedName name="Q_Limit_diff_83">Ограничения!$AS$26:$AT$28</definedName>
    <definedName name="B_FHD_diff_83">'Показатели ФХД'!$AA$25:$AA$27</definedName>
    <definedName name="B_FHD_TKO_diff_83">'ТКО. Показатели ФХД'!$AA$10:$AA$12</definedName>
    <definedName name="B_FHD_TKO_TRANS_diff_83">'ТКО. Транс. Показатели ФХД'!$AA$10:$AA$12</definedName>
    <definedName name="B_FHD20_diff_83">'Показатели ФХД &gt;20%'!$H$176:$R$178</definedName>
    <definedName name="B_KNE_diff_83">'Показатели КНЭ'!$AS$7:$AT$9</definedName>
    <definedName name="Q_PH_diff_84">'Потребительские характеристики'!$AU$9:$AV$11</definedName>
    <definedName name="Q_TP_diff_84">ТП!$AA$9:$AA$11</definedName>
    <definedName name="Q_Limit_diff_84">Ограничения!$AU$26:$AV$28</definedName>
    <definedName name="B_FHD_diff_84">'Показатели ФХД'!$AB$25:$AB$27</definedName>
    <definedName name="B_FHD_TKO_diff_84">'ТКО. Показатели ФХД'!$AB$10:$AB$12</definedName>
    <definedName name="B_FHD_TKO_TRANS_diff_84">'ТКО. Транс. Показатели ФХД'!$AB$10:$AB$12</definedName>
    <definedName name="B_FHD20_diff_84">'Показатели ФХД &gt;20%'!$H$185:$R$187</definedName>
    <definedName name="B_KNE_diff_84">'Показатели КНЭ'!$AU$7:$AV$9</definedName>
    <definedName name="Q_PH_diff_85">'Потребительские характеристики'!$AW$9:$AX$11</definedName>
    <definedName name="Q_TP_diff_85">ТП!$AB$9:$AB$11</definedName>
    <definedName name="Q_Limit_diff_85">Ограничения!$AW$26:$AX$28</definedName>
    <definedName name="B_FHD_diff_85">'Показатели ФХД'!$AC$25:$AC$27</definedName>
    <definedName name="B_FHD_TKO_diff_85">'ТКО. Показатели ФХД'!$AC$10:$AC$12</definedName>
    <definedName name="B_FHD_TKO_TRANS_diff_85">'ТКО. Транс. Показатели ФХД'!$AC$10:$AC$12</definedName>
    <definedName name="B_FHD20_diff_85">'Показатели ФХД &gt;20%'!$H$194:$R$196</definedName>
    <definedName name="B_KNE_diff_85">'Показатели КНЭ'!$AW$7:$AX$9</definedName>
    <definedName name="Q_PH_diff_86">'Потребительские характеристики'!$AY$9:$AZ$11</definedName>
    <definedName name="Q_TP_diff_86">ТП!$AC$9:$AC$11</definedName>
    <definedName name="Q_Limit_diff_86">Ограничения!$AY$26:$AZ$28</definedName>
    <definedName name="B_FHD_diff_86">'Показатели ФХД'!$AD$25:$AD$27</definedName>
    <definedName name="B_FHD_TKO_diff_86">'ТКО. Показатели ФХД'!$AD$10:$AD$12</definedName>
    <definedName name="B_FHD_TKO_TRANS_diff_86">'ТКО. Транс. Показатели ФХД'!$AD$10:$AD$12</definedName>
    <definedName name="B_FHD20_diff_86">'Показатели ФХД &gt;20%'!$H$203:$R$205</definedName>
    <definedName name="B_KNE_diff_86">'Показатели КНЭ'!$AY$7:$AZ$9</definedName>
    <definedName name="Q_PH_diff_87">'Потребительские характеристики'!$BA$9:$BB$11</definedName>
    <definedName name="Q_TP_diff_87">ТП!$AD$9:$AD$11</definedName>
    <definedName name="Q_Limit_diff_87">Ограничения!$BA$26:$BB$28</definedName>
    <definedName name="B_FHD_diff_87">'Показатели ФХД'!$AE$25:$AE$27</definedName>
    <definedName name="B_FHD_TKO_diff_87">'ТКО. Показатели ФХД'!$AE$10:$AE$12</definedName>
    <definedName name="B_FHD_TKO_TRANS_diff_87">'ТКО. Транс. Показатели ФХД'!$AE$10:$AE$12</definedName>
    <definedName name="B_FHD20_diff_87">'Показатели ФХД &gt;20%'!$H$212:$R$214</definedName>
    <definedName name="B_KNE_diff_87">'Показатели КНЭ'!$BA$7:$BB$9</definedName>
    <definedName name="Q_PH_diff_88">'Потребительские характеристики'!$BC$9:$BD$11</definedName>
    <definedName name="Q_TP_diff_88">ТП!$AE$9:$AE$11</definedName>
    <definedName name="Q_Limit_diff_88">Ограничения!$BC$26:$BD$28</definedName>
    <definedName name="B_FHD_diff_88">'Показатели ФХД'!$AF$25:$AF$27</definedName>
    <definedName name="B_FHD_TKO_diff_88">'ТКО. Показатели ФХД'!$AF$10:$AF$12</definedName>
    <definedName name="B_FHD_TKO_TRANS_diff_88">'ТКО. Транс. Показатели ФХД'!$AF$10:$AF$12</definedName>
    <definedName name="B_FHD20_diff_88">'Показатели ФХД &gt;20%'!$H$221:$R$223</definedName>
    <definedName name="B_KNE_diff_88">'Показатели КНЭ'!$BC$7:$BD$9</definedName>
    <definedName name="Q_PH_diff_89">'Потребительские характеристики'!$BE$9:$BF$11</definedName>
    <definedName name="Q_TP_diff_89">ТП!$AF$9:$AF$11</definedName>
    <definedName name="Q_Limit_diff_89">Ограничения!$BE$26:$BF$28</definedName>
    <definedName name="B_FHD_diff_89">'Показатели ФХД'!$AG$25:$AG$27</definedName>
    <definedName name="B_FHD_TKO_diff_89">'ТКО. Показатели ФХД'!$AG$10:$AG$12</definedName>
    <definedName name="B_FHD_TKO_TRANS_diff_89">'ТКО. Транс. Показатели ФХД'!$AG$10:$AG$12</definedName>
    <definedName name="B_FHD20_diff_89">'Показатели ФХД &gt;20%'!$H$230:$R$232</definedName>
    <definedName name="B_KNE_diff_89">'Показатели КНЭ'!$BE$7:$BF$9</definedName>
    <definedName name="Q_PH_diff_90">'Потребительские характеристики'!$BG$9:$BH$11</definedName>
    <definedName name="Q_TP_diff_90">ТП!$AG$9:$AG$11</definedName>
    <definedName name="Q_Limit_diff_90">Ограничения!$BG$26:$BH$28</definedName>
    <definedName name="B_FHD_diff_90">'Показатели ФХД'!$AH$25:$AH$27</definedName>
    <definedName name="B_FHD_TKO_diff_90">'ТКО. Показатели ФХД'!$AH$10:$AH$12</definedName>
    <definedName name="B_FHD_TKO_TRANS_diff_90">'ТКО. Транс. Показатели ФХД'!$AH$10:$AH$12</definedName>
    <definedName name="B_FHD20_diff_90">'Показатели ФХД &gt;20%'!$H$239:$R$241</definedName>
    <definedName name="B_KNE_diff_90">'Показатели КНЭ'!$BG$7:$BH$9</definedName>
    <definedName name="Q_PH_diff_91">'Потребительские характеристики'!$BI$9:$BJ$11</definedName>
    <definedName name="Q_TP_diff_91">ТП!$AH$9:$AH$11</definedName>
    <definedName name="Q_Limit_diff_91">Ограничения!$BI$26:$BJ$28</definedName>
    <definedName name="B_FHD_diff_91">'Показатели ФХД'!$AI$25:$AI$27</definedName>
    <definedName name="B_FHD_TKO_diff_91">'ТКО. Показатели ФХД'!$AI$10:$AI$12</definedName>
    <definedName name="B_FHD_TKO_TRANS_diff_91">'ТКО. Транс. Показатели ФХД'!$AI$10:$AI$12</definedName>
    <definedName name="B_FHD20_diff_91">'Показатели ФХД &gt;20%'!$H$248:$R$250</definedName>
    <definedName name="B_KNE_diff_91">'Показатели КНЭ'!$BI$7:$BJ$9</definedName>
    <definedName name="Q_PH_diff_92">'Потребительские характеристики'!$BK$9:$BL$11</definedName>
    <definedName name="Q_TP_diff_92">ТП!$AI$9:$AI$11</definedName>
    <definedName name="Q_Limit_diff_92">Ограничения!$BK$26:$BL$28</definedName>
    <definedName name="B_FHD_diff_92">'Показатели ФХД'!$AJ$25:$AJ$27</definedName>
    <definedName name="B_FHD_TKO_diff_92">'ТКО. Показатели ФХД'!$AJ$10:$AJ$12</definedName>
    <definedName name="B_FHD_TKO_TRANS_diff_92">'ТКО. Транс. Показатели ФХД'!$AJ$10:$AJ$12</definedName>
    <definedName name="B_FHD20_diff_92">'Показатели ФХД &gt;20%'!$H$257:$R$259</definedName>
    <definedName name="B_KNE_diff_92">'Показатели КНЭ'!$BK$7:$BL$9</definedName>
    <definedName name="_xlnm._FilterDatabase" localSheetId="67">Проверка!$B$4:$E$5</definedName>
  </definedNames>
  <calcPr calcId="0" iterate="0" iterateCount="100" iterateDelta="0.001"/>
</workbook>
</file>

<file path=xl/comments1.xml><?xml version="1.0" encoding="utf-8"?>
<comments xmlns="http://schemas.openxmlformats.org/spreadsheetml/2006/main">
  <authors>
    <author>Author</author>
  </authors>
  <commentList>
    <comment ref="F29" authorId="0">
      <text>
        <r>
          <rPr>
            <sz val="9"/>
            <color indexed="81"/>
            <rFont val="Tahoma"/>
            <family val="2"/>
          </rPr>
          <t>Выбор организации двойным щелчком левой клавиши мыши</t>
        </r>
      </text>
    </comment>
    <comment ref="E35" authorId="0">
      <text>
        <r>
          <rPr>
            <sz val="9"/>
            <color indexed="81"/>
            <rFont val="Arial"/>
            <family val="2"/>
          </rPr>
          <t>ОСН - Общая система налогообложения
УСН - Упрощённая система налогообложения
ЕСХН - Единый сельскохозяйственный налог
ПСН - Патентная система налогообложения
НПД - Налог на профессиональный доход</t>
        </r>
      </text>
    </comment>
  </commentList>
</comments>
</file>

<file path=xl/comments2.xml><?xml version="1.0" encoding="utf-8"?>
<comments xmlns="http://schemas.openxmlformats.org/spreadsheetml/2006/main">
  <authors>
    <author>Author</author>
  </authors>
  <commentList>
    <comment ref="P2" authorId="0">
      <text>
        <r>
          <rPr>
            <sz val="9"/>
            <color indexed="81"/>
            <rFont val="Arial"/>
            <family val="2"/>
          </rPr>
          <t>сюда же для некоторых формул может входить:
- VOTV
- HOTVSNA</t>
        </r>
      </text>
    </comment>
    <comment ref="U2" authorId="0">
      <text>
        <r>
          <rPr>
            <sz val="9"/>
            <color indexed="81"/>
            <rFont val="Arial"/>
            <family val="2"/>
          </rPr>
          <t>сюда же для некоторых формул может входить:
- VOTV
- HOTVSNA</t>
        </r>
      </text>
    </comment>
  </commentList>
</comments>
</file>

<file path=xl/comments3.xml><?xml version="1.0" encoding="utf-8"?>
<comments xmlns="http://schemas.openxmlformats.org/spreadsheetml/2006/main">
  <authors>
    <author>Author</author>
  </authors>
  <commentList>
    <comment ref="AZ1" authorId="0">
      <text>
        <r>
          <rPr>
            <sz val="9"/>
            <color indexed="81"/>
            <rFont val="Tahoma"/>
            <family val="2"/>
          </rPr>
          <t>Тип организации</t>
        </r>
      </text>
    </comment>
  </commentList>
</comments>
</file>

<file path=xl/sharedStrings.xml><?xml version="1.0" encoding="utf-8"?>
<sst xmlns="http://schemas.openxmlformats.org/spreadsheetml/2006/main" count="23622" uniqueCount="4756">
  <si>
    <t xml:space="preserve"> (требуется обновление)</t>
  </si>
  <si>
    <t>Код отчёта: PP110.OPEN.INFO.QUARTER.HEAT.EIAS</t>
  </si>
  <si>
    <t>Версия отчёта: 1.0.0</t>
  </si>
  <si>
    <t>Условные обозначения</t>
  </si>
  <si>
    <t>A</t>
  </si>
  <si>
    <t xml:space="preserve"> - предназначенные для заполнения</t>
  </si>
  <si>
    <t xml:space="preserve"> - ссылки и автозаполняемые поля</t>
  </si>
  <si>
    <t xml:space="preserve"> - с формулами и константами</t>
  </si>
  <si>
    <t xml:space="preserve"> - обязательные для заполнения</t>
  </si>
  <si>
    <t>Работа с реестрами</t>
  </si>
  <si>
    <t>Если в предложенном Вам списке необходимая организация, территория или объект отсутствуют, обновите списки с помощью элементов управления на листах. Если после обновления Вам не удалось найти необходимую позицию в списке, обратитесь к ответственному за поддержание реестра Вашего региона либо в Отдел сопровождения пользователей ЕИАС.</t>
  </si>
  <si>
    <t>Проверка отчёта</t>
  </si>
  <si>
    <t>• При сохранении отчётной формы осуществляется проверка корректности данных_x000D_
• Для каждого сообщения возможны 2 статуса: ошибка и предупреждение_x000D_
• При наличии сообщений со статусом «Ошибка» файл будет отклонён системой и не будет загружен в хранилище данных, сообщения со статусом «Предупреждение» носят информационный характер, и такой файл будет принят к обработке системой</t>
  </si>
  <si>
    <t>Субъект РФ</t>
  </si>
  <si>
    <t>Самарская область</t>
  </si>
  <si>
    <t>PRICE, REQUEST</t>
  </si>
  <si>
    <t>Начало_x000D_
периода регулирования</t>
  </si>
  <si>
    <t/>
  </si>
  <si>
    <t>Как заполнить?</t>
  </si>
  <si>
    <t>Начало периода регулирования</t>
  </si>
  <si>
    <t>Окончание_x000D_
периода регулирования</t>
  </si>
  <si>
    <t>Окончание периода регулирования</t>
  </si>
  <si>
    <t>ORG</t>
  </si>
  <si>
    <t>Дата_x000D_
предоставления информации</t>
  </si>
  <si>
    <t>Дата предоставления информации</t>
  </si>
  <si>
    <t>BALANCE, QUARTER, TERMS</t>
  </si>
  <si>
    <t>Год</t>
  </si>
  <si>
    <t>Отчётный период (год)</t>
  </si>
  <si>
    <t>QUARTER</t>
  </si>
  <si>
    <t>Квартал</t>
  </si>
  <si>
    <t>IV квартал</t>
  </si>
  <si>
    <t>Отчётный период (квартал)</t>
  </si>
  <si>
    <t>Тип отчёта</t>
  </si>
  <si>
    <t>первичное раскрытие информации</t>
  </si>
  <si>
    <t>Дата внесения изменений в информацию, подлежащую раскрытию</t>
  </si>
  <si>
    <t>04.07.2023</t>
  </si>
  <si>
    <t>Отображается, если тип отчёта - изменение</t>
  </si>
  <si>
    <t>Дата периода регулирования, с которой вводятся изменения в тарифы</t>
  </si>
  <si>
    <t>Данный блок предлагается заполнять из отчётной формы BALANCE.CALC.TARIFF.ххх.хххх</t>
  </si>
  <si>
    <t>Наименование органа регулирования, принявшего решение об утверждении тарифов</t>
  </si>
  <si>
    <t>Источник официального опубликования решения</t>
  </si>
  <si>
    <t>Открывается, если Тип отчёта "изменения в раскрытой ранее информации"</t>
  </si>
  <si>
    <t>Наименование органа регулирования, принявшего решение об изменении тарифов</t>
  </si>
  <si>
    <t>Дата принятия решения об изменении тарифов</t>
  </si>
  <si>
    <t>Номер принятия решения об изменении тарифов</t>
  </si>
  <si>
    <t>Наименование ЮЛ / ИП</t>
  </si>
  <si>
    <t>ООО "СамРЭК-Тепло Жигулевск"</t>
  </si>
  <si>
    <t>Наименование (описание) обособленного подразделения</t>
  </si>
  <si>
    <t>ИНН</t>
  </si>
  <si>
    <t>6382079233</t>
  </si>
  <si>
    <t>КПП</t>
  </si>
  <si>
    <t>638201001</t>
  </si>
  <si>
    <t>Тип теплоснабжающей организации</t>
  </si>
  <si>
    <t>Регулируемая организация</t>
  </si>
  <si>
    <t>Система налогообложения</t>
  </si>
  <si>
    <t>ОСН</t>
  </si>
  <si>
    <t>Отсутствует Интернет в границах территории МО, где организация осуществляет регулируемые виды деятельности</t>
  </si>
  <si>
    <t>нет</t>
  </si>
  <si>
    <t>Опубликовать индикативный предельный уровень цен на тепловую энергию (мощность)</t>
  </si>
  <si>
    <t>График поэтапного равномерного доведения предельного уровня цены на тепловую энергию (мощность)</t>
  </si>
  <si>
    <r>
      <t xml:space="preserve">Тариф на горячую воду предлагается </t>
    </r>
    <r>
      <rPr>
        <b/>
        <charset val="204"/>
        <family val="2"/>
        <rFont val="Tahoma"/>
        <sz val="9"/>
      </rPr>
      <t>с (!)</t>
    </r>
    <r>
      <rPr>
        <charset val="204"/>
        <family val="2"/>
        <rFont val="Tahoma"/>
        <sz val="9"/>
      </rPr>
      <t xml:space="preserve"> разбивкой по поставщикам</t>
    </r>
  </si>
  <si>
    <r>
      <t xml:space="preserve">Тариф на горячую воду предлагается </t>
    </r>
    <r>
      <rPr>
        <b/>
        <charset val="204"/>
        <family val="2"/>
        <rFont val="Tahoma"/>
        <sz val="9"/>
      </rPr>
      <t>без (!)</t>
    </r>
    <r>
      <rPr>
        <charset val="204"/>
        <family val="2"/>
        <rFont val="Tahoma"/>
        <sz val="9"/>
      </rPr>
      <t xml:space="preserve"> разбивки на компоненты</t>
    </r>
  </si>
  <si>
    <t>Организация осуществляет поставку товаров (оказание услуг) только по нерегулируемым ценам</t>
  </si>
  <si>
    <t>Регулируемая организация осуществляет сдачу годового бухгалтерского баланса в налоговые органы</t>
  </si>
  <si>
    <t>Дата направления годового бухгалтерского баланса в налоговые органы</t>
  </si>
  <si>
    <t>Превышает ли выручка от регулируемой деятельности 80% совокупной выручки за отчетный год</t>
  </si>
  <si>
    <t>Организация выполняет инвестиционную программу</t>
  </si>
  <si>
    <t>да</t>
  </si>
  <si>
    <t>Детализация инвестиционных программ осуществляется</t>
  </si>
  <si>
    <t>Оператор по обращению с твёрдыми коммунальными отходами, осуществляет деятельность по транспортированию твёрдых коммунальных отходов</t>
  </si>
  <si>
    <t>Почтовый адрес регулируемой организации</t>
  </si>
  <si>
    <t>г. Самара, Московское шоссе, 55, оф. 216</t>
  </si>
  <si>
    <t>Фамилия, имя, отчество руководителя</t>
  </si>
  <si>
    <t>Игнатов Дмитрий Владимирович</t>
  </si>
  <si>
    <t>Ответственный за заполнение формы</t>
  </si>
  <si>
    <t>Фамилия, имя, отчество</t>
  </si>
  <si>
    <t>Зверева Лариса Михайловна</t>
  </si>
  <si>
    <t>Должность</t>
  </si>
  <si>
    <t>экономист</t>
  </si>
  <si>
    <t>Контактный телефон</t>
  </si>
  <si>
    <t>(848)627-96-90</t>
  </si>
  <si>
    <t>E-mail</t>
  </si>
  <si>
    <t>zverevalm@yandex.ru</t>
  </si>
  <si>
    <t>МР</t>
  </si>
  <si>
    <t>МО</t>
  </si>
  <si>
    <t>ОКТМО</t>
  </si>
  <si>
    <t>Муниципальный район</t>
  </si>
  <si>
    <t>Муниципальное образование</t>
  </si>
  <si>
    <t>№ п/п</t>
  </si>
  <si>
    <t>Наименование</t>
  </si>
  <si>
    <t>3</t>
  </si>
  <si>
    <t>4</t>
  </si>
  <si>
    <t>6</t>
  </si>
  <si>
    <t>7</t>
  </si>
  <si>
    <t>размерженный МР</t>
  </si>
  <si>
    <t>флаг используемости территории на листе Перечень тарифов</t>
  </si>
  <si>
    <t>копия территорий</t>
  </si>
  <si>
    <t>МР (ОКТМО)</t>
  </si>
  <si>
    <t>ter_1</t>
  </si>
  <si>
    <t>333</t>
  </si>
  <si>
    <t>городской округ Жигулевск</t>
  </si>
  <si>
    <t>36704000</t>
  </si>
  <si>
    <t>Добавить МО</t>
  </si>
  <si>
    <t>Добавить территорию оказания услуг</t>
  </si>
  <si>
    <t>Добавить территорию действия тарифа</t>
  </si>
  <si>
    <t>Вид деятельности</t>
  </si>
  <si>
    <t>Дифференциация по территориям</t>
  </si>
  <si>
    <t>Дифференциация по централизованным системам</t>
  </si>
  <si>
    <t>да/нет</t>
  </si>
  <si>
    <t>1</t>
  </si>
  <si>
    <t>2</t>
  </si>
  <si>
    <t>5</t>
  </si>
  <si>
    <t>8</t>
  </si>
  <si>
    <t>ID_DIFF</t>
  </si>
  <si>
    <t>VD</t>
  </si>
  <si>
    <t>AREA</t>
  </si>
  <si>
    <t>SYSTEM</t>
  </si>
  <si>
    <t>Котельная №1 по ул.Ново-Самарская, д.12</t>
  </si>
  <si>
    <t>diff_1</t>
  </si>
  <si>
    <t>4190064</t>
  </si>
  <si>
    <t>a</t>
  </si>
  <si>
    <t>×</t>
  </si>
  <si>
    <t>Котельная №2,  ул.Пирогова около д.4</t>
  </si>
  <si>
    <t>diff_66</t>
  </si>
  <si>
    <t>Котельная №3, ул.Комсомольская около д.1 по ул.Ленина</t>
  </si>
  <si>
    <t>diff_67</t>
  </si>
  <si>
    <t>Тепловой центр №1 ул.Вокзальная ок д.№8</t>
  </si>
  <si>
    <t>diff_68</t>
  </si>
  <si>
    <t xml:space="preserve">Котельная №5, Александр. Поле, около д.30 по ул.Советская </t>
  </si>
  <si>
    <t>diff_69</t>
  </si>
  <si>
    <t xml:space="preserve">Котельная №6, ул.Пушкина </t>
  </si>
  <si>
    <t>diff_70</t>
  </si>
  <si>
    <t>Тепловой центр №2 ул.Вокзальная ок д.№20</t>
  </si>
  <si>
    <t>diff_71</t>
  </si>
  <si>
    <t>Котельная №8, ул.Мира</t>
  </si>
  <si>
    <t>diff_72</t>
  </si>
  <si>
    <t>9</t>
  </si>
  <si>
    <t>Котельная №9, ул.Гоголя</t>
  </si>
  <si>
    <t>diff_73</t>
  </si>
  <si>
    <t>10</t>
  </si>
  <si>
    <t>Котельная №10, ул.Гоголя</t>
  </si>
  <si>
    <t>diff_74</t>
  </si>
  <si>
    <t>11</t>
  </si>
  <si>
    <t>Котельная №12а, ул.Мира</t>
  </si>
  <si>
    <t>diff_75</t>
  </si>
  <si>
    <t>12</t>
  </si>
  <si>
    <t>Котельная №13, ул.Морквашинская</t>
  </si>
  <si>
    <t>diff_76</t>
  </si>
  <si>
    <t>13</t>
  </si>
  <si>
    <t>ЦТП-1 ул.Морквашинская ок.д№7</t>
  </si>
  <si>
    <t>diff_77</t>
  </si>
  <si>
    <t>14</t>
  </si>
  <si>
    <t>ЦТП-2, В-1,ок.д.№10</t>
  </si>
  <si>
    <t>diff_78</t>
  </si>
  <si>
    <t>15</t>
  </si>
  <si>
    <t>ЦТП-9, ул.Пролетарская д.23/ул.Транспортная д.10</t>
  </si>
  <si>
    <t>diff_79</t>
  </si>
  <si>
    <t>16</t>
  </si>
  <si>
    <t>ПНС№1-  Пролет, 5</t>
  </si>
  <si>
    <t>diff_80</t>
  </si>
  <si>
    <t>17</t>
  </si>
  <si>
    <t>ПНС№2, ул.Репина,3</t>
  </si>
  <si>
    <t>diff_81</t>
  </si>
  <si>
    <t>18</t>
  </si>
  <si>
    <t>Котельная №14, ул.Радиозаводская</t>
  </si>
  <si>
    <t>diff_82</t>
  </si>
  <si>
    <t>19</t>
  </si>
  <si>
    <t>ЦТП-3, ул.Радиозаводская,ок.д.№6</t>
  </si>
  <si>
    <t>diff_83</t>
  </si>
  <si>
    <t>20</t>
  </si>
  <si>
    <t>Котельная №17а с.Зольное , ул.Первомайская.</t>
  </si>
  <si>
    <t>diff_84</t>
  </si>
  <si>
    <t>21</t>
  </si>
  <si>
    <t>Котельная №18А, с.Солнечная Поляна, ул. 4-я Линия</t>
  </si>
  <si>
    <t>diff_85</t>
  </si>
  <si>
    <t>22</t>
  </si>
  <si>
    <t>Котельная №20,пос.Яблоневый Овраг , ул Никитина</t>
  </si>
  <si>
    <t>diff_86</t>
  </si>
  <si>
    <t>23</t>
  </si>
  <si>
    <t>Котельная №22, ул.Магистральная</t>
  </si>
  <si>
    <t>diff_87</t>
  </si>
  <si>
    <t>24</t>
  </si>
  <si>
    <t>Котельная №25,  МКР Г-1, ул.Гидротехническая</t>
  </si>
  <si>
    <t>diff_88</t>
  </si>
  <si>
    <t>25</t>
  </si>
  <si>
    <t>ЦТП-7, ул.Оборонная</t>
  </si>
  <si>
    <t>diff_89</t>
  </si>
  <si>
    <t>26</t>
  </si>
  <si>
    <t>ЦТП-8, ул.Шевченко</t>
  </si>
  <si>
    <t>diff_90</t>
  </si>
  <si>
    <t>27</t>
  </si>
  <si>
    <t>ПНС, ул.Парковая</t>
  </si>
  <si>
    <t>diff_91</t>
  </si>
  <si>
    <t>28</t>
  </si>
  <si>
    <t>Котельная №27, п.Богатырь, ул.Управленческая</t>
  </si>
  <si>
    <t>diff_92</t>
  </si>
  <si>
    <t>Добавить централизованную систему</t>
  </si>
  <si>
    <t>Добавить описание территории</t>
  </si>
  <si>
    <t>Добавить вид деятельности</t>
  </si>
  <si>
    <t>Вид тарифа</t>
  </si>
  <si>
    <t>Наименование тарифа</t>
  </si>
  <si>
    <t>Дифференциация по_x000D_
 МО (территориям)</t>
  </si>
  <si>
    <t>Дифференциация по _x000D_
централизованным системам</t>
  </si>
  <si>
    <t>Дифференциация по источникам тепловой энергии</t>
  </si>
  <si>
    <t>Примечание</t>
  </si>
  <si>
    <t>Установлен для организации</t>
  </si>
  <si>
    <t>Описание</t>
  </si>
  <si>
    <t>TER_ID</t>
  </si>
  <si>
    <t>VTAR_ID</t>
  </si>
  <si>
    <t>VD_ID</t>
  </si>
  <si>
    <t>ID_VTAR</t>
  </si>
  <si>
    <t>ID_NTAR</t>
  </si>
  <si>
    <t>ID_TER</t>
  </si>
  <si>
    <t>ID_CS</t>
  </si>
  <si>
    <t>ID_IST_TE</t>
  </si>
  <si>
    <t>ВидТарифа</t>
  </si>
  <si>
    <t>ВидДеятельности</t>
  </si>
  <si>
    <t>НаименованиеТарифа</t>
  </si>
  <si>
    <t>Территория</t>
  </si>
  <si>
    <t>ЦентрализованнаяСистема</t>
  </si>
  <si>
    <t>ИсточникТепловойЭнергии</t>
  </si>
  <si>
    <t>№ п.п НаименованиеТарифа</t>
  </si>
  <si>
    <t>№ п.п Территория</t>
  </si>
  <si>
    <t>№ п.п ЦентрализованнаяСистема</t>
  </si>
  <si>
    <t>№ п.п ИсточникТепловойЭнергии</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</si>
  <si>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t>
  </si>
  <si>
    <t>pIns_PT_VTAR_A</t>
  </si>
  <si>
    <t>pt_ntar_1</t>
  </si>
  <si>
    <t>pt_ter_1</t>
  </si>
  <si>
    <t>pt_cs_1</t>
  </si>
  <si>
    <t>pt_ist_te_1</t>
  </si>
  <si>
    <t>pt_cs_60</t>
  </si>
  <si>
    <t>pt_ist_te_86</t>
  </si>
  <si>
    <t>Тарифы на тепловую энергию (мощность), поставляемую теплоснабжающими организациями потребителям, другим теплоснабжающим организациям</t>
  </si>
  <si>
    <t>pIns_PT_VTAR_B</t>
  </si>
  <si>
    <t>pt_ntar_2</t>
  </si>
  <si>
    <t>pt_ter_2</t>
  </si>
  <si>
    <t>pt_cs_2</t>
  </si>
  <si>
    <t>pt_ist_te_2</t>
  </si>
  <si>
    <t>Тарифы на теплоноситель, поставляемый теплоснабжающими организациями потребителям, другим теплоснабжающим организациям</t>
  </si>
  <si>
    <t>pIns_PT_VTAR_C</t>
  </si>
  <si>
    <t>pt_ntar_3</t>
  </si>
  <si>
    <t>pt_ter_3</t>
  </si>
  <si>
    <t>pt_cs_3</t>
  </si>
  <si>
    <t>pt_ist_te_3</t>
  </si>
  <si>
    <t>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t>
  </si>
  <si>
    <t>pIns_PT_VTAR_D</t>
  </si>
  <si>
    <t>pt_ntar_4</t>
  </si>
  <si>
    <t>pt_ter_4</t>
  </si>
  <si>
    <t>pt_cs_4</t>
  </si>
  <si>
    <t>pt_ist_te_4</t>
  </si>
  <si>
    <t>Тарифы на услуги по передаче тепловой энергии</t>
  </si>
  <si>
    <t>pIns_PT_VTAR_E1</t>
  </si>
  <si>
    <t>pt_ntar_5</t>
  </si>
  <si>
    <t>pt_ter_5</t>
  </si>
  <si>
    <t>pt_cs_5</t>
  </si>
  <si>
    <t>pt_ist_te_5</t>
  </si>
  <si>
    <t>Тарифы на услуги по передаче теплоносителя</t>
  </si>
  <si>
    <t>pIns_PT_VTAR_E2</t>
  </si>
  <si>
    <t>pt_ntar_6</t>
  </si>
  <si>
    <t>pt_ter_6</t>
  </si>
  <si>
    <t>pt_cs_6</t>
  </si>
  <si>
    <t>pt_ist_te_6</t>
  </si>
  <si>
    <t>pt_ter_44</t>
  </si>
  <si>
    <t>pt_cs_50</t>
  </si>
  <si>
    <t>pt_ist_te_76</t>
  </si>
  <si>
    <t>Плата за услуги по поддержанию резервной тепловой мощности при отсутствии потребления тепловой энергии</t>
  </si>
  <si>
    <t>pIns_PT_VTAR_F</t>
  </si>
  <si>
    <t>pt_ntar_7</t>
  </si>
  <si>
    <t>pt_ter_7</t>
  </si>
  <si>
    <t>pt_cs_7</t>
  </si>
  <si>
    <t>pt_ist_te_7</t>
  </si>
  <si>
    <t>Плата за подключение (технологическое присоединение) к системе теплоснабжения</t>
  </si>
  <si>
    <t>pIns_PT_VTAR_G</t>
  </si>
  <si>
    <t>pt_ntar_8</t>
  </si>
  <si>
    <t>pt_ter_8</t>
  </si>
  <si>
    <t>pt_cs_8</t>
  </si>
  <si>
    <t>pt_ist_te_8</t>
  </si>
  <si>
    <t>Информация о регулируемых ценах (тарифах) на товары (услуги) единой теплоснабжающей организации в ценовых зонах теплоснабжения включает сведения:</t>
  </si>
  <si>
    <t>- о предельном уровне цены на тепловую энергию (мощность), поставляемую потребителям, об индикативном предельном уровне цены на тепловую энергию (мощность) и о графике поэтапного равномерного доведения предельного уровня цены на тепловую энергию (мощность) (при наличии), определяемых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ПП РФ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t>
  </si>
  <si>
    <t>-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</si>
  <si>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</si>
  <si>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 о плате за подключение (технологическое присоединение) к системе теплоснабжения, применяемой в случае, установленном частью 9 статьи 23.4 ФЗ "О теплоснабжении".</t>
  </si>
  <si>
    <t>Информация о регулируемых ценах (тарифах) на товары (услуги) теплоснабжающей организации и теплосетевой организации в ценовых зонах теплоснабжения включает сведения:</t>
  </si>
  <si>
    <t>- о тарифах на теплоноситель в виде воды, поставляемый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</si>
  <si>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товары (услуги) в сфере теплоснабжения в случаях, указанных в частях 12.1 - 12.4 статьи 10 ФЗ "О теплоснабжении"</t>
  </si>
  <si>
    <t>Тариф на питьевую воду (питьевое водоснабжение)</t>
  </si>
  <si>
    <t>pIns_PT_VTAR_A_COLDVSNA</t>
  </si>
  <si>
    <t>pt_ntar_9</t>
  </si>
  <si>
    <t>pt_ter_9</t>
  </si>
  <si>
    <t>pt_cs_9</t>
  </si>
  <si>
    <t>Тариф на техническую воду</t>
  </si>
  <si>
    <t>pIns_PT_VTAR_B_COLDVSNA</t>
  </si>
  <si>
    <t>pt_ntar_10</t>
  </si>
  <si>
    <t>pt_ter_10</t>
  </si>
  <si>
    <t>pt_cs_10</t>
  </si>
  <si>
    <t>Тариф на транспортировку воды</t>
  </si>
  <si>
    <t>pIns_PT_VTAR_C_COLDVSNA</t>
  </si>
  <si>
    <t>pt_ntar_11</t>
  </si>
  <si>
    <t>pt_ter_11</t>
  </si>
  <si>
    <t>pt_cs_11</t>
  </si>
  <si>
    <t>Тариф на подвоз воды</t>
  </si>
  <si>
    <t>pIns_PT_VTAR_D_COLDVSNA</t>
  </si>
  <si>
    <t>pt_ntar_12</t>
  </si>
  <si>
    <t>pt_ter_12</t>
  </si>
  <si>
    <t>pt_cs_12</t>
  </si>
  <si>
    <t>Тариф на подключение (технологическое присоединение) к централизованной системе холодного водоснабжения</t>
  </si>
  <si>
    <t>pIns_PT_VTAR_E_COLDVSNA</t>
  </si>
  <si>
    <t>pt_ntar_13</t>
  </si>
  <si>
    <t>pt_ter_13</t>
  </si>
  <si>
    <t>pt_cs_13</t>
  </si>
  <si>
    <t>Тариф на горячую воду (горячее водоснабжение)</t>
  </si>
  <si>
    <t>pIns_PT_VTAR_A_HOTVSNA</t>
  </si>
  <si>
    <t>pt_ntar_14</t>
  </si>
  <si>
    <t>pt_ter_14</t>
  </si>
  <si>
    <t>pt_cs_14</t>
  </si>
  <si>
    <t>Тариф на транспортировку горячей воды</t>
  </si>
  <si>
    <t>pIns_PT_VTAR_B_HOTVSNA</t>
  </si>
  <si>
    <t>pt_ntar_15</t>
  </si>
  <si>
    <t>pt_ter_15</t>
  </si>
  <si>
    <t>pt_cs_15</t>
  </si>
  <si>
    <t>Тариф на подключение (технологическое присоединение) к централизованной системе горячего водоснабжения</t>
  </si>
  <si>
    <t>pIns_PT_VTAR_C_HOTVSNA</t>
  </si>
  <si>
    <t>pt_ntar_16</t>
  </si>
  <si>
    <t>pt_ter_16</t>
  </si>
  <si>
    <t>pt_cs_16</t>
  </si>
  <si>
    <t>Тариф на водоотведение</t>
  </si>
  <si>
    <t>pIns_PT_VTAR_A_VOTV</t>
  </si>
  <si>
    <t>pt_ntar_17</t>
  </si>
  <si>
    <t>pt_ter_17</t>
  </si>
  <si>
    <t>pt_cs_17</t>
  </si>
  <si>
    <t>Тариф на транспортировку сточных вод</t>
  </si>
  <si>
    <t>pIns_PT_VTAR_B_VOTV</t>
  </si>
  <si>
    <t>pt_ntar_18</t>
  </si>
  <si>
    <t>pt_ter_18</t>
  </si>
  <si>
    <t>pt_cs_18</t>
  </si>
  <si>
    <t>Тариф на подключение (технологическое присоединение) к централизованной системе водоотведения</t>
  </si>
  <si>
    <t>pIns_PT_VTAR_C_VOTV</t>
  </si>
  <si>
    <t>pt_ntar_19</t>
  </si>
  <si>
    <t>pt_ter_19</t>
  </si>
  <si>
    <t>pt_cs_19</t>
  </si>
  <si>
    <t>fdif</t>
  </si>
  <si>
    <t>fdif_e</t>
  </si>
  <si>
    <t>fdif_1</t>
  </si>
  <si>
    <t>Дифференциация тарифов в области обращения с твердыми коммунальными отходами</t>
  </si>
  <si>
    <t>Дифференциация по технологическим особенностям</t>
  </si>
  <si>
    <t>Дифференциация по территории оказания услуг</t>
  </si>
  <si>
    <t>Дифференциация по виду твердых коммунальных отходов</t>
  </si>
  <si>
    <t>Дифференциация по классу опасности твердых коммунальных отходов</t>
  </si>
  <si>
    <t>Комментарий</t>
  </si>
  <si>
    <t>Дифференциация, да/нет</t>
  </si>
  <si>
    <t>Значение</t>
  </si>
  <si>
    <t>Тарифы</t>
  </si>
  <si>
    <t>Прочие показатели</t>
  </si>
  <si>
    <t>AREA_ID</t>
  </si>
  <si>
    <t>Оказание услуги по обращению с твердыми коммунальными отходами региональным оператором</t>
  </si>
  <si>
    <t>Единый тариф на услугу регионального оператора по обращению с твердыми коммунальными отходами</t>
  </si>
  <si>
    <t>Тариф на обработку твердых коммунальных отходов</t>
  </si>
  <si>
    <t>Тариф на обезвреживание твердых коммунальных отходов</t>
  </si>
  <si>
    <t>Тариф на захоронение твердых коммунальных отходов</t>
  </si>
  <si>
    <t>Тариф на энергетическую утилизацию</t>
  </si>
  <si>
    <t>Фирменное наименование юридического лица (согласно уставу регулируемой организации)</t>
  </si>
  <si>
    <t>Параметры формы</t>
  </si>
  <si>
    <t>Описание параметров формы</t>
  </si>
  <si>
    <t>Наименование параметра</t>
  </si>
  <si>
    <t>Информация</t>
  </si>
  <si>
    <t>Субъект Российской Федерации</t>
  </si>
  <si>
    <t>Указывается наименование субъекта Российской Федерации</t>
  </si>
  <si>
    <t>x</t>
  </si>
  <si>
    <t>2.2</t>
  </si>
  <si>
    <t>идентификационный номер налогоплательщика (ИНН)</t>
  </si>
  <si>
    <t>Указывается идентификационный номер налогоплательщика.</t>
  </si>
  <si>
    <t>2.3</t>
  </si>
  <si>
    <t>код причины постановки на учет (КПП)</t>
  </si>
  <si>
    <t>Указывается код причины постановки на учет (при наличии).</t>
  </si>
  <si>
    <t>Сведения о присвоении статуса единой теплоснабжающей организации:</t>
  </si>
  <si>
    <t>Информация в строках 5.1 - 5.4 указывается только едиными теплоснабжающими организациями.</t>
  </si>
  <si>
    <t>5.1</t>
  </si>
  <si>
    <t>наименование органа, принявшего решение о присвоении статуса единой теплоснабжающей организации</t>
  </si>
  <si>
    <t>5.2</t>
  </si>
  <si>
    <t>дата решения</t>
  </si>
  <si>
    <t>Дата принятия решения о присвоении статуса единой теплоснабжающей организации указывается в виде «ДД.ММ.ГГГГ».</t>
  </si>
  <si>
    <t>5.3</t>
  </si>
  <si>
    <t>номер решения</t>
  </si>
  <si>
    <t>5.4</t>
  </si>
  <si>
    <t>границы зоны (зон) деятельности</t>
  </si>
  <si>
    <t>Указывается описание зоны (зон) деятельности единой теплоснабжающей организации.</t>
  </si>
  <si>
    <t>Данные должностного лица, ответственного за размещение данных</t>
  </si>
  <si>
    <t>3.1</t>
  </si>
  <si>
    <t>фамилия, имя и отчество должностного лица</t>
  </si>
  <si>
    <t>3.1.1</t>
  </si>
  <si>
    <t>фамилия должностного лица</t>
  </si>
  <si>
    <t>3.1.2</t>
  </si>
  <si>
    <t>имя должностного лица</t>
  </si>
  <si>
    <t>3.1.3</t>
  </si>
  <si>
    <t>отчество должностного лица</t>
  </si>
  <si>
    <t>3.2</t>
  </si>
  <si>
    <t>должность</t>
  </si>
  <si>
    <t>3.3</t>
  </si>
  <si>
    <t>контактный телефон</t>
  </si>
  <si>
    <t>3.4</t>
  </si>
  <si>
    <t>адрес электронной почты</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</si>
  <si>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ФГИС ЕИАС.</t>
  </si>
  <si>
    <t>Добавить контактный телефон</t>
  </si>
  <si>
    <t>Указывается при наличии</t>
  </si>
  <si>
    <t>Режим работы</t>
  </si>
  <si>
    <t>Указывается режим работы регулируемой организации. В случае наличия нескольких режимов работы регулируемой организации, информация по каждому из них указывается в отдельной строке.</t>
  </si>
  <si>
    <t>режим работы абонентских отделов</t>
  </si>
  <si>
    <t>Указывается режим работы абонентских отделов регулируемой организации. В случае наличия нескольких абонентских отделов и (или) режимов работы абонентских отделов, информация по каждому из них указывается в отдельной строке.</t>
  </si>
  <si>
    <t>режим работы сбытовых подразделений</t>
  </si>
  <si>
    <t>Указывается режим работы сбытовых подразделений регулируемой организации. В случае наличия нескольких сбытовых подразделений и (или) режимов работы сбытовых подразделений, информация по каждому из них указывается в отдельной строке.</t>
  </si>
  <si>
    <t>режим работы диспетчерских служб</t>
  </si>
  <si>
    <t>Указывается режим работы диспетчерских служб регулируемой организации. В случае наличия нескольких диспетчерских служб и (или) режимов работы диспетчерских служб, информация по каждому из них указывается в отдельной строке.</t>
  </si>
  <si>
    <t>Добавить режим работы</t>
  </si>
  <si>
    <t>В случае наличия дополнительных режимов работы регулируемой организации (подразделений регулируемой организации) информация по каждому из них указывается в отдельной строке.</t>
  </si>
  <si>
    <t>Наличие или отсутствие утвержденной в установленном порядке инвестиционной программы</t>
  </si>
  <si>
    <t>BLOCK_MAIN_INFO_OBJECT_HEAT</t>
  </si>
  <si>
    <t>BLOCK_MAIN_INFO_OBJECT_VOTV</t>
  </si>
  <si>
    <t>BLOCK_MAIN_INFO_OBJECT_COLDVSNA</t>
  </si>
  <si>
    <t>BLOCK_MAIN_INFO_OBJECT_HOTVSNA</t>
  </si>
  <si>
    <t>D:T</t>
  </si>
  <si>
    <t>Протяженность магистральных сетей (в однотрубном исчислении), км.</t>
  </si>
  <si>
    <t>Протяженность разводящих сетей (в однотрубном исчислении), км.</t>
  </si>
  <si>
    <t>Теплоэлектростанции</t>
  </si>
  <si>
    <t>Тепловые станции</t>
  </si>
  <si>
    <t>Котельные</t>
  </si>
  <si>
    <t>Количество центральных тепловых пунктов, шт.</t>
  </si>
  <si>
    <t>Протяженность канализационных сетей (в однотрубном исчислении), км.</t>
  </si>
  <si>
    <t>Количество насосных станций, шт.</t>
  </si>
  <si>
    <t>Количество очистных сооружений, шт.</t>
  </si>
  <si>
    <t>Протяженность водопроводных сетей (в однотрубном исчислении), км</t>
  </si>
  <si>
    <t>Количество скважин, шт.</t>
  </si>
  <si>
    <t>Количество подкачивающих насосных станций, шт.</t>
  </si>
  <si>
    <t>Протяженность сетей горячего водоснабжения (в однотрубном исчислении), км</t>
  </si>
  <si>
    <t>Количество теплоэлектростанций, шт.</t>
  </si>
  <si>
    <t>Установленная электрическая мощность</t>
  </si>
  <si>
    <t>Единицы изменения</t>
  </si>
  <si>
    <t>Установленная тепловая мощность, Гкал/ч</t>
  </si>
  <si>
    <t>Количество тепловых станций, шт.</t>
  </si>
  <si>
    <t>Количество котельных, шт.</t>
  </si>
  <si>
    <t>0</t>
  </si>
  <si>
    <t>Значения протяженности сетей, показателей в блоках "Теплоэлектростанции", "Тепловые станции", "Котельные" (за исключением колонки "Единицы измерения"), количества центральных тепловых пунктов указываются в виде целых и неотрицательных чисел._x000D_
В случае отсутствия тепловых сетей, теплоэлектростанций, тепловых станций, котельных, центральных тепловых пунктов в соответствующей колонке указывается значение 0._x000D_
В колонке "Единицы измерения" в блоке "Теплоэлектростанции" выбирается одно из значений: кВт*ч или МВт._x000D_
В случае оказания услуг в нескольких системах теплоснабжения информация по каждой из них указывается в отдельной строке.</t>
  </si>
  <si>
    <t>Значения протяженности сетей, количества насосных станций, количества очистных сооружений указываются в виде целых и  неотрицательных чисел._x000D_
В случае отсутствия канализационных сетей, насосных станций, очистных сооружений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водоотведения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водоотведения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</si>
  <si>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скважин, количества подкачивающих насосных станций указываются в виде целых и неотрицательных чисел._x000D_
В случае отсутствия водопроводных сетей, скважин, подкачивающих станций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холодного водоснабжения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холодного водоснабжения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</si>
  <si>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центральных тепловых пунктов указываются в виде целых и неотрицательных чисел._x000D_
В случае отсутствия водопроводных сетей, центральных тепловых пунктов в соответствующей колонке указывается значение 0._x000D_
В случае осуществления регулируемых видов деятельности в нескольких централизованных системах горячего водоснабжения информация по каждой из них указывается в отдельной строке.</t>
  </si>
  <si>
    <t>n</t>
  </si>
  <si>
    <t>64235586; 64235587</t>
  </si>
  <si>
    <t>Добавить вид объекта</t>
  </si>
  <si>
    <t>Форма 2. Виды объектов, используемых для оказания услуг в области обращения с твердыми коммунальными отходами, и их количество</t>
  </si>
  <si>
    <t>Вид объекта, используемых для оказания услуг в области обращения с твердыми коммунальными отходами</t>
  </si>
  <si>
    <t>Количество объектов, используемых для оказания услуг в области обращения с твердыми коммунальными отходами, шт.</t>
  </si>
  <si>
    <t>Значение количества объектов, используемых для оказания услуг в области обращения с твердыми коммунальными отходами, указывается в виде целых и неотрицательных чисел._x000D_
В случае отсутствия объектов того или иного вида, используемых для оказания услуг в области обращения с твердыми коммунальными отходами, указывается значение «0»._x000D_
В случае оказания услуг по нескольким видам деятельности информация по каждому из них указывается отдельно._x000D_
В случае наличия нескольких видов объектов, используемых для оказания услуг в области обращения с твердыми коммунальными отходами, информация по каждому из них указывается отдельно.</t>
  </si>
  <si>
    <t>Информация об отсутствии сети "Интернет" &lt;1&gt;</t>
  </si>
  <si>
    <t>Отсутствует доступ к сети "Интернет"</t>
  </si>
  <si>
    <t>Ссылка на документ</t>
  </si>
  <si>
    <t>В случае отсутствия доступа к сети "Интернет" на территории выбранного муниципального образования в колонке "Отсутствует доступ к сети "Интернет" указывается "Да"._x000D_
В колонке "Ссылка на документ" указывается материал в виде ссылки на документ, подтверждающий отсутствие сети "Интернет" на территории выбранного муниципального образования, предварительно загруженный в хранилище данных ФГИС ЕИАС._x000D_
В случае отсутствия доступа к сети "Интернет" на территории нескольких муниципальных районов (муниципальных образований) информация по каждому из них указывается в отдельной строке.</t>
  </si>
  <si>
    <t>Омский муниципальный район</t>
  </si>
  <si>
    <t>Ачаирское сельское поселение</t>
  </si>
  <si>
    <t>52644404</t>
  </si>
  <si>
    <t>Ачаирское сельское поселение (52644404)</t>
  </si>
  <si>
    <t>Имя листа</t>
  </si>
  <si>
    <t>Наименование, номер формы</t>
  </si>
  <si>
    <t>HEAT</t>
  </si>
  <si>
    <t>COLDVSNA</t>
  </si>
  <si>
    <t>VOTV</t>
  </si>
  <si>
    <t>HOTVSNA</t>
  </si>
  <si>
    <t>TKO</t>
  </si>
  <si>
    <t>ТП</t>
  </si>
  <si>
    <t>Форма 16. Информация о наличии (об отсутствии) технической возможности подключения (технологического присоединения) к системе теплоснабжения, а также о принятии и ходе рассмотрения заявок на заключение договора о подключении (технологическом присоединении) к системе теплоснабжения</t>
  </si>
  <si>
    <t>Общая информация об организации</t>
  </si>
  <si>
    <t>Форма 1. Информация о регулируемой организации, единых теплоснабжающих организациях в ценовых зонах теплоснабжения, теплоснабжающих организациях в ценовых зонах теплоснабжения и теплосетевых организациях в ценовых зонах теплоснабжения (общая информация)</t>
  </si>
  <si>
    <t>Форма 1. Информация об организации (общая информация)</t>
  </si>
  <si>
    <t>Договоры</t>
  </si>
  <si>
    <t>Форма 17. Информация об условиях, на которых осуществляется поставка товаров (оказание услуг) в сфере теплоснабжения, цены (тарифы) на которые подлежат регулированию, и (или) условиях договоров о подключении (технологическом присоединении) к системе теплоснабжения содержит сведения об условиях публичных договоров регулируемых организаций, а также сведения о договорах, заключенных в соответствии с частями 2.1 и 2.2 статьи 8 Федерального закона "О теплоснабжении", Информация об условиях, на которых осуществляется поставка товаров (оказание услуг) по ценам, определяемым по соглашению сторон в соответствии с Федеральным законом "О теплоснабжении", и (или) условиях договоров о подключении (технологическом присоединении) к системе теплоснабжения включает сведения об условиях публичных договоров, заключаемых единой теплоснабжающей организацией в ценовых зонах теплоснабжения</t>
  </si>
  <si>
    <t>Форма 10. Информация об условиях, на которых осуществляется оказание регулируемых услуг в области обращения с твердыми коммунальными отходами, а также об условиях договоров на оказание услуг по транспортированию твердых коммунальных отходов</t>
  </si>
  <si>
    <t>Показатели ФХД</t>
  </si>
  <si>
    <t>Форма 8. Информация о товарах (об услугах), поставляемых (оказываемых) единой теплоснабжающей организацией в ценовых зонах теплоснабжения по регулируемым ценам (тарифам) в сфере теплоснабжения, информация о товарах (об услугах), поставляемых (оказываемых) теплоснабжающей организацией в ценовых зонах теплоснабжения и теплосетевой организацией в ценовых зонах теплоснабжения по регулируемым ценам (тарифам) в сфере теплоснабжения</t>
  </si>
  <si>
    <t>Показатели ФХД &gt;20%</t>
  </si>
  <si>
    <t>Форма 11. Информация о расходах на капитальный и текущий ремонт основных средств</t>
  </si>
  <si>
    <t>Форма 6.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t>
  </si>
  <si>
    <t>Показатели КНЭ</t>
  </si>
  <si>
    <t>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t>
  </si>
  <si>
    <t>Форма 7. Информация об основных потребительских характеристиках регулируемых товаров (услуг), тарифы на которые подлежат регулированию, и их соответствии установленным требованиям</t>
  </si>
  <si>
    <t>PRICE_x000D_
_x000D_
Т-ТЭ | &gt;=25МВт_x000D_
Т-ТЭ | ТСО_x000D_
Резерв мощности</t>
  </si>
  <si>
    <t>Форма 4.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  &lt;1&gt;</t>
  </si>
  <si>
    <t>PRICE_x000D_
_x000D_
Т-ТН_x000D_
Т-передача ТЭ_x000D_
Т-передача ТН</t>
  </si>
  <si>
    <t>Форма 5. Информация об установленных тарифах на теплоноситель, поставляемый теплоснабжающими организациями потребителям, другим теплоснабжающим организациям, об установленных тарифах на услуги по передаче тепловой энергии, теплоносителя, о тарифах на теплоноситель в виде воды, поставляемый единой теплоснабжающей организацией в ценовых зонах теплоснабжения потребителям и теплоснабжающими организациями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Федерального закона "О теплоснабжении" &lt;1&gt;</t>
  </si>
  <si>
    <t>PRICE_x000D_
_x000D_
Т-гор.вода</t>
  </si>
  <si>
    <t>Форма 6. Информация об установленных тарифах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тарифах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 &lt;1&gt;</t>
  </si>
  <si>
    <t>PRICE_x000D_
_x000D_
Т-подкл</t>
  </si>
  <si>
    <t>Форма 7. Информация об установленной плате за подключение (технологическое присоединение) к системе теплоснабжения, о плате за подключение (технологическое присоединение) к системе теплоснабжения, применяемой в случае, установленном частью 9 статьи 23.4 Федерального закона "О теплоснабжении" &lt;1&gt;</t>
  </si>
  <si>
    <t>REQUEST_x000D_
_x000D_
Т-ТЭ | &gt;=25МВт_x000D_
Т-ТЭ | ТСО_x000D_
Резерв мощности</t>
  </si>
  <si>
    <t>Форма 21. Информация о расчетной величине тарифов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тарифов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  &lt;1&gt;</t>
  </si>
  <si>
    <t>REQUEST_x000D_
_x000D_
Т-ТН_x000D_
Т-передача ТЭ_x000D_
Т-передача ТН</t>
  </si>
  <si>
    <t>Форма 22. Информация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23.4 Федерального закона "О теплоснабжении" &lt;1&gt;</t>
  </si>
  <si>
    <t>REQUEST_x000D_
_x000D_
Т-гор.вода</t>
  </si>
  <si>
    <t>Форма 23. Информация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</si>
  <si>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REQUEST_x000D_
_x000D_
Т-подкл</t>
  </si>
  <si>
    <t xml:space="preserve">Форма 24. Информация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23.4 Федерального закона "О теплоснабжении" </t>
  </si>
  <si>
    <t>PRICE_x000D_
_x000D_
ХВС. Т-пит_x000D_
ХВС. Т-тех_x000D_
ХВС. Т-транс_x000D_
ХВС. Т-подвоз</t>
  </si>
  <si>
    <t>Форма 4. Информация о тарифах в сфере холодного водоснабжения на товары (услуги) организации холодного водоснабжения, подлежащих регулированию (об установленных тарифах на питьевую воду (питьевое водоснабжение); об установленных тарифах на техническую воду; об установленных тарифах на транспортировку воды; об установленных тарифах на подвоз воды))</t>
  </si>
  <si>
    <t>PRICE_x000D_
_x000D_
ХВС. Т-подкл</t>
  </si>
  <si>
    <t>Форма 5. Информация о величинах тарифов на подключение (технологическое присоединение) к централизованной системе холодного водоснабжения &lt;1&gt;</t>
  </si>
  <si>
    <t>REQUEST_x000D_
_x000D_
ХВС. Т-пит_x000D_
ХВС. Т-тех_x000D_
ХВС. Т-транс_x000D_
ХВС. Т-подвоз</t>
  </si>
  <si>
    <t>Форма 15. Информация о предложении расчетной величины тарифов организации холодного водоснабжения об установлении тарифов в сфере холодного водоснабжения на очередной период регулирования &lt;1&gt;</t>
  </si>
  <si>
    <t>REQUEST_x000D_
_x000D_
ХВС. Т-подкл</t>
  </si>
  <si>
    <t>Форма 16.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 &lt;1&gt;</t>
  </si>
  <si>
    <t>PRICE_x000D_
_x000D_
ГВС. Т-гор.вода_x000D_
ГВС. Т-транс</t>
  </si>
  <si>
    <t>Форма 4. Информация о тарифах в сфере горячего водоснабжения на товары (услуги) организации горячего водоснабжения, подлежащих регулированию (об установленных тарифах на горячую воду (горячее водоснабжение); об установленных тарифах на транспортировку горячей воды) &lt;1&gt;</t>
  </si>
  <si>
    <t>PRICE_x000D_
_x000D_
ГВС. Т-подкл</t>
  </si>
  <si>
    <t>Форма 5. Информация об установленных тарифах на подключение (технологическое присоединение) к централизованной системе горячего водоснабжения &lt;1&gt;</t>
  </si>
  <si>
    <t>REQUEST_x000D_
_x000D_
ГВС. Т-гор.вода_x000D_
ГВС. Т-транс</t>
  </si>
  <si>
    <t>Форма 16. Информация о предложении расчетной величины тарифов организации горячего водоснабжения об установлении тарифов в сфере горячего водоснабжения на очередной период регулирования &lt;1&gt;</t>
  </si>
  <si>
    <t>REQUEST_x000D_
_x000D_
ГВС. Т-подкл</t>
  </si>
  <si>
    <t>Форма 17. Информация о предложении расчетной величины тарифов на подключение (технологическое присоединение) к централизованной системе горячего водоснабжения &lt;1&gt;</t>
  </si>
  <si>
    <t>PRICE_x000D_
_x000D_
ВО. Т-во_x000D_
ВО. Т-транс</t>
  </si>
  <si>
    <t>Форма 3. Информация о тарифах в сфере водоотведения на товары (услуги) организации водоотведения, подлежащих регулированию (об установленных тарифах на водоотведение; об установленных тарифах на транспортировку сточных вод) &lt;1&gt;</t>
  </si>
  <si>
    <t>PRICE_x000D_
_x000D_
ВО. Т-подкл</t>
  </si>
  <si>
    <t>Форма 4.  Информация об установленных тарифах на подключение (технологическое присоединение) к централизованной системе водоотведения &lt;1&gt;</t>
  </si>
  <si>
    <t>REQUEST_x000D_
_x000D_
ВО. Т-во_x000D_
ВО. Т-транс</t>
  </si>
  <si>
    <t>Форма 16. Информация о предложении расчетной величины тарифов организации водоотведения об установлении тарифов в сфере водоотведения на очередной период регулирования &lt;1&gt;</t>
  </si>
  <si>
    <t>REQUEST_x000D_
_x000D_
ВО. Т-подкл</t>
  </si>
  <si>
    <t>Форма 17. Информация о предложении расчетной величины тарифов на подключение к централизованной системе водоотведения &lt;1&gt;</t>
  </si>
  <si>
    <t>Сведения о закупках</t>
  </si>
  <si>
    <t>Форма 19. Информация о способах приобретения, стоимости и об объемах товаров, необходимых регулируемой организации для производства товаров (оказания услуг) в сфере теплоснабжения, цены (тарифы) на которые подлежат регулированию, о способах приобретения, стоимости и об объемах товаров, необходимых для производства товаров и (или) оказания услуг единой теплоснабжающей организацией в ценовых зонах теплоснабжения, о способах приобретения, стоимости и об объемах товаров, необходимых для производства товаров и (или) оказания услуг теплоснабжающей организацией в ценовых зонах теплоснабжения и теплосетевой организацией в ценовых зонах теплоснабжения</t>
  </si>
  <si>
    <t>Форма 11.  Информация о способах приобретения, стоимости и об объемах товаров, работ и услуг, необходимых организации для осуществления регулируемых видов деятельности, содержит сведения о правовых актах, регламентирующих правила закупки (положение о закупке) в организации, о месте их размещения, а также сведения о планировании закупок и результатах их проведения</t>
  </si>
  <si>
    <t>Порядок ТП</t>
  </si>
  <si>
    <t>Форма 18. Информация о порядке выполнения технологических, технических и других мероприятий, связанных с подключением (технологическим присоединением) к системе теплоснабжения &lt;1&gt;</t>
  </si>
  <si>
    <t>пункт НПА</t>
  </si>
  <si>
    <t>подпункт НПА</t>
  </si>
  <si>
    <t>состав пункта</t>
  </si>
  <si>
    <t>описание парметров</t>
  </si>
  <si>
    <t>номер пункта</t>
  </si>
  <si>
    <t>описание параметров</t>
  </si>
  <si>
    <t>описание к листу Общая информация об организации</t>
  </si>
  <si>
    <t>В случае если регулируемыми организациями,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оказываются услуги по теплоснабжению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t>
  </si>
  <si>
    <t>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t>
  </si>
  <si>
    <t>В случае если регулируемыми организациями оказываются услуги по горячему водоснабжению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t>
  </si>
  <si>
    <t>В случае если регулируемыми организациями оказываются услуги по водоотведению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t>
  </si>
  <si>
    <t>45</t>
  </si>
  <si>
    <t>66</t>
  </si>
  <si>
    <t>а</t>
  </si>
  <si>
    <t>Количество поданных заявок</t>
  </si>
  <si>
    <t xml:space="preserve">Количество поданных заявлений </t>
  </si>
  <si>
    <t>Указывается количество поданных заявок на подключение (технологическое присоединение) к системе теплоснабжения в течение отчетного квартала.</t>
  </si>
  <si>
    <t>б</t>
  </si>
  <si>
    <t>Количество рассмотренных заявок</t>
  </si>
  <si>
    <t xml:space="preserve">Количество исполненных заявлений </t>
  </si>
  <si>
    <t>Указывается количество исполненных заявок на подключение (технологическое присоединение) к системе теплоснабжения в течение отчетного квартала.</t>
  </si>
  <si>
    <t>в</t>
  </si>
  <si>
    <t>Количество заявок на заключение договора о подключении (технологическом присоединении) к системе теплоснабжения, по которым регулируемой организацией отказано в заключении договора о подключении (технологическом присоединении) к системе теплоснабжения</t>
  </si>
  <si>
    <t>Количество заявлений о заключении договоров о подключении (технологическом присоединении)</t>
  </si>
  <si>
    <t>Указывается количество заявок с решением об отказе в течение отчетного квартала.</t>
  </si>
  <si>
    <t>Причины отказа в заключении договора о подключении (технологическом присоединении) к системе теплоснабжения</t>
  </si>
  <si>
    <t>Указывается текстовое описание причин принятия решений._x000D_
Не заполняется в случае, если решения об отказе в течение отчетного периода не принимались.</t>
  </si>
  <si>
    <t>г</t>
  </si>
  <si>
    <t>Резерв мощности источников тепловой энергии, входящих в систему теплоснабжения, в течение одного квартала, в том числе:</t>
  </si>
  <si>
    <t xml:space="preserve">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организации._x000D_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t>
  </si>
  <si>
    <t>BALANCE</t>
  </si>
  <si>
    <t>Выручка от регулируемого вида деятельности с распределением по видам деятельности</t>
  </si>
  <si>
    <t>Выручка от регулируемых видов деятельности в сфере холодного водоснабжения</t>
  </si>
  <si>
    <t>Выручка от регулируемых видов деятельности в сфере горячего водоснабжения</t>
  </si>
  <si>
    <t>Выручка от регулируемых видов деятельности в сфере водоотведения</t>
  </si>
  <si>
    <t>Указывается выручка от регулируемого вида деятельности с распределением по видам деятельности.</t>
  </si>
  <si>
    <t>Указывается выручка с распределением по видам деятельности.</t>
  </si>
  <si>
    <t>Себестоимость производимых товаров (оказываемых услуг) по регулируемому виду деятельности, включая:</t>
  </si>
  <si>
    <t>Себестоимость производимых товаров (оказываемых услуг) по регулируемым видам деятельности в сфере холодного водоснабжения, включая:</t>
  </si>
  <si>
    <t>Себестоимость производимых товаров (оказываемых услуг) по регулируемым видам деятельности в сфере горячего водоснабжения, включая:</t>
  </si>
  <si>
    <t>Себестоимость производимых товаров (оказываемых услуг) по регулируемым видам деятельности в сфере водоотведения, включая:</t>
  </si>
  <si>
    <t>Указывается суммарная себестоимость производимых товаров.</t>
  </si>
  <si>
    <t>2.1</t>
  </si>
  <si>
    <t>Расходы на приобретаемую тепловую энергию (мощность), теплоноситель</t>
  </si>
  <si>
    <t>Расходы на оплату холодной воды, приобретаемой у других организаций для последующей подачи потребителям</t>
  </si>
  <si>
    <t>Расходы на приобретаемую тепловую энергию (мощность), используемую для горячего водоснабжения</t>
  </si>
  <si>
    <t>Расходы на оплату услуг по приему, транспортировке и очистке сточных вод другими организациями</t>
  </si>
  <si>
    <t>Расходы на топливо с указанием по каждому виду топлива стоимости (за единицу объема), объема и способа его приобретения, стоимости его доставки</t>
  </si>
  <si>
    <t>Указываются суммарные расходы на приобретение топлива всех видов.</t>
  </si>
  <si>
    <t>Расходы на тепловую энергию, производимую с применением собственных источников и используемую для горячего водоснабжения</t>
  </si>
  <si>
    <t>Расходы на приобретаемую холодную воду, используемую для горячего водоснабжения</t>
  </si>
  <si>
    <t>2.4</t>
  </si>
  <si>
    <t>Расходы на холодную воду, получаемую с применением собственных источников водозабора (скважин) и используемую для горячего водоснабжения</t>
  </si>
  <si>
    <t>2.5</t>
  </si>
  <si>
    <t>Расходы на приобретаемую электрическую энергию (мощность), используемую в технологическом процессе</t>
  </si>
  <si>
    <t>6.1</t>
  </si>
  <si>
    <t>2.3.1</t>
  </si>
  <si>
    <t>2.2.1</t>
  </si>
  <si>
    <t>2.5.1</t>
  </si>
  <si>
    <t>Средневзвешенная стоимость 1 кВт.ч (с учетом мощности)</t>
  </si>
  <si>
    <t>6.2</t>
  </si>
  <si>
    <t>2.3.2</t>
  </si>
  <si>
    <t>2.2.2</t>
  </si>
  <si>
    <t>2.5.2</t>
  </si>
  <si>
    <t>Объём приобретения электрической энергии</t>
  </si>
  <si>
    <t>Расходы на приобретение холодной воды, используемой в технологическом процессе</t>
  </si>
  <si>
    <t>Расходы на химические реагенты, используемые в технологическом процессе</t>
  </si>
  <si>
    <t>2.6</t>
  </si>
  <si>
    <t>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t>
  </si>
  <si>
    <t>Указывается общая сумма расходов на оплату труда и отчислений на социальные нужды основного производственного персонала.</t>
  </si>
  <si>
    <t>9.1</t>
  </si>
  <si>
    <t>2.6.1</t>
  </si>
  <si>
    <t>2.4.1</t>
  </si>
  <si>
    <t>Расходы на оплату труда основного производственного персонала</t>
  </si>
  <si>
    <t>9.2</t>
  </si>
  <si>
    <t>2.6.2</t>
  </si>
  <si>
    <t>2.4.2</t>
  </si>
  <si>
    <t>Страховые взносы на обязательное социальное страхование, выплачиваемые из фонда оплаты труда основного производственного персонала</t>
  </si>
  <si>
    <t>2.7</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</si>
  <si>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</si>
  <si>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t>
  </si>
  <si>
    <t>Указывается общая сумма расходов на оплату труда и отчислений на социальные нужды административно-управленческого персонала.</t>
  </si>
  <si>
    <t>10.1</t>
  </si>
  <si>
    <t>2.7.1</t>
  </si>
  <si>
    <t>Расходы на оплату труда административно-управленческого персонала</t>
  </si>
  <si>
    <t>Расходы на оплату труда административно-управленческого персонала, в том числе:</t>
  </si>
  <si>
    <t>10.2</t>
  </si>
  <si>
    <t>2.7.2</t>
  </si>
  <si>
    <t>Страховые взносы на обязательное социальное страхование, выплачиваемые из фонда оплаты труда административно-управленческого персонала</t>
  </si>
  <si>
    <t>2.8</t>
  </si>
  <si>
    <t>Расходы на амортизацию основных средств и нематериальных активов</t>
  </si>
  <si>
    <t>11.1</t>
  </si>
  <si>
    <t>2.8.1</t>
  </si>
  <si>
    <t>Расходы на амортизацию основных средств</t>
  </si>
  <si>
    <t>11.2</t>
  </si>
  <si>
    <t>2.8.2</t>
  </si>
  <si>
    <t>Расходы на амортизацию нематериальных активов</t>
  </si>
  <si>
    <t>2.9</t>
  </si>
  <si>
    <t>Расходы на аренду имущества, используемого для осуществления регулируемого вида деятельности</t>
  </si>
  <si>
    <t>Расходы на аренду имущества, используемого для осуществления регулируемых видов деятельности в сфере холодного водоснабжения</t>
  </si>
  <si>
    <t>Расходы на аренду имущества, используемого для осуществления регулируемых видов деятельности в сфере горячего водоснабжения</t>
  </si>
  <si>
    <t>Расходы на аренду имущества, используемого для осуществления регулируемых видов деятельности в сфере водоотведения</t>
  </si>
  <si>
    <t>2.10</t>
  </si>
  <si>
    <t>Общепроизводственные расходы, в том числе:</t>
  </si>
  <si>
    <t>Указывается общая сумма общепроизводственных расходов.</t>
  </si>
  <si>
    <t>13.1</t>
  </si>
  <si>
    <t>2.10.1</t>
  </si>
  <si>
    <t>Расходы на текущий ремонт</t>
  </si>
  <si>
    <t>Указываются расходы на текущий ремонт, отнесенные к общепроизводственным расходам.</t>
  </si>
  <si>
    <t>13.2</t>
  </si>
  <si>
    <t>2.10.2</t>
  </si>
  <si>
    <t>Расходы на капитальный ремонт</t>
  </si>
  <si>
    <t>Указываются расходы на капитальный ремонт, отнесенные к общепроизводственным расходам.</t>
  </si>
  <si>
    <t>2.11</t>
  </si>
  <si>
    <t>Общехозяйственные расходы, в том числе:</t>
  </si>
  <si>
    <t>Указывается общая сумма общехозяйственных расходов.</t>
  </si>
  <si>
    <t>14.1</t>
  </si>
  <si>
    <t>2.11.1</t>
  </si>
  <si>
    <t>2.9.1</t>
  </si>
  <si>
    <t>Указываются расходы на текущий ремонт, отнесенные к общехозяйственным расходам.</t>
  </si>
  <si>
    <t>14.2</t>
  </si>
  <si>
    <t>2.11.2</t>
  </si>
  <si>
    <t>2.9.2</t>
  </si>
  <si>
    <t>Указываются расходы на капитальный ремонт, отнесенные к общехозяйственным расходам.</t>
  </si>
  <si>
    <t>2.12</t>
  </si>
  <si>
    <t>Расходы на капитальный и текущий ремонт основных средств</t>
  </si>
  <si>
    <t>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</si>
  <si>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</si>
  <si>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15.1</t>
  </si>
  <si>
    <t>2.12.1</t>
  </si>
  <si>
    <t>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t>
  </si>
  <si>
    <t>2.13</t>
  </si>
  <si>
    <t xml:space="preserve">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t>
  </si>
  <si>
    <t>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t>
  </si>
  <si>
    <t>16.1</t>
  </si>
  <si>
    <t>2.13.1</t>
  </si>
  <si>
    <t>2.14</t>
  </si>
  <si>
    <t>Прочие расходы, которые подлежат отнесению на регулируемые виды деятельности в соответствии с законодательством Российской Федерации</t>
  </si>
  <si>
    <t>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t>
  </si>
  <si>
    <t>Прочие расходы, которые отнесены на регулируемые виды деятельности в сфере горячего водоснабжения, в соответствии с Основами ценообразования в сфере водоснабжения и водоотведения</t>
  </si>
  <si>
    <t>Прочие расходы, которые подлежат отнесению на регулируемые виды деятельности в сфере водоотведения в соответствии с Основами ценообразования в сфере водоснабжения и водоотведения</t>
  </si>
  <si>
    <t>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t>
  </si>
  <si>
    <t>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t>
  </si>
  <si>
    <t>д</t>
  </si>
  <si>
    <t>Валовая прибыль (убытки) от реализации товаров и оказания услуг по регулируемому виду деятельности</t>
  </si>
  <si>
    <t>Чистая прибыль, полученная от регулируемого вида деятельности, в том числе:</t>
  </si>
  <si>
    <t>Чистая прибыль, полученная от регулируемого вида деятельности в сфере холодного водоснабжения, в том числе:</t>
  </si>
  <si>
    <t>Чистая прибыль, полученная от регулируемого вида деятельности в сфере горячего водоснабжения, в том числе:</t>
  </si>
  <si>
    <t>Чистая прибыль, полученная от регулируемого вида деятельности в сфере водоотведения, в том числе:</t>
  </si>
  <si>
    <t>Указывается общая сумма чистой прибыли, полученной от регулируемого вида деятельности.</t>
  </si>
  <si>
    <t>4.1</t>
  </si>
  <si>
    <t>Размер расходования чистой прибыли на финансирование мероприятий, предусмотренных инвестиционной программой регулируемой организации</t>
  </si>
  <si>
    <t>Изменение стоимости основных фондов, в том числе:</t>
  </si>
  <si>
    <t>Указывается общее изменение стоимости основных фондов.</t>
  </si>
  <si>
    <t>Изменение стоимости основных фондов за счет:</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</si>
  <si>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</si>
  <si>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и вывода из эксплуатации.</t>
  </si>
  <si>
    <t>1.1</t>
  </si>
  <si>
    <t>5.1.1</t>
  </si>
  <si>
    <t>4.1.1</t>
  </si>
  <si>
    <t>Изменения стоимости основных фондов за счет их ввода в эксплуатацию</t>
  </si>
  <si>
    <t>Изменение стоимости основных фондов за счет их ввода в эксплуатацию</t>
  </si>
  <si>
    <t>Указываются изменение стоимости основных фондов за счет их ввода в эксплуатацию.</t>
  </si>
  <si>
    <t>1.2</t>
  </si>
  <si>
    <t>5.1.2</t>
  </si>
  <si>
    <t>4.1.2</t>
  </si>
  <si>
    <t>Изменения стоимости основных фондов за счет их вывода в эксплуатацию</t>
  </si>
  <si>
    <t>Изменение стоимости основных фондов за счет их вывода в эксплуатацию</t>
  </si>
  <si>
    <t>Указываются изменение стоимости основных фондов за счет их вывода из эксплуатации.</t>
  </si>
  <si>
    <t>4.2</t>
  </si>
  <si>
    <t>Изменение стоимости основных фондов за счет их переоценки</t>
  </si>
  <si>
    <t>Валовая прибыль (убытки) от продажи товаров и услуг по регулируемым видам деятельности в сфере холодного водоснабжения</t>
  </si>
  <si>
    <t>Валовая прибыль (убытки) от продажи товаров и услуг по регулируемым видам деятельности в сфере горячего водоснабжения</t>
  </si>
  <si>
    <t>Валовая прибыль (убытки) от продажи товаров и услуг по регулируемым видам деятельности в сфере водоотведения</t>
  </si>
  <si>
    <t>е</t>
  </si>
  <si>
    <t>Годовая бухгалтерская (финансовая) отчетность, включая бухгалтерский баланс и приложения к нему</t>
  </si>
  <si>
    <t>Указывается ссылка на документ, предварительно загруженный в хранилище файлов ФГИС ЕИАС._x000D_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</si>
  <si>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</si>
  <si>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водоотведения и (или) водоотведения которой превышает 80 процентов совокупной выручки за отчетный год.</t>
  </si>
  <si>
    <t>ж</t>
  </si>
  <si>
    <t>Объём поднятой воды</t>
  </si>
  <si>
    <t>з</t>
  </si>
  <si>
    <t>Объём покупной воды</t>
  </si>
  <si>
    <t>и</t>
  </si>
  <si>
    <t>Объём воды, пропущенной через очистные сооружения</t>
  </si>
  <si>
    <t>к</t>
  </si>
  <si>
    <t>Объём отпущенной потребителям воды, в том числе:</t>
  </si>
  <si>
    <t>Указывается общий объем отпущенной потребителям воды.</t>
  </si>
  <si>
    <t>Объём отпущенной потребителям воды, определенный по приборам учета</t>
  </si>
  <si>
    <t>Объём отпущенной потребителям воды, определенный расчетным способом</t>
  </si>
  <si>
    <t>10.2.1</t>
  </si>
  <si>
    <t>Объём отпущенной потребителям воды, определенный по нормативам потребления коммунальных услуг</t>
  </si>
  <si>
    <t>10.2.2</t>
  </si>
  <si>
    <t xml:space="preserve">Объём отпущенной потребителям воды, определенный по нормативам потребления коммунальных ресурсов </t>
  </si>
  <si>
    <t>л</t>
  </si>
  <si>
    <t>Потери воды в сетях</t>
  </si>
  <si>
    <t>Объём приобретаемой холодной воды, используемой для горячего водоснабжения</t>
  </si>
  <si>
    <t>Объём холодной воды, получаемой с применением собственных источников водозабора (скважин) и используемой для горячего водоснабжения</t>
  </si>
  <si>
    <t>Объём приобретаемой тепловой энергии (мощности), используемой для горячего водоснабжения</t>
  </si>
  <si>
    <t>Объём тепловой энергии, производимой с применением собственных источников и используемой для горячего водоснабжения</t>
  </si>
  <si>
    <t>Потери горячей воды в сетях (процентов)</t>
  </si>
  <si>
    <t>Объём сточных вод, принятых от потребителей</t>
  </si>
  <si>
    <t>Объём сточных вод, принятых от других регулируемых организаций, осуществляющих водоотведение и (или) очистку сточных вод</t>
  </si>
  <si>
    <t>Объём сточных вод, пропущенных через очистные сооружения</t>
  </si>
  <si>
    <t>Установленная тепловая мощность объектов основных фондов, используемых для теплоснабжения, в том числе по каждому источнику тепловой энергии</t>
  </si>
  <si>
    <t>Указывается суммарная установленная тепловая мощность объектов основных фондов, используемых для осуществления теплоснабжения._x000D_
Регулируемыми организациями указывается информация по объектам, используемым для осуществления регулируемых видов деятельности.</t>
  </si>
  <si>
    <t>Тепловая нагрузка по договорам, заключенным в рамках осуществления регулируемых видов деятельности</t>
  </si>
  <si>
    <t>Регулируемыми организациями указывается информация по договорам, заключенным в рамках осуществления регулируемых видов деятельности</t>
  </si>
  <si>
    <t>Объем вырабатываемой регулируемой организацией тепловой энергии в рамках осуществления регулируемых видов деятельности</t>
  </si>
  <si>
    <t>Регулируемыми организациями указывается информация тепловой энергии, выработанной в рамках осуществления регулируемых видов деятельности.</t>
  </si>
  <si>
    <t>Объем приобретаемой регулируемой организацией тепловой энергии в рамках осуществления регулируемых видов деятельности</t>
  </si>
  <si>
    <t>Информация указывается только едиными теплоснабжающими организациями.</t>
  </si>
  <si>
    <t>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t>
  </si>
  <si>
    <t>Указывается общий объем тепловой энергии, отпускаемой потребителям._x000D_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t>
  </si>
  <si>
    <t xml:space="preserve">По приборам учёта </t>
  </si>
  <si>
    <t>10.1.1</t>
  </si>
  <si>
    <t>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t>
  </si>
  <si>
    <t>Расчётным путём</t>
  </si>
  <si>
    <t>10.3</t>
  </si>
  <si>
    <t>По нормативам потребления коммунальных услуг и нормативам потребления коммунальных ресурсов</t>
  </si>
  <si>
    <t>м</t>
  </si>
  <si>
    <t>Нормативы технологических потерь при передаче тепловой энергии, теплоносителя по тепловым сетям, утвержденные уполномоченным органом</t>
  </si>
  <si>
    <t>н</t>
  </si>
  <si>
    <t>Фактический объем потерь при передаче тепловой энергии</t>
  </si>
  <si>
    <t>о</t>
  </si>
  <si>
    <t>Среднесписочная численность основного производственного персонала</t>
  </si>
  <si>
    <t>п</t>
  </si>
  <si>
    <t>Среднесписочная численность административно-управленческого персонала</t>
  </si>
  <si>
    <t>Удельный расход электрической энергии на подачу воды в сеть</t>
  </si>
  <si>
    <t>Расход воды на собственные нужды, в том числе:</t>
  </si>
  <si>
    <t>Указывается доля общего расхода воды на собственные нужны от объема отпуска воды потребителям.</t>
  </si>
  <si>
    <t>Расход воды на хозяйственно-бытовые нужды</t>
  </si>
  <si>
    <t>Указывается доля расхода воды на хозяйственно-бытовые нужны от объема отпуска воды потребителям.</t>
  </si>
  <si>
    <t>Показатель использования производственных объектов (по объему перекачки), в том числе:</t>
  </si>
  <si>
    <t>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t>
  </si>
  <si>
    <t>р</t>
  </si>
  <si>
    <t>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</si>
  <si>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с</t>
  </si>
  <si>
    <t>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</si>
  <si>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t>
  </si>
  <si>
    <t>т</t>
  </si>
  <si>
    <t>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</si>
  <si>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Регулируемыми организациями указывается информация с по договорам, заключенным в рамках осуществления регулируемой деятельности.</t>
  </si>
  <si>
    <t>у</t>
  </si>
  <si>
    <t>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</si>
  <si>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ф</t>
  </si>
  <si>
    <t>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t>
  </si>
  <si>
    <t>Указывается ссылка на документ, предварительно загруженный в хранилище файлов ФГИС ЕИАС.</t>
  </si>
  <si>
    <t>19.1</t>
  </si>
  <si>
    <t>Информация о показателях физического износа объектов теплоснабжения</t>
  </si>
  <si>
    <t>19.2</t>
  </si>
  <si>
    <t>Информация о показателях энергетической эффективности объектов теплоснабжения</t>
  </si>
  <si>
    <t>TERMS</t>
  </si>
  <si>
    <t>27/44</t>
  </si>
  <si>
    <t>47</t>
  </si>
  <si>
    <t>68</t>
  </si>
  <si>
    <t>Сведения об условиях публичных договоров регулируемых организаций,  сведения об условиях публичных договоров, заключаемых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в том числе</t>
  </si>
  <si>
    <t>Сведения об условиях публичных договоров на оказание регулируемых услуг в области обращения с твердыми коммунальными отходами</t>
  </si>
  <si>
    <t>INVEST</t>
  </si>
  <si>
    <t>REQUEST</t>
  </si>
  <si>
    <t>PRICE</t>
  </si>
  <si>
    <t>REGION</t>
  </si>
  <si>
    <t>year_list1</t>
  </si>
  <si>
    <t>year_list</t>
  </si>
  <si>
    <t>logical</t>
  </si>
  <si>
    <t>Месяц_x000D_
(MONTH)</t>
  </si>
  <si>
    <t>Квартал_x000D_
(QUARTER)</t>
  </si>
  <si>
    <t>Месяц_x000D_
(kind_of_publication)</t>
  </si>
  <si>
    <t>НДС_x000D_
/kind_of_NDS/</t>
  </si>
  <si>
    <t>Номер СЦХВ(СЦВО)_x000D_
/SKI_number/</t>
  </si>
  <si>
    <t>Единица измерения объема оказываемых услуг ГВС_x000D_
/kind_of_unit_GVS/</t>
  </si>
  <si>
    <t>Метод регулирования_x000D_
/kind_of_control_method/</t>
  </si>
  <si>
    <t>Вид деятельности, на которую установлен тариф /kind_of_activity_WARM/</t>
  </si>
  <si>
    <t>Вид теплоносителя_x000D_
(kind_of_heat_transfer)</t>
  </si>
  <si>
    <t>Тип данных_x000D_
(kind_of_data_type)</t>
  </si>
  <si>
    <t>Схема подключения_x000D_
(kind_of_scheme_in)_x000D_
(kind_of_scheme_in2)</t>
  </si>
  <si>
    <t>Группы потребителей_x000D_
(kind_of_cons)</t>
  </si>
  <si>
    <t>Тип прокладки тепловых сетей_x000D_
(kind_of_nets)</t>
  </si>
  <si>
    <t>Диапазаны диаметров тепловых сетей_x000D_
(kind_of_diameters)</t>
  </si>
  <si>
    <t>Подключаемая тепловая нагрузка_x000D_
(kind_of_load)</t>
  </si>
  <si>
    <t>Форма 2, таблица Х</t>
  </si>
  <si>
    <t>виды тарифа_x000D_
/kind_group_rates/</t>
  </si>
  <si>
    <t>Заголовок таблицы</t>
  </si>
  <si>
    <t>name_rates_4</t>
  </si>
  <si>
    <t>name_rates_8</t>
  </si>
  <si>
    <t>Подключаемая тепловая нагрузка_x000D_
(kind_of_load3)</t>
  </si>
  <si>
    <t>Вид теплоносителя_x000D_
(kind_of_heat_transfer2)</t>
  </si>
  <si>
    <t>Вид теплоносителя_x000D_
(kind_of_heat_transfer3)</t>
  </si>
  <si>
    <t>Вид топлива_x000D_
(kind_of_fuel)</t>
  </si>
  <si>
    <t>Способ закупки товаров_x000D_
(kind_of_zak)</t>
  </si>
  <si>
    <t>виды тарифа_x000D_
/kind_group_rates_load/</t>
  </si>
  <si>
    <t>виды тарифа_x000D_
/kind_group_rates_load_filter/</t>
  </si>
  <si>
    <t>виды признаков дифференциации_x000D_
/kind_of_diff/</t>
  </si>
  <si>
    <t>Диапазаны диаметров водопроводных сетей_x000D_
(kind_of_diameters2)</t>
  </si>
  <si>
    <t>List_H</t>
  </si>
  <si>
    <t>List_M</t>
  </si>
  <si>
    <t>kind_of_org_type</t>
  </si>
  <si>
    <t>Виды топлива_x000D_
/kind_of_fuels/</t>
  </si>
  <si>
    <t>YEAR_IP_LIST</t>
  </si>
  <si>
    <t>MONTH_IP_LIST</t>
  </si>
  <si>
    <t>COLDVSNA/HOTVSNA</t>
  </si>
  <si>
    <t>OTKO</t>
  </si>
  <si>
    <t>Алтайский край</t>
  </si>
  <si>
    <t>январь</t>
  </si>
  <si>
    <t>I квартал</t>
  </si>
  <si>
    <t>На официальном сайте организации</t>
  </si>
  <si>
    <t>тыс.куб.м/сутки</t>
  </si>
  <si>
    <t>метод экономически обоснованных расходов (затрат)</t>
  </si>
  <si>
    <t>Передача+Сбыт</t>
  </si>
  <si>
    <t>вода</t>
  </si>
  <si>
    <t>без дифференциации</t>
  </si>
  <si>
    <t>организации-перепродавцы</t>
  </si>
  <si>
    <t>надземная (наземная)</t>
  </si>
  <si>
    <t>50 - 250 мм</t>
  </si>
  <si>
    <t>не превышает 0,1 Гкал/ч</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</si>
  <si>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в соответствии с установленными федеральным органом исполнительной власти в области государственного регулирования тарифов в сфере теплоснабжения предельными (минимальным и (или) максимальным) уровнями указанных тарифов</t>
  </si>
  <si>
    <t>Форма 4.2.1 Информация о величинах тарифов на тепловую энергию, поддержанию резервной тепловой мощности</t>
  </si>
  <si>
    <t>Тариф на теплоноситель, поставляемый потребителям</t>
  </si>
  <si>
    <t>Плата за услуги по поддержанию резервной тепловой мощности при отсутствии потребления тепловой энергии для отдельных категорий (групп) социально значимых потребителей</t>
  </si>
  <si>
    <t>Вода</t>
  </si>
  <si>
    <t>Газ природный по регулируемой цене</t>
  </si>
  <si>
    <t>Конкурс</t>
  </si>
  <si>
    <t>объемы потребления воды абонентами</t>
  </si>
  <si>
    <t>40 мм и менее</t>
  </si>
  <si>
    <t>00</t>
  </si>
  <si>
    <t>газ природный по регулируемой цене</t>
  </si>
  <si>
    <t>тыс м3</t>
  </si>
  <si>
    <t>Январь</t>
  </si>
  <si>
    <t>Амурская область</t>
  </si>
  <si>
    <t>февраль</t>
  </si>
  <si>
    <t>II квартал</t>
  </si>
  <si>
    <t>На сайте регулирующего органа</t>
  </si>
  <si>
    <t>УСН</t>
  </si>
  <si>
    <t>Гкал/ч</t>
  </si>
  <si>
    <t>метод индексации установленных тарифов</t>
  </si>
  <si>
    <t>Передача</t>
  </si>
  <si>
    <t>пар</t>
  </si>
  <si>
    <t>изменения в раскрытой ранее информации</t>
  </si>
  <si>
    <t>к коллектору источника тепловой энергии</t>
  </si>
  <si>
    <t>бюджетные организации</t>
  </si>
  <si>
    <t>подземная (канальная)</t>
  </si>
  <si>
    <t>251 - 400 мм</t>
  </si>
  <si>
    <t>более 0,1 Гкал/ч и не превышает 1,5 Гкал/ч</t>
  </si>
  <si>
    <t>Тарифы на тепловую энергию (мощность), поставляемую другим теплоснабжающим организациям теплоснабжающими организациями</t>
  </si>
  <si>
    <t>Тариф на теплоноситель, поставляемый теплоснабжающей организацией, владеющей источником (источниками) тепловой энергии, на котором производится теплоноситель</t>
  </si>
  <si>
    <t>Плата за услуги по поддержанию резервной тепловой мощности, оказываемые регулируемой организацией, мощность источников тепловой энергии которой используется для поддержания резервной мощности в соответствии со схемой теплоснабжения</t>
  </si>
  <si>
    <t>Отборный пар, 1,2-2,5 кг/см2</t>
  </si>
  <si>
    <t>Пар</t>
  </si>
  <si>
    <t>Газ природный по нерегулируемой цене</t>
  </si>
  <si>
    <t>Аукцион</t>
  </si>
  <si>
    <t>Тарифы на тепловую энергию (мощность), поставляемую потребителям теплоснабжающими организациями в соответствии с установленными предельными (минимальными и (или) максимальными) уровнями указанных тарифов</t>
  </si>
  <si>
    <t>соответствие качества питьевой воды и горячей воды требованиям, установленным санитарными нормами и правилами</t>
  </si>
  <si>
    <t>от 41 мм до 70 мм включительно</t>
  </si>
  <si>
    <t>01</t>
  </si>
  <si>
    <t>Единая теплоснабжающая организация</t>
  </si>
  <si>
    <t>газ природный по нерегулируемой цене</t>
  </si>
  <si>
    <t>Февраль</t>
  </si>
  <si>
    <t>HEAT_FIN_SRC_LIST</t>
  </si>
  <si>
    <t>VSNA_FIN_SRC_LIST</t>
  </si>
  <si>
    <t>VOTV_FIN_SRC_LIST</t>
  </si>
  <si>
    <t>OTKO_FIN_SRC_LIST</t>
  </si>
  <si>
    <t>HEAT_PT_TARIFF_NAME_LIST</t>
  </si>
  <si>
    <t>COLDVSNA_PT_TARIFF_NAME_LIST</t>
  </si>
  <si>
    <t>HOTVSNA_PT_TARIFF_NAME_LIST</t>
  </si>
  <si>
    <t>VOTV_PT_TARIFF_NAME_LIST</t>
  </si>
  <si>
    <t>Архангельская область</t>
  </si>
  <si>
    <t>март</t>
  </si>
  <si>
    <t>III квартал</t>
  </si>
  <si>
    <t>ЕСХН</t>
  </si>
  <si>
    <t>куб.м/ч</t>
  </si>
  <si>
    <t>метод обеспечения доходности инвестированного капитала</t>
  </si>
  <si>
    <t>производство комбинированная выработка</t>
  </si>
  <si>
    <t>отборный пар, 1.2-2.5 кг/см2</t>
  </si>
  <si>
    <t>к тепловой сети без дополнительного преобразования на тепловых пунктах, эксплуатируемых теплоснабжающей организацией</t>
  </si>
  <si>
    <t>население и приравненные категории</t>
  </si>
  <si>
    <t>подземная (бесканальная)</t>
  </si>
  <si>
    <t>401 - 550 мм</t>
  </si>
  <si>
    <t>превышает 1,5 Гкал/ч при наличии технической возможности подключения</t>
  </si>
  <si>
    <t>Предельный уровнь цены на тепловую энергию (мощность), поставляемую теплоснабжающими организациями потребителям</t>
  </si>
  <si>
    <t>Плата за услуги по поддержанию резервной тепловой мощности, оказываемые регулируемой организацией, мощность тепловых сетей которой используется для поддержания резервной мощности в соответствии со схемой теплоснабжения</t>
  </si>
  <si>
    <t>Отборный пар, 2,5-7 кг/см2</t>
  </si>
  <si>
    <t>Уголь</t>
  </si>
  <si>
    <t>Аукцион в электронной форме</t>
  </si>
  <si>
    <t>иное</t>
  </si>
  <si>
    <t>от 71 мм до 100 мм включительно</t>
  </si>
  <si>
    <t>02</t>
  </si>
  <si>
    <t>Теплоснабжающая организация в ценовой зоне теплоснабжения</t>
  </si>
  <si>
    <t>газ сжиженный</t>
  </si>
  <si>
    <t>кг</t>
  </si>
  <si>
    <t>Март</t>
  </si>
  <si>
    <t>[ Собственные средства ]</t>
  </si>
  <si>
    <t>HEAT_PT_TARIFF_ID</t>
  </si>
  <si>
    <t>HEAT_PT_TARIFF_NAME</t>
  </si>
  <si>
    <t>COLDVSNA_PT_TARIFF_ID</t>
  </si>
  <si>
    <t>COLDVSNA_PT_TARIFF_NAME</t>
  </si>
  <si>
    <t>HOTVSNA_PT_TARIFF_ID</t>
  </si>
  <si>
    <t>HOTVSNA_PT_TARIFF_NAME</t>
  </si>
  <si>
    <t>VOTV_PT_TARIFF_ID</t>
  </si>
  <si>
    <t>VOTV_PT_TARIFF_NAME</t>
  </si>
  <si>
    <t>Астраханская область</t>
  </si>
  <si>
    <t>апрель</t>
  </si>
  <si>
    <t>ПСН</t>
  </si>
  <si>
    <t>метод сравнения аналогов</t>
  </si>
  <si>
    <t>производство (некомбинированная выработка)+передача+сбыт</t>
  </si>
  <si>
    <t>отборный пар, 2.5-7 кг/см2</t>
  </si>
  <si>
    <t>к тепловой сети после тепловых пунктов (на тепловых пунктах), эксплуатируемых теплоснабжающей организацией</t>
  </si>
  <si>
    <t>прочие</t>
  </si>
  <si>
    <t>551 - 700 мм</t>
  </si>
  <si>
    <t>превышает 1,5 Гкал/ч при отсутствии технической возможности подключения</t>
  </si>
  <si>
    <t>Форма 4.2.2 Информация о величинах тарифов на теплоноситель, передачу тепловой энергии, теплоносителя</t>
  </si>
  <si>
    <t>не известна</t>
  </si>
  <si>
    <t>Отборный пар, 7-13 кг/см2</t>
  </si>
  <si>
    <t>Мазут</t>
  </si>
  <si>
    <t>Запрос котировок</t>
  </si>
  <si>
    <t>от 101 мм до 150 мм включительно</t>
  </si>
  <si>
    <t>03</t>
  </si>
  <si>
    <t>Теплосетевая организация в ценовой зоне теплоснабжения</t>
  </si>
  <si>
    <t>газовый конденсат</t>
  </si>
  <si>
    <t>тонны</t>
  </si>
  <si>
    <t>Апрель</t>
  </si>
  <si>
    <t xml:space="preserve">  Прибыль направляемая на инвестиции</t>
  </si>
  <si>
    <t xml:space="preserve">  Нормативная прибыль</t>
  </si>
  <si>
    <t>Тариф на горячую воду в закрытой системе горячего водоснабжения (горячее водоснабжение)</t>
  </si>
  <si>
    <t>Тариф на подключение (технологическое присоединение) к централизованной системе водоотведения в индивидуальном порядке</t>
  </si>
  <si>
    <t>Белгородская область</t>
  </si>
  <si>
    <t>май</t>
  </si>
  <si>
    <t>НПД</t>
  </si>
  <si>
    <t>Вид тарифа на передачу тепловой энергии /kind_of_tariff_unit/</t>
  </si>
  <si>
    <t>производство (некомбинированная выработка)+передача</t>
  </si>
  <si>
    <t>отборный пар, 7-13 кг/см2</t>
  </si>
  <si>
    <t>701 мм и выше</t>
  </si>
  <si>
    <t>Форма 4.2.3 Информация о величинах тарифов на горячую воду (в открытых системах)</t>
  </si>
  <si>
    <t>Отборный пар, &gt; 13 кг/см2</t>
  </si>
  <si>
    <t>Дизельное топливо</t>
  </si>
  <si>
    <t>Единственный поставщик</t>
  </si>
  <si>
    <t>от 151 мм до 200 мм включительно</t>
  </si>
  <si>
    <t>04</t>
  </si>
  <si>
    <t>гшз</t>
  </si>
  <si>
    <t>Май</t>
  </si>
  <si>
    <t xml:space="preserve">  [ Амортизационные отчисления ]</t>
  </si>
  <si>
    <t xml:space="preserve">  Капитальные вложения (инвестиции), финансируемые за счет нормативной прибыли, учитываемой в необходимой валовой выручке</t>
  </si>
  <si>
    <t xml:space="preserve">  Амортизационные отчисления</t>
  </si>
  <si>
    <t>Тариф на подключение к централизованной системе водоотведения</t>
  </si>
  <si>
    <t>Брянская область</t>
  </si>
  <si>
    <t>июнь</t>
  </si>
  <si>
    <t>смешанное налогообложение</t>
  </si>
  <si>
    <t>руб./Гкал/ч/мес</t>
  </si>
  <si>
    <t>производство (некомбинированная выработка)+сбыт</t>
  </si>
  <si>
    <t>отборный пар, &gt; 13 кг/см2</t>
  </si>
  <si>
    <t>Острый и редуцированный пар</t>
  </si>
  <si>
    <t>Дрова</t>
  </si>
  <si>
    <t>Иное</t>
  </si>
  <si>
    <t>от 201 мм до 250 мм включительно</t>
  </si>
  <si>
    <t>05</t>
  </si>
  <si>
    <t>QRE_METHOD_LIST</t>
  </si>
  <si>
    <t>мазут</t>
  </si>
  <si>
    <t>Июнь</t>
  </si>
  <si>
    <t xml:space="preserve">      Амортизационные отчисления с выделением результатов переоценки основных средств и нематериальных активов</t>
  </si>
  <si>
    <t>[ Привлеченные средства ]</t>
  </si>
  <si>
    <t>Тариф на подключение к централизованной системе горячего водоснабжения</t>
  </si>
  <si>
    <t>Владимирская область</t>
  </si>
  <si>
    <t>июль</t>
  </si>
  <si>
    <t>руб./Гкал</t>
  </si>
  <si>
    <t>производство (некомбинированная выработка)</t>
  </si>
  <si>
    <t>острый и редуцированный пар</t>
  </si>
  <si>
    <t>Электроэнергия</t>
  </si>
  <si>
    <t>от 250  мм и более</t>
  </si>
  <si>
    <t>06</t>
  </si>
  <si>
    <t>по мероприятиям</t>
  </si>
  <si>
    <t>нефть</t>
  </si>
  <si>
    <t>Июль</t>
  </si>
  <si>
    <t xml:space="preserve">      Прочие амортизационные отчисления</t>
  </si>
  <si>
    <t xml:space="preserve">     Амортизационные отчисления за исключением переоценки основных средств и нематериальных активов</t>
  </si>
  <si>
    <t xml:space="preserve">  Кредиты</t>
  </si>
  <si>
    <t>Тариф на подключение (технологическое присоединение) к централизованной системе холодного водоснабжения в индивидуальном порядке</t>
  </si>
  <si>
    <t>Тариф на подключение к централизованной системе горячего водоснабжения (инд)</t>
  </si>
  <si>
    <t>Волгоградская область</t>
  </si>
  <si>
    <t>август</t>
  </si>
  <si>
    <t>НДС общий_x000D_
/kind_of_NDS_tariff/</t>
  </si>
  <si>
    <t>НДС_x000D_
/kind_of_NDS_tariff/</t>
  </si>
  <si>
    <t>горячая вода в системе централизованного теплоснабжения на отопление</t>
  </si>
  <si>
    <t>Прочее</t>
  </si>
  <si>
    <t>Плата за подключение к системе теплоснабжения</t>
  </si>
  <si>
    <t>07</t>
  </si>
  <si>
    <t>по группам мероприятий</t>
  </si>
  <si>
    <t>дизельное топливо</t>
  </si>
  <si>
    <t>Август</t>
  </si>
  <si>
    <t xml:space="preserve">  Прочие собственные средства</t>
  </si>
  <si>
    <t xml:space="preserve">     Амортизационные отчисления в результате переоценки основных средств и нематериальных активов</t>
  </si>
  <si>
    <t xml:space="preserve">  [ Займы ]</t>
  </si>
  <si>
    <t>Вологодская область</t>
  </si>
  <si>
    <t>сентябрь</t>
  </si>
  <si>
    <t>тариф указан с НДС для плательщиков НДС</t>
  </si>
  <si>
    <t>тариф для организаций не являющихся плательщиками НДС</t>
  </si>
  <si>
    <t>Установленная электрическая мощность. Теплоэлектростанции. Ед.измерения  /kind_of_power_te_unit/</t>
  </si>
  <si>
    <t>цель инвестиционной программы /kind_of_purchase_method/</t>
  </si>
  <si>
    <t>горячая вода в системе централизованного теплоснабжения на горячее водоснабжение</t>
  </si>
  <si>
    <t>Плата за подключение к системе теплоснабжения (индивидуальная)</t>
  </si>
  <si>
    <t>Форма 4.2.5 Информация о плате за подключение к системе теплоснабжения в индивидуальном порядке</t>
  </si>
  <si>
    <t>08</t>
  </si>
  <si>
    <t>в целом на инвестиционную программу</t>
  </si>
  <si>
    <t>уголь бурый</t>
  </si>
  <si>
    <t>Сентябрь</t>
  </si>
  <si>
    <t xml:space="preserve">  За счет платы за технологическое присоединение</t>
  </si>
  <si>
    <t xml:space="preserve">     Прочие амортизационные отчисления</t>
  </si>
  <si>
    <t xml:space="preserve">      Займы, предоставленные Фондом ЖКХ за счет средств ФНБ</t>
  </si>
  <si>
    <t>Воронежская область</t>
  </si>
  <si>
    <t>октябрь</t>
  </si>
  <si>
    <t>тариф указан без НДС для плательщиков НДС</t>
  </si>
  <si>
    <t>тариф не утверждался</t>
  </si>
  <si>
    <t>кВт*ч</t>
  </si>
  <si>
    <t>Торги/аукционы</t>
  </si>
  <si>
    <t>прочее</t>
  </si>
  <si>
    <t>Форма 4.2.4 Информация о величинах тарифов на подключение к системе теплоснабжения</t>
  </si>
  <si>
    <t>09</t>
  </si>
  <si>
    <t>по муниципальным образованиям/территориям</t>
  </si>
  <si>
    <t>уголь каменный</t>
  </si>
  <si>
    <t>Октябрь</t>
  </si>
  <si>
    <t xml:space="preserve">  [ Экономия расходов ]</t>
  </si>
  <si>
    <t xml:space="preserve">      Прочие займы</t>
  </si>
  <si>
    <t>г.Байконур</t>
  </si>
  <si>
    <t>ноябрь</t>
  </si>
  <si>
    <t>МВт</t>
  </si>
  <si>
    <t>Прямые договора без торгов</t>
  </si>
  <si>
    <t>Предельный уровнь цены на тепловую энергию (мощность), поставляемую теплоснабжающими организациями потребителям. Индикативы</t>
  </si>
  <si>
    <t>по централизованным системам</t>
  </si>
  <si>
    <t>торф</t>
  </si>
  <si>
    <t>Ноябрь</t>
  </si>
  <si>
    <t xml:space="preserve">      Экономия расходов в результате реализации мероприятий инвестиционной программы</t>
  </si>
  <si>
    <t xml:space="preserve">  Средства, полученные за счет платы за подключение (технологическое присоединение)</t>
  </si>
  <si>
    <t>[ Бюджетное финансирование ]</t>
  </si>
  <si>
    <t>г. Москва</t>
  </si>
  <si>
    <t>декабрь</t>
  </si>
  <si>
    <t>дрова</t>
  </si>
  <si>
    <t>м3</t>
  </si>
  <si>
    <t>Декабрь</t>
  </si>
  <si>
    <t xml:space="preserve">      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</si>
  <si>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 xml:space="preserve">  Федеральный бюджет</t>
  </si>
  <si>
    <t>г.Санкт-Петербург</t>
  </si>
  <si>
    <t>Объём приобретаемой тепловой энергии (мощности), используемой для горячего водоснабжения. Ед.измерения  /kind_of_volume_te_unit/</t>
  </si>
  <si>
    <t>Вид деятельности /kind_of_activity/</t>
  </si>
  <si>
    <t>TITLE_IP_DETAILED_METHOD_LIST</t>
  </si>
  <si>
    <t>опил</t>
  </si>
  <si>
    <t xml:space="preserve">      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</si>
  <si>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 xml:space="preserve">  Бюджет субъекта РФ</t>
  </si>
  <si>
    <t>г.Севастополь</t>
  </si>
  <si>
    <t>TemplateState</t>
  </si>
  <si>
    <t>НДС общий люди_x000D_
/kind_of_NDS_tariff_people/</t>
  </si>
  <si>
    <t>НДС_x000D_
/kind_of_NDS_tariff_people/</t>
  </si>
  <si>
    <t>тыс. Гкал</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</si>
  <si>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МВт и более</t>
  </si>
  <si>
    <t>отходы березовые</t>
  </si>
  <si>
    <t xml:space="preserve">      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</si>
  <si>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 xml:space="preserve">  Бюджет муниципального образования</t>
  </si>
  <si>
    <t>Еврейская автономная область</t>
  </si>
  <si>
    <t>START_FILL</t>
  </si>
  <si>
    <t>тариф с НДС организаций-плательщиков НДС</t>
  </si>
  <si>
    <t>тариф организаций не являющихся плательщиками НДС</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</si>
  <si>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менее 25 МВт</t>
  </si>
  <si>
    <t>отходы осиновые</t>
  </si>
  <si>
    <t xml:space="preserve">      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</si>
  <si>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 Прочие источники финансирования ]</t>
  </si>
  <si>
    <t>Забайкальский край</t>
  </si>
  <si>
    <t>производство тепловой энергии (мощности) не в режиме комбинированной выработки электрической и тепловой энергии источниками тепловой энергии</t>
  </si>
  <si>
    <t>по мероприятиям и группам мероприятий</t>
  </si>
  <si>
    <t>печное топливо</t>
  </si>
  <si>
    <t xml:space="preserve">      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</si>
  <si>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 xml:space="preserve">  Лизинг</t>
  </si>
  <si>
    <t>COLDVSNA_PT_VED_NAME_LIST</t>
  </si>
  <si>
    <t>HOTVSNA_PT_VED_NAME_LIST</t>
  </si>
  <si>
    <t>VOTV_PT_VED_NAME_LIST</t>
  </si>
  <si>
    <t>TKO_PT_VED_NAME_LIST</t>
  </si>
  <si>
    <t>Ивановская область</t>
  </si>
  <si>
    <t>производство теплоносителя</t>
  </si>
  <si>
    <t>пилеты</t>
  </si>
  <si>
    <t xml:space="preserve">      Экономия средств, достигнутая регулируемой организацией в результате снижения расходов</t>
  </si>
  <si>
    <t xml:space="preserve">  Прочие</t>
  </si>
  <si>
    <t>COLDVSNA_PT_VED_ID</t>
  </si>
  <si>
    <t>COLDVSNA_PT_VED_NAME</t>
  </si>
  <si>
    <t>HOTVSNA_PT_VED_ID</t>
  </si>
  <si>
    <t>HOTVSNA_PT_VED_NAME</t>
  </si>
  <si>
    <t>VOTV_PT_VED_ID</t>
  </si>
  <si>
    <t>VOTV_PT_VED_NAME</t>
  </si>
  <si>
    <t>TKO_PT_VED_ID</t>
  </si>
  <si>
    <t>TKO_PT_VED_NAME</t>
  </si>
  <si>
    <t>Иркутская область</t>
  </si>
  <si>
    <t>передача тепловой энергии и теплоносителя</t>
  </si>
  <si>
    <t>IP_CLAIM_LIST</t>
  </si>
  <si>
    <t>смола</t>
  </si>
  <si>
    <t xml:space="preserve">  Прочие привлеченные средства</t>
  </si>
  <si>
    <t xml:space="preserve">      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</si>
  <si>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Производство тепловой энергии. Некомбинированная выработка</t>
  </si>
  <si>
    <t>Холодное водоснабжение, в т.ч. подвоз воды</t>
  </si>
  <si>
    <t>Горячее водоснабжение</t>
  </si>
  <si>
    <t>Водоотведение, в том числе очистка сточных вод, обращение с осадком сточных вод</t>
  </si>
  <si>
    <t>Захоронение твердых коммунальных отходов</t>
  </si>
  <si>
    <t>Кабардино-Балкарская республика</t>
  </si>
  <si>
    <t>сбыт тепловой энергии и теплоносителя</t>
  </si>
  <si>
    <t>уменьшение удельных затрат (повышение КПД)</t>
  </si>
  <si>
    <t>щепа</t>
  </si>
  <si>
    <t>Производство тепловой энергии. Комбинированная выработка с уст. мощностью производства электрической энергии менее 25 МВт</t>
  </si>
  <si>
    <t>Подключение (технологическое присоединение) к централизованной системе водоснабжения</t>
  </si>
  <si>
    <t>Транспортировка</t>
  </si>
  <si>
    <t>Прием и транспортировка сточных вод</t>
  </si>
  <si>
    <t>Обезвреживание твердых коммунальных отходов</t>
  </si>
  <si>
    <t>Калининградская область</t>
  </si>
  <si>
    <t>подключение к системе теплоснабжения</t>
  </si>
  <si>
    <t>автоматизация (с уменьшением штата)</t>
  </si>
  <si>
    <t>горючий сланец</t>
  </si>
  <si>
    <t>Производство тепловой энергии. Комбинированная выработка с уст. мощностью производства электрической энергии 25 МВт и более</t>
  </si>
  <si>
    <t>Холодное водоснабжение, в т.ч. транспортировка воды, включая распределение воды</t>
  </si>
  <si>
    <t>Подключение (технологическое присоединение) к централизованной системе горячего водоснабжения</t>
  </si>
  <si>
    <t>Подключение (технологическое присоединение) к централизованной системе водоотведения</t>
  </si>
  <si>
    <t>Обработка твердых коммунальных отходов</t>
  </si>
  <si>
    <t>Калужская область</t>
  </si>
  <si>
    <t>поддержание резервной тепловой мощности при отсутствии потребления тепловой энергии</t>
  </si>
  <si>
    <t>уменьшение издержек на производство</t>
  </si>
  <si>
    <t>керосин</t>
  </si>
  <si>
    <t>Производство. Теплоноситель</t>
  </si>
  <si>
    <t>Камчатский край</t>
  </si>
  <si>
    <t>снижение аварийности</t>
  </si>
  <si>
    <t>кислородно-водородная смесь</t>
  </si>
  <si>
    <t>Передача. Тепловая энергия</t>
  </si>
  <si>
    <t>Энергетическая утилизация</t>
  </si>
  <si>
    <t>Карачаево-Черкесская республика</t>
  </si>
  <si>
    <t>улучшение качества</t>
  </si>
  <si>
    <t>электроэнергия (НН)</t>
  </si>
  <si>
    <t>тыс кВт.ч</t>
  </si>
  <si>
    <t>Передача. Теплоноситель</t>
  </si>
  <si>
    <t>Кемеровская область</t>
  </si>
  <si>
    <t>повышение надёжности и энергетической эффективности</t>
  </si>
  <si>
    <t>электроэнергия (СН1)</t>
  </si>
  <si>
    <t>Сбыт. Тепловая энергия</t>
  </si>
  <si>
    <t>Кировская область</t>
  </si>
  <si>
    <t>CROSSES</t>
  </si>
  <si>
    <t>электроэнергия (СН2)</t>
  </si>
  <si>
    <t>Сбыт. Теплоноситель</t>
  </si>
  <si>
    <t>Костромская область</t>
  </si>
  <si>
    <t>электроэнергия (ВН)</t>
  </si>
  <si>
    <t>Подключение (технологическое присоединение) к системе теплоснабжения</t>
  </si>
  <si>
    <t>Краснодарский край</t>
  </si>
  <si>
    <t>Текущая дата</t>
  </si>
  <si>
    <t>PT_GROUP_CONSUMER_LIST</t>
  </si>
  <si>
    <t>мощность</t>
  </si>
  <si>
    <t>тыс кВт</t>
  </si>
  <si>
    <t>Поддержание резервной тепловой мощности при отсутствии потребления тепловой энергии</t>
  </si>
  <si>
    <t>Красноярский край</t>
  </si>
  <si>
    <t>Организация</t>
  </si>
  <si>
    <t>25.07.2023 22:51:32</t>
  </si>
  <si>
    <t>Курганская область</t>
  </si>
  <si>
    <t xml:space="preserve">  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</si>
  <si>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Курская область</t>
  </si>
  <si>
    <t>29</t>
  </si>
  <si>
    <t>население</t>
  </si>
  <si>
    <t xml:space="preserve">  Иные бюджетные средства</t>
  </si>
  <si>
    <t>Ленинградская область</t>
  </si>
  <si>
    <t>Виды деятельности</t>
  </si>
  <si>
    <t>https://appsrv.regportal-tariff.ru/procwsxls/</t>
  </si>
  <si>
    <t>30</t>
  </si>
  <si>
    <t>Липецкая область</t>
  </si>
  <si>
    <t>31</t>
  </si>
  <si>
    <t>Магаданская область</t>
  </si>
  <si>
    <t>32</t>
  </si>
  <si>
    <t>Московская область</t>
  </si>
  <si>
    <t>33</t>
  </si>
  <si>
    <t>PT_SCHEME_LIST</t>
  </si>
  <si>
    <t xml:space="preserve">  Доход от взимания платы за нарушение нормативов по объему и (или) составу сточных вод</t>
  </si>
  <si>
    <t>Мурманская область</t>
  </si>
  <si>
    <t>TEMPLATE_SPHERE</t>
  </si>
  <si>
    <t>34</t>
  </si>
  <si>
    <t xml:space="preserve">  Доход от взимания платы за негативное воздействие на работу централизованной системы водоотведения</t>
  </si>
  <si>
    <t>Ненецкий автономный округ</t>
  </si>
  <si>
    <t>теплоснабжения</t>
  </si>
  <si>
    <t>теплоснабжение</t>
  </si>
  <si>
    <t>35</t>
  </si>
  <si>
    <t>Нижегородская область</t>
  </si>
  <si>
    <t>холодного водоснабжения</t>
  </si>
  <si>
    <t>холодное водоснабжение</t>
  </si>
  <si>
    <t>36</t>
  </si>
  <si>
    <t>HEAT_FIN_SRC_VLD_LIST</t>
  </si>
  <si>
    <t>VSNA_FIN_SRC_VLD_LIST</t>
  </si>
  <si>
    <t>VOTV_FIN_SRC_VLD_LIST</t>
  </si>
  <si>
    <t>OTKO_FIN_SRC_VLD_LIST</t>
  </si>
  <si>
    <t>Новгородская область</t>
  </si>
  <si>
    <t>водоотведения</t>
  </si>
  <si>
    <t>водоотведение</t>
  </si>
  <si>
    <t>37</t>
  </si>
  <si>
    <t>Прибыль направляемая на инвестиции</t>
  </si>
  <si>
    <t>Нормативная прибыль</t>
  </si>
  <si>
    <t>Новосибирская область</t>
  </si>
  <si>
    <t>горячего водоснабжения</t>
  </si>
  <si>
    <t>горячее водоснабжение</t>
  </si>
  <si>
    <t>38</t>
  </si>
  <si>
    <t>Амортизационные отчисления с выделением результатов переоценки основных средств и нематериальных активов</t>
  </si>
  <si>
    <t>Капитальные вложения (инвестиции), финансируемые за счет нормативной прибыли, учитываемой в необходимой валовой выручке</t>
  </si>
  <si>
    <t>Амортизационные отчисления</t>
  </si>
  <si>
    <t>Омская область</t>
  </si>
  <si>
    <t>обращения с твердыми коммунальными отходами</t>
  </si>
  <si>
    <t>39</t>
  </si>
  <si>
    <t>PT_TN_LIST</t>
  </si>
  <si>
    <t>Прочие амортизационные отчисления</t>
  </si>
  <si>
    <t>Амортизационные отчисления за исключением переоценки основных средств и нематериальных активов</t>
  </si>
  <si>
    <t>Кредиты</t>
  </si>
  <si>
    <t>Оренбургская область</t>
  </si>
  <si>
    <t>40</t>
  </si>
  <si>
    <t>Прочие собственные средства</t>
  </si>
  <si>
    <t>Амортизационные отчисления в результате переоценки основных средств и нематериальных активов</t>
  </si>
  <si>
    <t>Займы, предоставленные Фондом ЖКХ за счет средств ФНБ</t>
  </si>
  <si>
    <t>Орловская область</t>
  </si>
  <si>
    <t>41</t>
  </si>
  <si>
    <t>За счет платы за технологическое присоединение</t>
  </si>
  <si>
    <t>Прочие займы</t>
  </si>
  <si>
    <t>Пензенская область</t>
  </si>
  <si>
    <t>PeriodIsEmpty</t>
  </si>
  <si>
    <t>NameTemplatesInTitle</t>
  </si>
  <si>
    <t>NameTemplatesInListMO</t>
  </si>
  <si>
    <t>42</t>
  </si>
  <si>
    <t>Экономия расходов в результате реализации мероприятий инвестиционной программы</t>
  </si>
  <si>
    <t>Федеральный бюджет</t>
  </si>
  <si>
    <t>Пермский край</t>
  </si>
  <si>
    <t>TEMPLATE_GROUP</t>
  </si>
  <si>
    <t>Q</t>
  </si>
  <si>
    <t>CodeTemplate</t>
  </si>
  <si>
    <t>StartDate</t>
  </si>
  <si>
    <t>EndDate</t>
  </si>
  <si>
    <t>43</t>
  </si>
  <si>
    <t>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</si>
  <si>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Средства, полученные за счет платы за подключение (технологическое присоединение)</t>
  </si>
  <si>
    <t>Бюджет субъекта РФ</t>
  </si>
  <si>
    <t>Приморский край</t>
  </si>
  <si>
    <t>O</t>
  </si>
  <si>
    <t>44</t>
  </si>
  <si>
    <t>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</si>
  <si>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Бюджет муниципального образования</t>
  </si>
  <si>
    <t>Псковская область</t>
  </si>
  <si>
    <t>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</si>
  <si>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Лизинг</t>
  </si>
  <si>
    <t>Республика Адыгея</t>
  </si>
  <si>
    <t>B</t>
  </si>
  <si>
    <t>Информация о показателях финансово-хозяйственной деятельности, об основных потребительских характеристиках регулируемых товаров и услуг, об инвестиционных программах</t>
  </si>
  <si>
    <t>46</t>
  </si>
  <si>
    <t>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</si>
  <si>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Прочие</t>
  </si>
  <si>
    <t>Республика Алтай</t>
  </si>
  <si>
    <t>T</t>
  </si>
  <si>
    <t>Прочие привлеченные средства</t>
  </si>
  <si>
    <t>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</si>
  <si>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Республика Башкортостан</t>
  </si>
  <si>
    <t>I</t>
  </si>
  <si>
    <t>48</t>
  </si>
  <si>
    <t>Экономия средств, достигнутая регулируемой организацией в результате снижения расходов</t>
  </si>
  <si>
    <t>Республика Бурятия</t>
  </si>
  <si>
    <t>R</t>
  </si>
  <si>
    <t>49</t>
  </si>
  <si>
    <t>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</si>
  <si>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Республика Дагестан</t>
  </si>
  <si>
    <t>P</t>
  </si>
  <si>
    <t>50</t>
  </si>
  <si>
    <t>Республика Ингушетия</t>
  </si>
  <si>
    <t>ROIV</t>
  </si>
  <si>
    <t>Показатели, подлежащие раскрытию органами регулирования</t>
  </si>
  <si>
    <t>51</t>
  </si>
  <si>
    <t>Республика Калмыкия</t>
  </si>
  <si>
    <t>52</t>
  </si>
  <si>
    <t>PT_NETS_LIST</t>
  </si>
  <si>
    <t>Республика Карелия</t>
  </si>
  <si>
    <t>53</t>
  </si>
  <si>
    <t>Республика Коми</t>
  </si>
  <si>
    <t>TERRITORY_ID</t>
  </si>
  <si>
    <t>начинать только с 2, остальное по умолчанию</t>
  </si>
  <si>
    <t>54</t>
  </si>
  <si>
    <t>Республика Крым</t>
  </si>
  <si>
    <t>DIFFERENTIATION_ID</t>
  </si>
  <si>
    <t>55</t>
  </si>
  <si>
    <t>Республика Марий Эл</t>
  </si>
  <si>
    <t>IP_ID</t>
  </si>
  <si>
    <t>56</t>
  </si>
  <si>
    <t>Республика Мордовия</t>
  </si>
  <si>
    <t>начинать только с 30, остальное по умолчанию</t>
  </si>
  <si>
    <t>57</t>
  </si>
  <si>
    <t>PT_DIAMETERS_LIST</t>
  </si>
  <si>
    <t>Республика Саха (Якутия)</t>
  </si>
  <si>
    <t>VDET_ID</t>
  </si>
  <si>
    <t>58</t>
  </si>
  <si>
    <t>Республика Северная Осетия-Алания</t>
  </si>
  <si>
    <t>NTAR_ID</t>
  </si>
  <si>
    <t>59</t>
  </si>
  <si>
    <t>Средства, полученные регулируемой организацией в виде платы за сброс загрязняющих веществ сверх установленных нормативов состава сточных вод</t>
  </si>
  <si>
    <t>Республика Татарстан</t>
  </si>
  <si>
    <t>Средства, полученные регулируемой организацией в виде платы за негативное воздействие на работу централизованной системы водоотведения</t>
  </si>
  <si>
    <t>Республика Тыва</t>
  </si>
  <si>
    <t>CS_ID</t>
  </si>
  <si>
    <t>Республика Хакасия</t>
  </si>
  <si>
    <t>IST_TE_ID</t>
  </si>
  <si>
    <t>Ростовская область</t>
  </si>
  <si>
    <t>Рязанская область</t>
  </si>
  <si>
    <t>PT_LOAD_LIST</t>
  </si>
  <si>
    <t>Саратовская область</t>
  </si>
  <si>
    <t>HEAT_IP_EVENT_GROUP_LIST</t>
  </si>
  <si>
    <t>VSNA_IP_EVENT_GROUP_LIST</t>
  </si>
  <si>
    <t>VOTV_IP_EVENT_GROUP_LIST</t>
  </si>
  <si>
    <t>OTKO_IP_EVENT_GROUP_LIST</t>
  </si>
  <si>
    <t>Сахалинская область</t>
  </si>
  <si>
    <t>Строительство, реконструкция или модернизация объектов теплоснабжения в целях подключения потребителей с указанием объектов теплоснабжения, строительство которых финансируется за счет платы за подключение</t>
  </si>
  <si>
    <t>Строительство, реконструкция или модернизация объектов водоснабжения в целях подключения потребителей с указанием объектов водоснабжения, строительство которых финансируется за счет платы за подключение</t>
  </si>
  <si>
    <t>Строительство, реконструкция или модернизация объектов водоотведения и очистки сточных вод в целях подключения потребителей с указанием объектов водоотведения и очистки сточных вод, строительство которых финансируется за счет платы за подключение</t>
  </si>
  <si>
    <t>Мероприятия инвестиционной программы в части накопления твердых коммунальных отходов</t>
  </si>
  <si>
    <t>Свердловская область</t>
  </si>
  <si>
    <t>Строительство новых объектов теплоснабжения, не связанных с подключением (технологическим присоединением) новых потребителей, в том числе строительство новых тепловых сетей</t>
  </si>
  <si>
    <t>Строительство новых объектов водоснабжения, не связанных с подключением (технологическим присоединением) новых потребителей, в том числе строительство новых сетей водоснабжения</t>
  </si>
  <si>
    <t>Строительство новых объектов водоотведения и очистки сточных вод, не связанных с подключением (технологическим присоединением) новых потребителей, в том числе строительство новых сетей водоотведения и очистки сточных вод</t>
  </si>
  <si>
    <t>Мероприятия инвестиционной программы в части обработки твердых коммунальных отходов</t>
  </si>
  <si>
    <t>Смоленская область</t>
  </si>
  <si>
    <t>Реконструкция или модернизация существующих объектов теплоснабжения в целях снижения уровня износа существующих объектов теплоснабжения</t>
  </si>
  <si>
    <t>Реконструкция или модернизация существующих объектов водоснабжения в целях снижения уровня износа существующих объектов водоснабжения</t>
  </si>
  <si>
    <t>Реконструкция или модернизация существующих объектов водоотведения и очистки сточных вод в целях снижения уровня износа существующих объектов водоотведения и очистки сточных вод</t>
  </si>
  <si>
    <t>Мероприятия инвестиционной программы в части утилизации твердых коммунальных отходов</t>
  </si>
  <si>
    <t>Ставропольский край</t>
  </si>
  <si>
    <t>Мероприятия, направленные на повышение экологической эффективности</t>
  </si>
  <si>
    <t>Мероприятия инвестиционной программы в части обезвреживания твердых коммунальных отходов</t>
  </si>
  <si>
    <t>Тамбовская область</t>
  </si>
  <si>
    <t>Вывод из эксплуатации, консервации и демонтаж объектов теплоснабжения</t>
  </si>
  <si>
    <t>Вывод из эксплуатации, консервация и демонтаж объектов водоснабжения</t>
  </si>
  <si>
    <t>Вывод из эксплуатации, консервация и демонтаж объектов водоотведения и очистки сточных вод</t>
  </si>
  <si>
    <t>Мероприятия инвестиционной программы в части хранения твердых коммунальных отходов</t>
  </si>
  <si>
    <t>Тверская область</t>
  </si>
  <si>
    <t>Мероприятия, направленные на повышение энергоэффективности в сфере теплоснабжения</t>
  </si>
  <si>
    <t>Мероприятия, направленные на повышение энергоэффективности в сфере водоснабжения</t>
  </si>
  <si>
    <t>Мероприятия, направленные на повышение энергоэффективности в сфере водоотведения и очистки сточных вод</t>
  </si>
  <si>
    <t>Мероприятия инвестиционной программы в части захоронения твердых коммунальных отходов</t>
  </si>
  <si>
    <t>Томская область</t>
  </si>
  <si>
    <t>PT_DIAMETERS_2_LIST</t>
  </si>
  <si>
    <t>Мероприятия по подготовке проектной документации</t>
  </si>
  <si>
    <t>Тульская область</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</si>
  <si>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осуществлением деятельности в сфере теплоснабжения, включая мероприятия по обеспечению безопасности и антитеррористической защищенности объектов топливно-энергетического комплекса, безопасности критической информационной инфраструктуры</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</si>
  <si>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горячего водоснабжения, холодного водоснабжения с использованием централизованных систем водоснабжения</t>
  </si>
  <si>
    <t xml:space="preserve">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водоотведения с использованием централизованных систем водоотведения_x000D_
</t>
  </si>
  <si>
    <t>Тюменская область</t>
  </si>
  <si>
    <t>Удмуртская республика</t>
  </si>
  <si>
    <t>Ульяновская область</t>
  </si>
  <si>
    <t>HEAT_IP_EVENT_SUBGROUP_1_LIST</t>
  </si>
  <si>
    <t>VSNA_IP_EVENT_SUBGROUP_1_LIST</t>
  </si>
  <si>
    <t>VOTV_IP_EVENT_SUBGROUP_1_LIST</t>
  </si>
  <si>
    <t>Хабаровский край</t>
  </si>
  <si>
    <t>строительство новых тепловых сетей в целях подключения потребителей</t>
  </si>
  <si>
    <t>строительство новых сетей водоснабжения в целях подключения потребителей</t>
  </si>
  <si>
    <t>строительство новых сетей водоотведения и очистки сточных вод в целях подключения потребителей</t>
  </si>
  <si>
    <t>Ханты-Мансийский автономный округ</t>
  </si>
  <si>
    <t>строительство иных объектов теплоснабжения за исключением тепловых сетей в целях подключения потребителей</t>
  </si>
  <si>
    <t>строительство иных объектов водоснабжения, за исключением сетей водоснабжения в целях подключения потребителей</t>
  </si>
  <si>
    <t>строительство иных объектов водоотведения и очистки сточных вод, за исключением сетей водоотведения и очистки сточных вод в целях подключения потребителей</t>
  </si>
  <si>
    <t>Челябинская область</t>
  </si>
  <si>
    <t>увеличение пропускной способности существующих тепловых сетей в целях подключения потребителей</t>
  </si>
  <si>
    <t>увеличение пропускной способности существующих сетей водоснабжения в целях подключения потребителей</t>
  </si>
  <si>
    <t>увеличение пропускной способности существующих сетей водоотведения и очистки сточных вод в целях подключения потребителей</t>
  </si>
  <si>
    <t>Чеченская республика</t>
  </si>
  <si>
    <t>увеличение мощности и производительности существующих объектов теплоснабжения за исключением тепловых сетей в целях подключения потребителей</t>
  </si>
  <si>
    <t>увеличение мощности и производительности существующих объектов водоснабжения, за исключением сетей водоснабжения в целях подключения потребителей</t>
  </si>
  <si>
    <t>увеличение мощности и производительности существующих объектов водоотведения и очистки сточных вод за исключением сетей водоотведения и очистки сточных вод, в целях подключения потребителей</t>
  </si>
  <si>
    <t>Чувашская республика</t>
  </si>
  <si>
    <t>TYPE_TKO_LIST</t>
  </si>
  <si>
    <t>Чукотский автономный округ</t>
  </si>
  <si>
    <t>несортированные</t>
  </si>
  <si>
    <t>Ямало-Ненецкий автономный округ</t>
  </si>
  <si>
    <t>сортированные</t>
  </si>
  <si>
    <t>HEAT_IP_EVENT_SUBGROUP_3_LIST</t>
  </si>
  <si>
    <t>VSNA_IP_EVENT_SUBGROUP_3_LIST</t>
  </si>
  <si>
    <t>VOTV_IP_EVENT_SUBGROUP_3_LIST</t>
  </si>
  <si>
    <t>Ярославская область</t>
  </si>
  <si>
    <t>крупногабаритные</t>
  </si>
  <si>
    <t>реконструкция или модернизация существующих тепловых сетей</t>
  </si>
  <si>
    <t>реконструкция или модернизация существующих сетей водоснабжения</t>
  </si>
  <si>
    <t>реконструкция или модернизация существующих сетей водоотведения и очистки сточных вод</t>
  </si>
  <si>
    <t>реконструкция или модернизация существующих объектов теплоснабжения, за исключением тепловых сетей</t>
  </si>
  <si>
    <t>реконструкция или модернизация существующих объектов водоснабжения, за исключением сетей водоснабжения</t>
  </si>
  <si>
    <t>реконструкция или модернизация существующих объектов водоотведения и очистки сточных вод, за исключением сетей водоотведения и очистки сточных вод</t>
  </si>
  <si>
    <t>CLASS_TKO_LIST</t>
  </si>
  <si>
    <t>II</t>
  </si>
  <si>
    <t>HEAT_IP_EVENT_SUBGROUP_5_LIST</t>
  </si>
  <si>
    <t>VSNA_IP_EVENT_SUBGROUP_5_LIST</t>
  </si>
  <si>
    <t>VOTV_IP_EVENT_SUBGROUP_5_LIST</t>
  </si>
  <si>
    <t>III</t>
  </si>
  <si>
    <t>вывод из эксплуатации, консервация и демонтаж тепловых сетей</t>
  </si>
  <si>
    <t>вывод из эксплуатации, консервация и демонтаж сетей водоснабжения</t>
  </si>
  <si>
    <t>вывод из эксплуатации, консервация и демонтаж сетей водоотведения и очистки сточных вод</t>
  </si>
  <si>
    <t>IV</t>
  </si>
  <si>
    <t>вывод из эксплуатации, консервация и демонтаж иных объектов теплоснабжения, за исключением тепловых сетей</t>
  </si>
  <si>
    <t>вывод из эксплуатации, консервация и демонтаж иных объектов водоснабжения, за исключением сетей водоснабжения</t>
  </si>
  <si>
    <t>вывод из эксплуатации, консервация и демонтаж иных объектов водоотведения и очистки сточных вод, за исключением сетей водоотведения и очистки сточных вод</t>
  </si>
  <si>
    <t>V</t>
  </si>
  <si>
    <t>HEAT_IP_EVENT_CI_STAGE_LIST</t>
  </si>
  <si>
    <t>VSNA_IP_EVENT_CI_STAGE_LIST</t>
  </si>
  <si>
    <t>VOTV_IP_EVENT_CI_STAGE_LIST</t>
  </si>
  <si>
    <t>OTKO_IP_EVENT_CI_STAGE_LIST</t>
  </si>
  <si>
    <t>производство тепловой энергии</t>
  </si>
  <si>
    <t>на забор и подъём воды</t>
  </si>
  <si>
    <t>на транспортировку сточных вод</t>
  </si>
  <si>
    <t>сбор</t>
  </si>
  <si>
    <t>передача теплоэнергии по региональным тепловым сетям</t>
  </si>
  <si>
    <t>на водоподготовку</t>
  </si>
  <si>
    <t>очистка сточных вод</t>
  </si>
  <si>
    <t>накопление</t>
  </si>
  <si>
    <t>прочие объекты и мероприятия, относимые к регулируемому виду деятельности</t>
  </si>
  <si>
    <t>на транспортировку воды</t>
  </si>
  <si>
    <t>обращение с осадком сточных вод</t>
  </si>
  <si>
    <t>транспортирование</t>
  </si>
  <si>
    <t>обработка</t>
  </si>
  <si>
    <t>утилизация</t>
  </si>
  <si>
    <t>обезвреживание</t>
  </si>
  <si>
    <t>размещение отходов</t>
  </si>
  <si>
    <t>энергетическая утилизация</t>
  </si>
  <si>
    <t>WARM_IP_EVENT_TYPE_LIST</t>
  </si>
  <si>
    <t>VSNA_IP_EVENT_TYPE_LIST</t>
  </si>
  <si>
    <t>VOTV_IP_EVENT_TYPE_LIST</t>
  </si>
  <si>
    <t>OTKO_IP_EVENT_TYPE_LIST</t>
  </si>
  <si>
    <t>Производство тепловой энергии</t>
  </si>
  <si>
    <t>Водоснабжение</t>
  </si>
  <si>
    <t>Водоотведение</t>
  </si>
  <si>
    <t>Обращение с твердыми коммунальными отходами</t>
  </si>
  <si>
    <t>Прочие объекты и мероприятия, относимые к регулируемому виду деятельности</t>
  </si>
  <si>
    <t>HEAT_PT_SCHEME</t>
  </si>
  <si>
    <t>et_CHANGE_INFO</t>
  </si>
  <si>
    <t>et_Comm</t>
  </si>
  <si>
    <t>et_TERRITORY_AREA, _MO</t>
  </si>
  <si>
    <t>et_DIFFERENTIATION_VD</t>
  </si>
  <si>
    <t>et_DIFFERENTIATION_AREA</t>
  </si>
  <si>
    <t>et_DIFFERENTIATION_SYSTEM</t>
  </si>
  <si>
    <t>et_ORG_INFO_1</t>
  </si>
  <si>
    <t>et_ORG_INFO_2</t>
  </si>
  <si>
    <t>et_ORG_TERRITORY_MO</t>
  </si>
  <si>
    <t>et_ORG_VD</t>
  </si>
  <si>
    <t>et_ED</t>
  </si>
  <si>
    <t>et_TERMS</t>
  </si>
  <si>
    <t>et_IP_MAIN</t>
  </si>
  <si>
    <t>ip_3</t>
  </si>
  <si>
    <t>Добавить реквизиты</t>
  </si>
  <si>
    <t>et_IP_MAIN_PROPERTY</t>
  </si>
  <si>
    <t>et_IP_DETAILED</t>
  </si>
  <si>
    <t>Добавить источник финансирования</t>
  </si>
  <si>
    <t>Добавить объект инфраструктуры</t>
  </si>
  <si>
    <t>Добавить мероприятие</t>
  </si>
  <si>
    <t>et_IP_DETAILED_OBJECT</t>
  </si>
  <si>
    <t>et_IP_DETAILED_IST_FIN</t>
  </si>
  <si>
    <t>et_IP_DETAILED_EVENT</t>
  </si>
  <si>
    <t>et_QRE</t>
  </si>
  <si>
    <t>Добавить цель</t>
  </si>
  <si>
    <t>et_B_FHD20_1_NOT_HEAT</t>
  </si>
  <si>
    <t>NOTSHOW</t>
  </si>
  <si>
    <t>Территория оказания услуг</t>
  </si>
  <si>
    <t>Централизованная система</t>
  </si>
  <si>
    <t>Информация об объемах товаров и услуг, их стоимости и способах приобретения у организаций, в том числе:</t>
  </si>
  <si>
    <t>Указывается сумма стоимости приобретения товаров и услуг у организаций, сумма оплаты услуг которых превышает 20% суммы расходов на капитальный и текущий ремонт основных производственных средства</t>
  </si>
  <si>
    <t>i</t>
  </si>
  <si>
    <t>отсутствует</t>
  </si>
  <si>
    <t>Добавить поставщика</t>
  </si>
  <si>
    <t>Расходы на услуги производственного характера, выполняемые по договорам с организациями на проведение регламентных работ в рамках технологического процесса. Из них товары и услуги, приобретенные у организаций, сумма оплаты услуг которых превышает 20% суммы расходов по статье:</t>
  </si>
  <si>
    <t>Указывается сумма стоимости приобретения товаров и услуг у организаций, сумма оплаты услуг которых превышает 20% суммы расходов на услуги производственного характера</t>
  </si>
  <si>
    <t>et_B_FHD20_1_HEAT</t>
  </si>
  <si>
    <t>et_B_FHD20_2, _3, _4</t>
  </si>
  <si>
    <t>Итого по поставщику, в том числе</t>
  </si>
  <si>
    <t>х</t>
  </si>
  <si>
    <t>Добавить товар/услугу</t>
  </si>
  <si>
    <t>Добавить способ</t>
  </si>
  <si>
    <t>et_DIFFERENTIATION_TARIFF(_etc)</t>
  </si>
  <si>
    <t>Добавить источник для дифференциации</t>
  </si>
  <si>
    <t>Добавить централизованную систему для дифференциации</t>
  </si>
  <si>
    <t>Добавить территорию для дифференциации</t>
  </si>
  <si>
    <t>Добавить наименование тарифа</t>
  </si>
  <si>
    <t>et_DIFFERENTIATION_TARIFF_NOT_HEAT(_etc)</t>
  </si>
  <si>
    <t>et_DIFFERENTIATION_TKO(_etc)</t>
  </si>
  <si>
    <t>Добавить класс ТКО</t>
  </si>
  <si>
    <t>Добавить вид ТКО</t>
  </si>
  <si>
    <t>Добавить технологическую особенность</t>
  </si>
  <si>
    <t>1.1.1</t>
  </si>
  <si>
    <t>Добавить описание формы публичного договора</t>
  </si>
  <si>
    <t>1.2.1</t>
  </si>
  <si>
    <t>Добавить описание договора</t>
  </si>
  <si>
    <t>1.3</t>
  </si>
  <si>
    <t>сведения о договорах, заключенных в соответствии с частями 2.1 и 2.2 статьи 8 Федерального закона "О теплоснабжении"</t>
  </si>
  <si>
    <t>Статья 8 ФЗ 190-ФЗ_x000D_
2.1. Соглашением сторон договора теплоснабжения и (или) договора поставки тепловой энергии (мощности) и (или) теплоносителя, но не выше цен (тарифов) на соответствующие товары в сфере теплоснабжения, установленных органом регулирования в соответствии с основами ценообразования в сфере теплоснабжения и правилами регулирования цен (тарифов) в сфере теплоснабжения, утвержденными Правительством Российской Федерации, определяются следующие виды цен на товары в сфере теплоснабжения, за исключением тепловой энергии (мощности) и (или) теплоносителя, реализация которых необходима для оказания коммунальных услуг по отоплению и горячему водоснабжению населению и приравненным к нему категориям потребителей:_x000D_
1) цены на тепловую энергию (мощность), производимую и (или) поставляемую с использованием теплоносителя в виде пара теплоснабжающими организациями потребителям, другим теплоснабжающим организациям;_x000D_
2) цены на теплоноситель в виде пара, поставляемый теплоснабжающими организациями потребителям, другим теплоснабжающим организациям;_x000D_
3) цены на тепловую энергию (мощность), теплоноситель, поставляемые теплоснабжающей организацией, владеющей на праве собственности или ином законном основании источником тепловой энергии, потребителю, теплопотребляющие установки которого технологически соединены с этим источником тепловой энергии непосредственно или через тепловую сеть, принадлежащую на праве собственности и (или) ином законном основании указанной теплоснабжающей организации или указанному потребителю, если такие теплопотребляющие установки и такая тепловая сеть не имеют иного технологического соединения с системой теплоснабжения и к тепловым сетям указанного потребителя не присоединены теплопотребляющие установки иных потребителей._x000D_
(часть 2.1 введена Федеральным законом от 01.12.2014 № 404-ФЗ)_x000D_
2.2. С 1 января 2018 года цены, указанные в части 2.1 настоящей статьи, не подлежат регулированию и определяются соглашением сторон договора теплоснабжения и (или) договора поставки тепловой энергии (мощности) и (или) теплоносителя, за исключением случаев:_x000D_
1) реализации тепловой энергии (мощности) и (или) теплоносителя, необходимых для оказания коммунальных услуг по отоплению и горячему водоснабжению населению и приравненным к нему категориям потребителей;_x000D_
2) производства тепловой энергии (мощности), теплоносителя с использованием источника тепловой энергии, установленная мощность которого составляет менее десяти гигакалорий в час, и (или) осуществления поставки теплоснабжающей организацией потребителю тепловой энергии в объеме менее пятидесяти тысяч гигакалорий за 2017 год.</t>
  </si>
  <si>
    <t>Прочие договора</t>
  </si>
  <si>
    <t>2.0</t>
  </si>
  <si>
    <t>Добавить сведения</t>
  </si>
  <si>
    <t>Сведения об условиях договоров на оказание услуг по транспортированию твердых коммунальных отходов</t>
  </si>
  <si>
    <t xml:space="preserve"> Форма договора на оказание услуг</t>
  </si>
  <si>
    <t>2.1.1</t>
  </si>
  <si>
    <t>Указывается форма договора, используемая организацией, в виде ссылки на документ, предварительно загруженный в хранилище файлов ФГИС ЕИАС, либо ссылка на официальный сайт в сети "Интернет", на котором размещена информация._x000D_
В случае наличия нескольких форм таких договоров информация по каждой из них указывается в отдельной строке.</t>
  </si>
  <si>
    <t>Добавить описание формы договора</t>
  </si>
  <si>
    <t>Указывается наименование тарифа в случае утверждения нескольких тарифов._x000D_
В случае наличия нескольких тарифов информация по ним указывается в отдельных строках.</t>
  </si>
  <si>
    <t>Территория действия тарифа</t>
  </si>
  <si>
    <t>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</si>
  <si>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 xml:space="preserve">Наименование системы теплоснабжения </t>
  </si>
  <si>
    <t>Указывается наименование системы теплоснабжения при наличии дифференциации тарифа по системам теплоснабжения._x000D_
В случае дифференциации тарифов по системам теплоснабжения информация по ним указывается в отдельных строках.</t>
  </si>
  <si>
    <t xml:space="preserve">Источник тепловой энергии  </t>
  </si>
  <si>
    <t>Указывается наименование источника тепловой энергии_x000D_
В случае дифференциации тарифов по источникам тепловой энергии информация по ним указывается в отдельных строках.</t>
  </si>
  <si>
    <t>SCHEME</t>
  </si>
  <si>
    <t>Схема подключения теплопотребляющей установки к коллектору источника тепловой энергии</t>
  </si>
  <si>
    <t>Указывается схема подключения теплопотребляющей установки к коллектору источника тепловой энергии только для тарифов на тепловую энергию и за услуги по поддержанию резервной мощности_x000D_
Значение выбирается из перечня:_x000D_
   - без дифференциации_x000D_
   - к коллектору источника тепловой энергии_x000D_
   - к тепловой сети без дополнительного преобразования на тепловых пунктах, эксплуатируемых теплоснабжающей организацией_x000D_
   - к тепловой сети после тепловых пунктов (на тепловых пунктах), эксплуатируемых теплоснабжающей организацией_x000D_
В случае дифференциации тарифов по схемам подключения теплопотребляющей установки к коллектору источника тепловой энергии информация по ним указывается в отдельных строках.</t>
  </si>
  <si>
    <t>GROUP_CONSUMER</t>
  </si>
  <si>
    <t>Группа потребителей</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</si>
  <si>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группам потребителей информация по ним указывается в отдельных строках.</t>
  </si>
  <si>
    <t>TN</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</si>
  <si>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 Информация в колонке «Ставка за содержание тепловой мощности, тыс. руб./Гкал/ч/мес» указывается только для тарифа по поддержанию резервной мощности._x000D_
В случае дифференциации тарифов по периодам действия тарифа информация по ним указывается в отдельных колонках._x000D_
В случае дифференциации тарифов по видам теплоносителя информация по ним указывается в отдельных строках.</t>
  </si>
  <si>
    <t>Добавить вид теплоносителя (параметры теплоносителя)</t>
  </si>
  <si>
    <t>Добавить группу потребителей</t>
  </si>
  <si>
    <t>Добавить схему подключения</t>
  </si>
  <si>
    <t>PERIOD_FROM_FIRST_ROW</t>
  </si>
  <si>
    <t>FLAG_BLOCK_COLUMN</t>
  </si>
  <si>
    <t>SPR</t>
  </si>
  <si>
    <t>FLAG_START_DATE</t>
  </si>
  <si>
    <t>FLAG_ETC_PERIOD</t>
  </si>
  <si>
    <t>FLAG_END_DATE</t>
  </si>
  <si>
    <t>Дата документа об утверждении тарифов</t>
  </si>
  <si>
    <t>Номер документа об утверждении тарифов</t>
  </si>
  <si>
    <t>Дата подачи заявления об утверждении тарифов</t>
  </si>
  <si>
    <t>Номер подачи заявления об утверждении тарифов</t>
  </si>
  <si>
    <t>dp</t>
  </si>
  <si>
    <t>Параметр дифференциации тарифа</t>
  </si>
  <si>
    <t>Величина и срок действия тарифа</t>
  </si>
  <si>
    <t>Наличие других периодов действия тарифа</t>
  </si>
  <si>
    <t>Наличие других сроков действия тарифа</t>
  </si>
  <si>
    <t>Добавить срок действия</t>
  </si>
  <si>
    <t>Одноставочный тариф,_x000D_
руб./Гкал</t>
  </si>
  <si>
    <t>Ставка за содержание тепловой мощности,_x000D_
тыс. руб./Гкал/ч/мес.</t>
  </si>
  <si>
    <t>Двухставочный тариф</t>
  </si>
  <si>
    <t>Срок действия</t>
  </si>
  <si>
    <t>NUM_NTAR</t>
  </si>
  <si>
    <t>NUM_TER</t>
  </si>
  <si>
    <t>NUM_CS</t>
  </si>
  <si>
    <t>NUM_IST_TE</t>
  </si>
  <si>
    <t>NUM_SCHEME</t>
  </si>
  <si>
    <t>NUM_GC</t>
  </si>
  <si>
    <t>NUM_TN</t>
  </si>
  <si>
    <t>ставка за тепловую энергию,_x000D_
руб./Гкал</t>
  </si>
  <si>
    <t>ставка за содержание тепловой мощности,_x000D_
тыс. руб./Гкал/ч/мес</t>
  </si>
  <si>
    <t>дата начала</t>
  </si>
  <si>
    <t>дата окончания</t>
  </si>
  <si>
    <t>&lt;1&gt;</t>
  </si>
  <si>
    <t>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регулирования тарифов, принявшего решение об утверждении тарифа, дата и номер документа об утверждении тарифа, источник официального опубликования решения.</t>
  </si>
  <si>
    <t>По данной форме раскрывается в том числе информация об индикативном предельном уровне цены на тепловую энергию (мощность), которые определены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постановлением Правительства Российской Федерации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 о графике поэтапного равномерного доведения предельного уровня цены на тепловую энергию (мощность) до уровня, определяемого в соответствии с указанными Правилами., а также  информация о тарифах на товары (услуги) в сфере теплоснабжения в случаях, указанных в частях 12.1 – 12.4 статьи 10 Федерального закона от 27.07.2010 № 190-ФЗ «О теплоснабжении» (далее – Федеральный закон № 190-ФЗ), теплоснабжающей организации, теплосетевой организации в ценовых зонах теплоснабжения.</t>
  </si>
  <si>
    <t xml:space="preserve">Для каждого вида тарифа в сфере теплоснабжения форма заполняется отдельно. При размещении информации по данной форме дополнительно указывается дата подачи заявления об утверждении тарифа и его номер. </t>
  </si>
  <si>
    <t>По этой форме раскрывается информация о расчетной величине тарифов в сфере теплоснабжения на товары (услуги) в случаях, указанных в частях 12.1 - 12.4 статьи 10 Федерального закона "О теплоснабжении"</t>
  </si>
  <si>
    <t>В случае представления регулируемой организацией по своей инициативе в исполнительный орган субъекта Российской Федерации в области государственного регулирования цен (тарифов) дополнительных документов и материалов к предложению об установлении цен (тарифов) в сфере теплоснабжения указанная в абзаце первом настоящего пункта информация в части, содержащейся в таких дополнительных документах и материалах, раскрывается регулируемой организацией в течение 7 дней со дня их представления</t>
  </si>
  <si>
    <t>Период действия</t>
  </si>
  <si>
    <t xml:space="preserve">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регулирования тарифов, принявшего решение об утверждении тарифа, дата и номер документа об утверждении тарифа, источник официального опубликования решения._x000D_
</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</si>
  <si>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тариф колонка "Одноставочный тариф" не заполняется._x000D_
При подаче утверждении одноставочного тарифа колонки в блоке "Двухставочный тариф" не заполняются.Информация в колонке "Двухставочный тариф" не указывается для тарифа на теплоноситель._x000D_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"Нет".В случае дифференциации тарифов по видам теплоносителя информация по ним указывается в отдельных строках.</t>
  </si>
  <si>
    <t>Для каждого вида тарифа в сфере теплоснабжения форма заполняется отдельно. При размещении информации по данной форме дополнительно указывается дата подачи заявления об утверждении тарифа и его номер.</t>
  </si>
  <si>
    <t>При размещении информации по данной форме дополнительно указываются: наименование органа регулирования тарифов, принявшего решение об утверждении установлении цены (тарифа) в сфере теплоснабжения, реквизиты (дата и номер) решения документа об установлении цены (тарифа), источник официального опубликования решения об установлении цены (тарифа) в сфере теплоснабжения.</t>
  </si>
  <si>
    <t>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Федерального закона № 190-ФЗ, а также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Федерального закона № 190-ФЗ.</t>
  </si>
  <si>
    <t>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Федерального закона № 190-ФЗ.</t>
  </si>
  <si>
    <t>По данной форме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Федерального закона № 190-ФЗ.</t>
  </si>
  <si>
    <t>Указывается вид теплоносителя. 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В случае дифференциации тарифов по видам теплоносителя информация по ним указывается в отдельных строках.</t>
  </si>
  <si>
    <t>В колонке "Параметр дифференциации тарифов" указывается наименование поставщика в случае наличия дифференциации компонента двухставочного тарифа на горячую воду по поставщикам._x000D_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заполняются._x000D_
В случае отсутствия разбивки тарифа на компоненты колонки "Компонент на теплоноситель, руб./куб. м" и "Одноставочный компонент на тепловую энергию, руб/Гкал" не заполняются._x000D_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"Нет"._x000D_
В случае дифференциации тарифов по поставщикам информация по ним указывается в отдельных строках.</t>
  </si>
  <si>
    <t>Добавить наименование поставщика</t>
  </si>
  <si>
    <t>Одноставочный тариф на горячую воду,_x000D_
руб./куб. м</t>
  </si>
  <si>
    <t>Двухкомпонентный тариф на горячую воду</t>
  </si>
  <si>
    <t>Компонент на теплоноситель,_x000D_
руб./куб. м</t>
  </si>
  <si>
    <t>Компонента на тепловую энергию</t>
  </si>
  <si>
    <t>Одноставочный компонент тарифа на тепловую энергию,_x000D_
руб/Гкал</t>
  </si>
  <si>
    <t>Двухставочный компонент тарифа на тепловую энергию</t>
  </si>
  <si>
    <t>NUM_CONS</t>
  </si>
  <si>
    <t>ставка за потребление горячей воды,_x000D_
руб./куб. м</t>
  </si>
  <si>
    <t>ставка за содержание тепловой мощности в компоненте на тепловую энергию,_x000D_
тыс. руб./Гкал/ч в мес.</t>
  </si>
  <si>
    <t>По данной форме раскрывается в том числе информация о тарифах на товары (услуги) в сфере теплоснабжения в случаях, указанных в частях 12.1 - 12.4 статьи 10 Федерального закона № 190-ФЗ, теплоснабжающей организации, теплосетевой организации в ценовых зонах теплоснабжения.</t>
  </si>
  <si>
    <t>По данной форме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</si>
  <si>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В колонке "Параметр дифференциации тарифа/Заявитель"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</si>
  <si>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диапазон диаметров тепловых сетей</t>
  </si>
  <si>
    <t>Добавить тип прокладки тепловых сетей</t>
  </si>
  <si>
    <t>Добавить подключаемую тепловую нагрузку</t>
  </si>
  <si>
    <t>Добавить строку</t>
  </si>
  <si>
    <t>FLAG</t>
  </si>
  <si>
    <t>LOAD</t>
  </si>
  <si>
    <t>NETS</t>
  </si>
  <si>
    <t>DIAMETERS</t>
  </si>
  <si>
    <t>Подключаемая тепловая нагрузка,_x000D_
куб. Гкал/ч</t>
  </si>
  <si>
    <t>Тип прокладки тепловых сетей</t>
  </si>
  <si>
    <t>Диаметр тепловых сетей,_x000D_
мм</t>
  </si>
  <si>
    <t>Плата за подключение (технологическое присоединение),_x000D_
тыс. руб./Гкал/ч (руб.)</t>
  </si>
  <si>
    <t>с НДС</t>
  </si>
  <si>
    <t>без НДС</t>
  </si>
  <si>
    <t>При размещении информации по данной форме дополнительно указываются: наименование органа регулирования тарифов,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t>
  </si>
  <si>
    <t>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 23.4 Федерального закона № 190-ФЗ.</t>
  </si>
  <si>
    <t>Период действия тарифа</t>
  </si>
  <si>
    <t>Добавить период</t>
  </si>
  <si>
    <t>Добавить источник тепловой энергии</t>
  </si>
  <si>
    <t>Добавить наименование системы теплоснабжения</t>
  </si>
  <si>
    <t>pt_vtar_3</t>
  </si>
  <si>
    <t>pt_ntar_4p</t>
  </si>
  <si>
    <t>pt_ter_4p</t>
  </si>
  <si>
    <t>pt_cs_4p</t>
  </si>
  <si>
    <t>pt_ist_te_4p</t>
  </si>
  <si>
    <t>pt_vtar_4p</t>
  </si>
  <si>
    <t>pt_ntar_4i</t>
  </si>
  <si>
    <t>pt_ter_4i</t>
  </si>
  <si>
    <t>pt_cs_4i</t>
  </si>
  <si>
    <t>pt_ist_te_4i</t>
  </si>
  <si>
    <t>pt_vtar_4i</t>
  </si>
  <si>
    <r>
      <t>Форма 4.2.5 Информация о плате за подключение к системе теплоснабжения в индивидуальном порядке</t>
    </r>
    <r>
      <rPr>
        <charset val="204"/>
        <family val="2"/>
        <rFont val="Tahoma"/>
        <sz val="10"/>
        <vertAlign val="superscript"/>
      </rPr>
      <t>1</t>
    </r>
  </si>
  <si>
    <t>NDS</t>
  </si>
  <si>
    <t>woNDS</t>
  </si>
  <si>
    <t>Заявитель</t>
  </si>
  <si>
    <t>Наименование объекта, адрес</t>
  </si>
  <si>
    <t>Подключаемая тепловая нагрузка, Гкал/ч</t>
  </si>
  <si>
    <t>Плата за подключение (технологическое присоединение), тыс. руб./Гкал/ч (руб.)</t>
  </si>
  <si>
    <t>Указывается наименование источника тепловой энергии.</t>
  </si>
  <si>
    <t>В колонке «Заявитель» указывается наименование заявителя,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категориям потребителей/заявителям информация по ним указывается в отдельных строках._x000D_
В случае дифференциации по периодам действия тарифа информация по ним указывается в отдельных колонках.</t>
  </si>
  <si>
    <t xml:space="preserve">При размещении информации по данной форме дополнительно указываются: наименование органа регулирования тарифов, принявшего решение об утверждении тарифа, дата и номер документа об утверждении тарифа, источник официального опубликования решения._x000D_
_x000D_
По данной форме раскрывается в том числе информация о тарифах на товары (услуги) в сфере теплоснабжения в случаях, указанных в частях 12.1 - 12.4 статьи 10 Федерального закона № 190-ФЗ, теплоснабжающей организации, теплосетевой организации в ценовых зонах теплоснабжения._x000D_
</t>
  </si>
  <si>
    <t>наименование НПА</t>
  </si>
  <si>
    <t>контактный телефон службы</t>
  </si>
  <si>
    <t>адрес службы</t>
  </si>
  <si>
    <t>график работы службы</t>
  </si>
  <si>
    <t>c 01:03 до 18:55</t>
  </si>
  <si>
    <t>Информация о размещении данных на сайте регулируемой организации</t>
  </si>
  <si>
    <t>дата размещения информации</t>
  </si>
  <si>
    <t>Дата размещения информации указывается в виде «ДД.ММ.ГГГГ».</t>
  </si>
  <si>
    <t>адрес страницы сайта в сети «Интернет» и ссылка на документ</t>
  </si>
  <si>
    <t>В колонке «Информация» указывается адрес страницы сайта в сети «Интернет», на которой размещена информация._x000D_
В колонке «Ссылка на документ» указывается ссылка на скриншот страницы сайта в сети «Интернет», предварительно загруженный в хранилище файлов ФГИС ЕИАС, на которой размещена информация.</t>
  </si>
  <si>
    <t xml:space="preserve">Указывается ссылка на документ, предварительно загруженный в хранилище файлов ФГИС ЕИАС._x000D_
В случае наличия дополнительных сведений информация по ним указывается в отдельных строках._x000D_
</t>
  </si>
  <si>
    <t>В колонке «Информация» указывается полное наименование и реквизиты НПА._x000D_
В случае наличия нескольких НПА каждое из них указывается в отдельной строке.</t>
  </si>
  <si>
    <t>Указывается номер контактного телефона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номеров телефонов, информация по каждому из них указывается в отдельной строке.</t>
  </si>
  <si>
    <t>5.2.1</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</si>
  <si>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 Данные указываются согласно наименованиям адресных объектов в ФИАС._x000D_
В случае наличия нескольких служб и (или) адресов, информация по каждому из них указывается в отдельной строке.</t>
  </si>
  <si>
    <t>5.3.1</t>
  </si>
  <si>
    <t>Указывается график работы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графиков работы, информация по каждому из них указывается в отдельной строке.</t>
  </si>
  <si>
    <t>В колонке «Информация» указывается описательная информация, характеризующая размещаемые данные._x000D_
В колонке «Ссылка на документ» указывается либо ссылка на документ, предварительно загруженный в хранилище файлов ФГИС ЕИАС, либо ссылка на официальный сайт в сети «Интернет», на котором размещена информация.</t>
  </si>
  <si>
    <t xml:space="preserve"> Указываются сведения о закупках, сумма стоимости приобретения товаров и услуг по которым превышает 20% суммы от плановой НВВ на очередной период регулирования.</t>
  </si>
  <si>
    <t>Форма 13.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t>
  </si>
  <si>
    <t>Единица измерения</t>
  </si>
  <si>
    <t>Количество аварий на тепловых сетях</t>
  </si>
  <si>
    <t>ед. на км</t>
  </si>
  <si>
    <t>Указывается количество любых нарушений на тепловых сетях в расчете на один километр трубопровода.</t>
  </si>
  <si>
    <t>Количество аварий на источниках тепловой энергии</t>
  </si>
  <si>
    <t>ед. на источник</t>
  </si>
  <si>
    <t>Указывается количество любых нарушений на источниках тепловой энергии</t>
  </si>
  <si>
    <t>Показатели надежности и качества,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</si>
  <si>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надежности и качества, предварительно загруженный в хранилище данных ФГИС ЕИАС._x000D_
В случае, если показатели надежности и качества не утверждены в колонке «Информация» указывается «Не утверждены»._x000D_
Информация в данной строке не указывается теплоснабжающими организациями, теплосетевыми организациями в ценовых зонах теплоснабжения.</t>
  </si>
  <si>
    <t>Сведения о несоблюдении значений параметров качества теплоснабжения и (или) параметров, отражающих допустимые перерывы в теплоснабжении</t>
  </si>
  <si>
    <t>Информация в строках 4.1 – 4.3 указывается в случае, если организация имеет статус единой теплоснабжающей организации.</t>
  </si>
  <si>
    <t>количество составленных актов, подтверждающих факт превышения разрешенных отклонений значений параметров</t>
  </si>
  <si>
    <t>шт.</t>
  </si>
  <si>
    <t>средняя продолжительность устранения превышения разрешенных отклонений значений параметров</t>
  </si>
  <si>
    <t>дн.</t>
  </si>
  <si>
    <t>4.3</t>
  </si>
  <si>
    <t>совокупная величина снижения размера платы за тепловую энергию (мощность) потребителям в связи с превышением разрешенных отклонений значений параметров</t>
  </si>
  <si>
    <t>руб.</t>
  </si>
  <si>
    <t>Доля числа исполненных в срок договоров о подключении</t>
  </si>
  <si>
    <t>%</t>
  </si>
  <si>
    <t>Указывается процент общего количества заключенных договоров о подключении (технологическом присоединении)._x000D_
Информация в данной строке не указывается теплоснабжающими организациями, теплосетевыми организациями в ценовых зонах теплоснабжения.</t>
  </si>
  <si>
    <t>Средняя продолжительность рассмотрения заявлений о подключении</t>
  </si>
  <si>
    <t>Гкал/час</t>
  </si>
  <si>
    <t>Информация в данной строке не указывается теплоснабжающими организациями, теплосетевыми организациями в ценовых зонах теплоснабжения.</t>
  </si>
  <si>
    <t>ед</t>
  </si>
  <si>
    <t>5.0</t>
  </si>
  <si>
    <t>Добавить систему</t>
  </si>
  <si>
    <t>Наименование выведенного источника тепловой энергии</t>
  </si>
  <si>
    <t>В случае вывода из эксплуатации нескольких источников тепловой энергии информация по каждому из них указывается в отдельно.</t>
  </si>
  <si>
    <t>Дата вывода</t>
  </si>
  <si>
    <t>Дата вывода указывается в виде «ДД.ММ.ГГГГ».</t>
  </si>
  <si>
    <t>Наименование тепловой сети</t>
  </si>
  <si>
    <t>В случае вывода из эксплуатации нескольких тепловых сетей информация по каждой из них указывается в отдельно.</t>
  </si>
  <si>
    <t>Описание ограничения подачи тепловой энергии потребителям</t>
  </si>
  <si>
    <t>Дата начала ограничения</t>
  </si>
  <si>
    <t>Дата начала ограничения указывается в виде «ДД.ММ.ГГГГ».</t>
  </si>
  <si>
    <t>Дата завершения ограничения</t>
  </si>
  <si>
    <t>Дата завершения ограничения указывается в виде «ДД.ММ.ГГГГ».</t>
  </si>
  <si>
    <t>Описание прекращения режима потребления</t>
  </si>
  <si>
    <t>В колонке «Ссылка на документ» указывается материал в виде ссылки на документ, обосновывающий прекращение подачи тепловой энергии потребителям, предварительно загруженный в хранилище данных ФГИС ЕИАС.</t>
  </si>
  <si>
    <t>Дата прекращения</t>
  </si>
  <si>
    <t>Дата прекращения указывается в виде «ДД.ММ.ГГГГ».</t>
  </si>
  <si>
    <t>Форма 13.1. Информация о выводе объектов теплоснабжения из эксплуатации и основаниях ограничения, прекращения подачи тепловой энергии потребителям</t>
  </si>
  <si>
    <t>1.0</t>
  </si>
  <si>
    <t>Сведения о выводе источников тепловой энергии из эксплуатации</t>
  </si>
  <si>
    <t>Сведения о выводе тепловых сетей из эксплуатации</t>
  </si>
  <si>
    <t>Добавить тепловую сеть</t>
  </si>
  <si>
    <t>3.0</t>
  </si>
  <si>
    <t>Сведения об основаниях ограничения подачи тепловой энергии</t>
  </si>
  <si>
    <t>Осуществлялось</t>
  </si>
  <si>
    <t>В случае, если ограничения подачи тепловой энергии тепловой энергии не происходили, в колонке «Информация» указывается «Не осуществлялось»._x000D_
Указывается информация о случаях ограничения подачи тепловой энергии потребителям в случаях, предусмотренных законодательством в сфере теплоснабжения._x000D_
В неоднократных ограничений подачи потребления тепловой энергии потребителями информация по каждому случаю указывается отдельно.</t>
  </si>
  <si>
    <t>Добавить ограничение подачи ТЭ</t>
  </si>
  <si>
    <t>4.0</t>
  </si>
  <si>
    <t>Сведения об основаниях прекращения подачи тепловой энергии потребителям</t>
  </si>
  <si>
    <t>В случае, если прекращения подачи тепловой энергии потребителям не происходили, в колонке «Информация» указывается «Не осуществлялось»._x000D_
Указывается информация о случаях прекращения подачи тепловой энергии потребителям, предусмотренных законодательством в сфере теплоснабжения._x000D_
В случае нескольких прекращений подачи тепловой энергии потребителям информация по каждому случаю указывается отдельно.</t>
  </si>
  <si>
    <t>Добавить прекращение подачи ТЭ</t>
  </si>
  <si>
    <r>
      <t>Форма 4.10.1 Информация о предложении регулируемой организацией об установлении тарифов в сфере теплоснабжения на очередной период регулирования</t>
    </r>
    <r>
      <rPr>
        <charset val="204"/>
        <family val="2"/>
        <rFont val="Tahoma"/>
        <sz val="10"/>
        <vertAlign val="superscript"/>
      </rPr>
      <t>1</t>
    </r>
  </si>
  <si>
    <t>Описание параметров -&gt;</t>
  </si>
  <si>
    <t>Период действия тарифов</t>
  </si>
  <si>
    <t>по</t>
  </si>
  <si>
    <t>Копия инвестиционной программы, утвержденной в установленном законодательством Российской Федерации порядке, а до ее утверждения копия проекта инвестиционной программы</t>
  </si>
  <si>
    <t>Заполняется в случае наличия инвестиционной программы (проекта инвестиционной программы) в отчетном периоде._x000D_
В колонке «Информация» указывается наименование инвестиционной программы._x000D_
В колонке «Ссылка на документ» указывается ссылка на документ, предварительно загруженный в хранилище файлов ФГИС ЕИАС.</t>
  </si>
  <si>
    <t>Предлагаемый метод регулирования</t>
  </si>
  <si>
    <t>Значение в колонке «Вид тарифа» выбирается из перечня видов тарифов в сфере теплоснабжения, предусмотренных законодательством в сфере теплоснабжения._x000D_
Значение в колонке «Информация» выбирается из перечня: Метод экономически обоснованных расходов (затрат); Метод индексации установленных тарифов; Метод обеспечения доходности инвестированного капитала; Метод сравнения аналогов._x000D_
Даты начала и окончания периода действия тарифов указывается в виде «ДД.ММ.ГГГГ»._x000D_
В случае дифференциации предлагаемых методов регулирования видам тарифов и (или) по периодам действия тарифов информация по каждому из них указывается в отдельной строке.</t>
  </si>
  <si>
    <t>Добавить ВТ</t>
  </si>
  <si>
    <t>Долгосрочные параметры регулирования (в случае если их установление предусмотрено выбранным методом регулирования)</t>
  </si>
  <si>
    <t>Долгосрочные параметры регулирования указываются в случае выбора любого метода регулирования за исключением метода экономически обоснованных затрат в виде ссылки на документ, предварительно загруженный в хранилище файлов ФГИС ЕИАС.</t>
  </si>
  <si>
    <t>Необходимая валовая выручка на соответствующий период, в том числе с разбивкой по годам</t>
  </si>
  <si>
    <t>Значение в колонке «Вид тарифа» выбирается из перечня видов тарифов в сфере теплоснабжения, предусмотренных законодательством в сфере теплоснабжения._x000D_
Даты начала и окончания периода действия тарифов указывается в виде «ДД.ММ.ГГГГ»._x000D_
Величина необходимой валовой выручки указывается в колонке «Информация» в тыс. руб._x000D_
В случае дифференциации необходимой валовой выручки по видам тарифов и (или) по периодам действия тарифов информация указывается в отдельных строках.</t>
  </si>
  <si>
    <t>Годовой объем полезного отпуска тепловой энергии (теплоносителя)</t>
  </si>
  <si>
    <t>Значение в колонке «Вид тарифа» выбирается из перечня видов тарифов в сфере теплоснабжения, предусмотренных законодательством в сфере теплоснабжения_x000D_
Даты начала и окончания периода действия тарифов указывается в виде «ДД.ММ.ГГГГ»._x000D_
Величина годового объема полезного отпуска тепловой энергии (теплоносителя) указывается в колонке «Информация» в тыс. Гкал._x000D_
В случае дифференциации объема полезного отпуска тепловой энергии (теплоносителя) по видам тарифов и (или) по периодам действия тарифов информация указывается в отдельных строках.</t>
  </si>
  <si>
    <t xml:space="preserve">Размер недополученных доходов регулируемой организацией (при их наличии), исчисленный в соответствии с Основами ценообразования в сфере теплоснабжения, утвержденными постановлением Правительства Российской Федерации от 22 октября 2012 г. N 1075 "О ценообразовании в сфере теплоснабжения" </t>
  </si>
  <si>
    <t>Значение в колонке «Вид тарифа» выбирается из перечня видов тарифов в сфере теплоснабжения, предусмотренных законодательством в сфере теплоснабжения._x000D_
Даты начала и окончания периода действия тарифов указывается в виде «ДД.ММ.ГГГГ»._x000D_
Величина недополученных доходов регулируемой организации указывается в колонке «Информация» в тыс. руб. _x000D_
В случае отсутствия недополученных доходов регулируемой организацией, исчисленных в соответствии с законодательством в сфере теплоснабжения, указывается значение 0._x000D_
В случае дифференциации недополученных доходов регулируемой организацией по видам тарифов и (или) по периодам действия тарифов информация указывается в отдельных строках.</t>
  </si>
  <si>
    <t>Размер экономически обоснованных расходов, не учтенных при установлении регулируемых цен (тарифов) в предыдущий период регулирования (при их наличии), определенном в соответствии с законодательством в сфере теплоснабжения</t>
  </si>
  <si>
    <t>7.1</t>
  </si>
  <si>
    <t>Значение в колонке «Вид тарифа» выбирается из перечня видов тарифов в сфере теплоснабжения, предусмотренных законодательством в сфере теплоснабжения._x000D_
Даты начала и окончания периода действия тарифов указывается в виде «ДД.ММ.ГГГГ»._x000D_
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_x000D_
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теплоснабжения, указывается значение 0._x000D_
В случае дифференциации экономически обоснованных расходов по видам тарифов и (или) по периодам действия тарифов информация указывается в отдельных строках.</t>
  </si>
  <si>
    <t>При размещении информации по данной форме дополнительно указывается дата подачи заявления об утверждении тарифа и его номер.</t>
  </si>
  <si>
    <t>Наименование централизованной системы холодного водоснабжения</t>
  </si>
  <si>
    <t>Указывается наименование централизованной системы холодного водоснабжения при наличии дифференциации тарифа по централизованным системам холодного водоснабжения._x000D_
В случае дифференциации тарифов по централизованным системам холодного водоснабжения информация по ним указывается в отдельных строках.</t>
  </si>
  <si>
    <t>Наименование признака дифференциации</t>
  </si>
  <si>
    <t>Указывается наименование дополнительного признака дифференциации (при наличии)._x000D_
Дифференциация тарифа осуществляется в соответствии с законодательством в сфере водоснабжения и водоотведения._x000D_
В случае дифференциации тарифов по дополнительным признакам информация по ним указывается в отдельных строках.</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</si>
  <si>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по группам потребителей информация по ним указывается в отдельных строках.</t>
  </si>
  <si>
    <t>Добавить значение признака дифференциации</t>
  </si>
  <si>
    <t>В случае наличия нескольких значений признака дифференциации тарифов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</si>
  <si>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наименование признака дифференциации</t>
  </si>
  <si>
    <t>Одноставочный тариф</t>
  </si>
  <si>
    <t>NUM_FLAG_DIFF</t>
  </si>
  <si>
    <t>NUM_DATA_DIFF</t>
  </si>
  <si>
    <t>Одноставочный тариф,_x000D_
руб./куб. м</t>
  </si>
  <si>
    <t>ставка платы за объем поданной воды,_x000D_
руб./куб. м</t>
  </si>
  <si>
    <t>ставка платы за содержание мощности,_x000D_
руб./куб. м в час</t>
  </si>
  <si>
    <t>pt_ist_te_9</t>
  </si>
  <si>
    <t>Для каждого вида тарифа в сфере холодного водоснабжения форма заполняется отдельно. При размещении информации по данной форме дополнительно указываются сведения: наименование органа регулирования тарифов, принявшего решение об установлении тарифа, реквизиты (дата и номер) решения об установлении тарифа, источник официального опубликования решения об установлении тарифа.</t>
  </si>
  <si>
    <t>Для каждого вида тарифа в сфере холодного водоснабжения форма заполняется отдельно. При размещении информации по данной форме дополнительно указывается дата подачи заявления об утверждении тарифа и его номер.</t>
  </si>
  <si>
    <t>pt_ist_te_10</t>
  </si>
  <si>
    <t>pt_ist_te_11</t>
  </si>
  <si>
    <t>pt_ist_te_12</t>
  </si>
  <si>
    <t>В колонке "Параметр дифференциации тарифа/Заявитель" указывается наименование категории потребителей/заявителя,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дифференциации по категориям потребителей/заявителям, подключаемой нагрузке, диапазону диаметров, протяженности, условиям прокладки водопроводной сети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</si>
  <si>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условия прокладки сетей</t>
  </si>
  <si>
    <t>Добавить протяженность водопроводной сети</t>
  </si>
  <si>
    <t>Добавить диапазон диаметров водопроводной сети</t>
  </si>
  <si>
    <t>Добавить подключаемую нагрузку</t>
  </si>
  <si>
    <t>DIAMETERS_2</t>
  </si>
  <si>
    <t>Параметр дифференциации тарифа/Заявитель/Наименование объекта/Адрес</t>
  </si>
  <si>
    <t>Подключаемая нагрузка водопроводной сети,_x000D_
куб. м/сут</t>
  </si>
  <si>
    <t>Диапазон диаметров водопроводной сети,_x000D_
мм</t>
  </si>
  <si>
    <t>Протяженность водопроводной сети,_x000D_
км</t>
  </si>
  <si>
    <t>Условия прокладки сетей</t>
  </si>
  <si>
    <t>Ставка тарифа за подключаемую нагрузку водопроводной сети,_x000D_
тыс. руб./куб. м в сутки</t>
  </si>
  <si>
    <t>Ставка тарифа за протяженность водопроводной сети диаметром d,_x000D_
тыс. руб./км</t>
  </si>
  <si>
    <t>Срок действия тарифов</t>
  </si>
  <si>
    <t>pt_ist_te_13</t>
  </si>
  <si>
    <t>При размещении информации по данной форме дополнительно указываются сведения: наименование органа регулирования тарифов, принявшего решение об утверждении установлении тарифа, реквизиты (дата и номер) решения документа об утверждении установлении тарифа, источник официального опубликования решения об установлении тарифа.</t>
  </si>
  <si>
    <t>vt</t>
  </si>
  <si>
    <t>общая стоимость</t>
  </si>
  <si>
    <t>объём</t>
  </si>
  <si>
    <t>стоимость за единицу объёма</t>
  </si>
  <si>
    <t>тыс. руб.</t>
  </si>
  <si>
    <t>стоимость доставки</t>
  </si>
  <si>
    <t>способ приобретения</t>
  </si>
  <si>
    <t>кг у. т./Гкал</t>
  </si>
  <si>
    <t>кг усл. топл./Гкал</t>
  </si>
  <si>
    <t>p</t>
  </si>
  <si>
    <t>HEAT_P1</t>
  </si>
  <si>
    <t>Добавить вид топлива</t>
  </si>
  <si>
    <t>HOTVSNA_P1</t>
  </si>
  <si>
    <t>тыс. кВт·ч</t>
  </si>
  <si>
    <t>HEAT_P6</t>
  </si>
  <si>
    <t>NOT_HOTVSNA</t>
  </si>
  <si>
    <t>NOT_HEAT_P1</t>
  </si>
  <si>
    <t>Добавить прочие расходы</t>
  </si>
  <si>
    <t>HEAT_P2</t>
  </si>
  <si>
    <t>NOT_HEAT_P2</t>
  </si>
  <si>
    <t>COLDVSNA_P1</t>
  </si>
  <si>
    <t>тыс. куб. м</t>
  </si>
  <si>
    <t>HOTVSNA_P2</t>
  </si>
  <si>
    <t>VOTV_P1</t>
  </si>
  <si>
    <t>HEAT_P3</t>
  </si>
  <si>
    <t>hyp</t>
  </si>
  <si>
    <t>тыс. Гкал/год</t>
  </si>
  <si>
    <t>человек</t>
  </si>
  <si>
    <t>HEAT_P4</t>
  </si>
  <si>
    <t>VSNA</t>
  </si>
  <si>
    <t>тыс. кВт·ч на тыс. куб. м</t>
  </si>
  <si>
    <t>COLDVSNA_P2</t>
  </si>
  <si>
    <t>Добавить производственный объект</t>
  </si>
  <si>
    <t>HEAT_P5</t>
  </si>
  <si>
    <t>тыс. кВт.ч/Гкал</t>
  </si>
  <si>
    <t>куб.м/Гкал</t>
  </si>
  <si>
    <t>Способ приобретения</t>
  </si>
  <si>
    <t>Реквизиты договора</t>
  </si>
  <si>
    <t>Наименование товара/услуги</t>
  </si>
  <si>
    <t>Объем приобретенных товаров, услуг</t>
  </si>
  <si>
    <t>Единица измерения объема</t>
  </si>
  <si>
    <t>Стоимость, тыс. руб.</t>
  </si>
  <si>
    <t>Доля расходов, % (от суммы расходов по указанной статье)</t>
  </si>
  <si>
    <t>111</t>
  </si>
  <si>
    <t>1111</t>
  </si>
  <si>
    <t>11111</t>
  </si>
  <si>
    <t>111111</t>
  </si>
  <si>
    <t>1111111</t>
  </si>
  <si>
    <t>11111111</t>
  </si>
  <si>
    <t>111111111</t>
  </si>
  <si>
    <t>1111111111</t>
  </si>
  <si>
    <t>11111111111</t>
  </si>
  <si>
    <t>111111111111</t>
  </si>
  <si>
    <t>1111111111111</t>
  </si>
  <si>
    <t>11111111111111</t>
  </si>
  <si>
    <t>111111111111111</t>
  </si>
  <si>
    <t>1111111111111111</t>
  </si>
  <si>
    <t>11111111111111111</t>
  </si>
  <si>
    <t>111111111111111111</t>
  </si>
  <si>
    <t>1111111111111111111</t>
  </si>
  <si>
    <t>11111111111111111111</t>
  </si>
  <si>
    <t>111111111111111111111</t>
  </si>
  <si>
    <t>1111111111111111111111</t>
  </si>
  <si>
    <t>11111111111111111111111</t>
  </si>
  <si>
    <t>111111111111111111111111</t>
  </si>
  <si>
    <t>1111111111111111111111111</t>
  </si>
  <si>
    <t>11111111111111111111111111</t>
  </si>
  <si>
    <t>111111111111111111111111111</t>
  </si>
  <si>
    <t>1111111111111111111111111111</t>
  </si>
  <si>
    <t>Форма 6. Информация об основных показателях финансово-хозяйственной деятельности организации _x000D_
в части регулируемых видов деятельности за отчетный год</t>
  </si>
  <si>
    <t>Выручка от регулируемого вида деятельности</t>
  </si>
  <si>
    <t>p3</t>
  </si>
  <si>
    <t>Себестоимость оказываемых услуг по обращению с твёрдыми коммунальными отходами по регулируемому виду деятельности, включая:</t>
  </si>
  <si>
    <t>производственные расходы, в том числе:</t>
  </si>
  <si>
    <t>расходы на оплату труда основного производственного персонала</t>
  </si>
  <si>
    <t>2.1.2</t>
  </si>
  <si>
    <t>страховые взносы на обязательное социальное страхование, выплачиваемые из фонда оплаты труда основного производственного персонала</t>
  </si>
  <si>
    <t>ремонтные расходы, включая:</t>
  </si>
  <si>
    <t>расходы на текущий ремонт</t>
  </si>
  <si>
    <t>расходы на капитальный ремонт</t>
  </si>
  <si>
    <t>административные расходы, в том числе:</t>
  </si>
  <si>
    <t>расходы на оплату труда</t>
  </si>
  <si>
    <t xml:space="preserve">страховые взносы на обязательное социальное страхование, выплачиваемые из фонда оплаты труда административно-управленческого персонала </t>
  </si>
  <si>
    <t>расходы на амортизацию основных средств и нематериальных активов:</t>
  </si>
  <si>
    <t>расходы на амортизацию основных средств</t>
  </si>
  <si>
    <t>расходы на амортизацию нематериальных активов</t>
  </si>
  <si>
    <t>расходы на арендную плату</t>
  </si>
  <si>
    <t>расходы на лизинговые платежи</t>
  </si>
  <si>
    <t xml:space="preserve"> расходы на концессионную плату</t>
  </si>
  <si>
    <t>прочие расходы, которые подлежат отнесению на регулируемые виды деятельности, в том числе:</t>
  </si>
  <si>
    <t>расходы на транспортирование твёрдых коммунальных отходов</t>
  </si>
  <si>
    <t>Чистая прибыль с разбивкой по регулируемым видам деятельности, в том числе:</t>
  </si>
  <si>
    <t>размер расходования чистой прибыли на финансирование мероприятий, предусмотренных инвестиционной программой</t>
  </si>
  <si>
    <t>изменение стоимости основных фондов за счет их ввода в эксплуатацию (вывода из эксплуатации)</t>
  </si>
  <si>
    <t>изменение стоимости основных фондов за счет их ввода в эксплуатацию</t>
  </si>
  <si>
    <t>изменение стоимости основных фондов за счет их вывода в эксплуатацию</t>
  </si>
  <si>
    <t>4.1.3</t>
  </si>
  <si>
    <t>изменение стоимости основных фондов за счет их переоценки</t>
  </si>
  <si>
    <t>-</t>
  </si>
  <si>
    <t>Объём принятых твёрдых коммунальных отходов</t>
  </si>
  <si>
    <t>тыс. куб. м_x000D_
в год</t>
  </si>
  <si>
    <t>Масса принятых твёрдых коммунальных отходов</t>
  </si>
  <si>
    <t>тонн в год</t>
  </si>
  <si>
    <t>Среднесписочная численность основного персонала</t>
  </si>
  <si>
    <t>Форма 7. Информация об основных показателях финансово-хозяйственной деятельности организации в отношении деятельности по транспортированию твёрдых коммунальных отходов за отчетный год &lt;1&gt;</t>
  </si>
  <si>
    <t>Выручка от деятельности</t>
  </si>
  <si>
    <t>Себестоимость оказываемых услуг по регулируемому виду деятельности, включая:</t>
  </si>
  <si>
    <t>расходы на оплату труда и страховые взносы на обязательное социальное страхование, выплачиваемые из фонда оплаты труда</t>
  </si>
  <si>
    <t xml:space="preserve">расходы на оплату труда </t>
  </si>
  <si>
    <t xml:space="preserve">страховые взносы на обязательное социальное страхование, выплачиваемые из фонда оплаты труда </t>
  </si>
  <si>
    <t>расходы на топливо и горюче-смазочные материалы для транспортных средств, используемых для транспортирования твёрдых коммунальных отходов</t>
  </si>
  <si>
    <t>расходы на сырье и материалы для текущего технического обслуживания транспортных средств, используемых для транспортирования твёрдых коммунальных отходов</t>
  </si>
  <si>
    <t>ремонтные расходы и расходы на техническое обслуживание в отношении транспортных средств, используемых для транспортирования твёрдых коммунальных отходов (за исключением расходов, указанных в пункте 2.3 данной формы)</t>
  </si>
  <si>
    <t>расходы на амортизацию транспортных средств, используемых для транспортирования твёрдых коммунальных отходов</t>
  </si>
  <si>
    <t>расходы на арендную плату и лизинговые платежи в отношении транспортных средств, используемых для транспортирования твёрдых коммунальных отходов</t>
  </si>
  <si>
    <t>административные расходы (за исключением расходов, предусмотренных пунктами 2.1 и 2.8 данной формы)</t>
  </si>
  <si>
    <t>расходы, связанные с оплатой налогов, сборов и других обязательных платежей (в том числе с обязательным страхованием гражданской ответственности владельцев транспортных средств, оснащением и обеспечением функционирования аппаратуры спутниковой навигации ГЛОНАСС или ГЛОНАСС/GPS)</t>
  </si>
  <si>
    <t>прочие расходы</t>
  </si>
  <si>
    <t>Чистая прибыль в отношении деятельности по транспортированию твёрдых коммунальных отходов</t>
  </si>
  <si>
    <t>Изменение стоимости основных фондов (транспортных средств, используемых для транспортирования твёрдых коммунальных отходов), в том числе:</t>
  </si>
  <si>
    <t>изменение стоимости основных фондов за счет их вывода из эксплуатации</t>
  </si>
  <si>
    <t>Объём принятых для транспортирования твёрдых коммунальных отходов</t>
  </si>
  <si>
    <t>Масса принятых для транспортирования твёрдых коммунальных отходов</t>
  </si>
  <si>
    <t>В 2023 году операторы по обращению с твёрдыми коммунальными отходами, осуществляющие деятельность по транспортированию твёрдых коммунальных отходов, раскрывают в данной форме информацию, сформированную на дату раскрытия информации.</t>
  </si>
  <si>
    <t>В случае, если оператор по обращению с твёрдыми коммунальными отходами, осуществляющий деятельность по транспортированию твёрдых коммунальных отходов, обеспечивает транспортирование твёрдых коммунальных отходов в разных зонах деятельности регионального оператора, на разных территориях в пределах одной зоны деятельности регионального оператора, то информация раскрывается по каждой зоне деятельности регионального оператора, по каждой территории в пределах зоны деятельности регионального оператора.</t>
  </si>
  <si>
    <t>Информация, подлежащая раскрытию</t>
  </si>
  <si>
    <t>Информация в данной строке раскрывается только единой теплоснабжающей организацией в ценовых зонах теплоснабжения (обобщенная информация о количестве составленных актов, подтверждающих факт превышения разрешенных отклонений значений параметров, о средней продолжительности устранения превышения разрешенных отклонений значений параметров, о совокупной величине снижения размера платы за тепловую энергию (мощность) потребителям в связи с превышением разрешенных отклонений значений параметров)</t>
  </si>
  <si>
    <t>Показатели надежности и энергетической эффективности,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</si>
  <si>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предварительно загруженный в хранилище данных ФГИС ЕИАС._x000D_
В случае, если показатели не утверждены в колонке «Информация» указывается «Не утверждены»._x000D_
Информация в данной строке не раскрывается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t>
  </si>
  <si>
    <t>Плановые показатели надежности объектов теплоснабжения</t>
  </si>
  <si>
    <t>количество прекращений подачи тепловой энергии, теплоносителя в результате технологических нарушений на тепловых сетях на 1 км тепловых сетей</t>
  </si>
  <si>
    <t>ед.в год/км</t>
  </si>
  <si>
    <t>количество прекращений подачи тепловой энергии, теплоносителя в результате технологических нарушений на источниках тепловой энергии на 1 Гкал/час установленной мощности</t>
  </si>
  <si>
    <t xml:space="preserve"> ед.в год/Гкал/час</t>
  </si>
  <si>
    <t xml:space="preserve">Плановые показатели энергетической эффективности объектов теплоснабжения </t>
  </si>
  <si>
    <t>4.2.1</t>
  </si>
  <si>
    <t>удельный расход топлива на производство единицы тепловой энергии, отпускаемой с коллекторов источников тепловой энергии</t>
  </si>
  <si>
    <t>т.у.т./Гкал</t>
  </si>
  <si>
    <t>4.2.2</t>
  </si>
  <si>
    <t>отношение величины технологических потерь к материальной характеристике тепловой сети</t>
  </si>
  <si>
    <t>4.2.1.1</t>
  </si>
  <si>
    <t>при передаче тепловой энергии</t>
  </si>
  <si>
    <t>Гкал/кв.м</t>
  </si>
  <si>
    <t>4.2.1.2</t>
  </si>
  <si>
    <t>при передаче теплоносителя</t>
  </si>
  <si>
    <t>тонн/кв.м</t>
  </si>
  <si>
    <t>4.2.3</t>
  </si>
  <si>
    <t>величина технологических потерь</t>
  </si>
  <si>
    <t>4.2.3.1</t>
  </si>
  <si>
    <t>Гкал/год</t>
  </si>
  <si>
    <t>4.2.3.2</t>
  </si>
  <si>
    <t>при передаче теплоносителя по тепловым сетям</t>
  </si>
  <si>
    <t>тонн/год</t>
  </si>
  <si>
    <t>Доля исполненных в срок договоров о подключении (технологическом присоединении) к системе теплоснабжения</t>
  </si>
  <si>
    <t>Указывается процент от общего количества заключенных договоров о подключении (технологическом присоединении) к системе теплоснабжения._x000D_
_x000D_
Единой теплоснабжающей организацией указывается доля числа исполненных в срок договоров о подключении (технологическом присоединении) к системе теплоснабжения в зоне ее деятельности в ценовых зонах теплоснабжения (процентов общего количества заключенных договоров о подключении (технологическом присоединении) к системе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</si>
  <si>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Средняя продолжительность рассмотрения заявок на заключение договоров о подключении (технологическом присоединении) к системе теплоснабжения</t>
  </si>
  <si>
    <t>Единой теплоснабжающей организацией информация раскрывается в зоне ее деятельности в ценовых зонах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</si>
  <si>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 xml:space="preserve">Едиными теплоснабжающими организациями, теплоснабжающими и теплосетевыми организациями в ценовых зонах теплоснабжения указывается информация об основных потребительских </t>
  </si>
  <si>
    <t>характеристиках товаров и услуг, поставляемых и оказываемых этими организациями в ценовых зонах теплоснабжения.</t>
  </si>
  <si>
    <t>Количество аварий на системах холодного водоснабжения</t>
  </si>
  <si>
    <t>Указывается количество любых нарушений функционирования системы холодного водоснабжения в расчете на один километр трубопровода.</t>
  </si>
  <si>
    <t>Количество случаев временного ограничения холодного водоснабжения по графику</t>
  </si>
  <si>
    <t>количество случаев ограничения холодного водоснабжения по графику для ограничений сроком менее 24 часов в сутки</t>
  </si>
  <si>
    <t>ед.</t>
  </si>
  <si>
    <t>Указывается суммарное количество ограничения холодного водоснабжения по графику в течение отчетного периода. В расчет принимаются ограничения сроком менее 24 часов каждое.</t>
  </si>
  <si>
    <t>срок действия ограничений холодного водоснабжения по графику для ограничений сроком менее 24 часов в сутки</t>
  </si>
  <si>
    <t>ч</t>
  </si>
  <si>
    <t>Указывается сумма времени ограничения холодного водоснабжения по графику в течение отчетного периода. В расчет принимаются ограничения сроком менее 24 часов каждое.</t>
  </si>
  <si>
    <t>Доля потребителей, в отношении которых ограничено холодное водоснабжение:</t>
  </si>
  <si>
    <t>доля потребителей, в отношении которых ограничено холодное водоснабжение сроком менее 24 часов в сутки</t>
  </si>
  <si>
    <t>Указывается отношение количества потребителей, затронутых как минимум одним ограничением подачи холодной воды по графику длительностью менее 24 часа в течение отчетного периода, и суммарного количества обслуживаемых потребителей.</t>
  </si>
  <si>
    <t>доля потребителей, в отношении которых ограничено холодное водоснабжение сроком 24 часа в сутки и более</t>
  </si>
  <si>
    <t>Указывается отношение количества потребителей, затронутых как минимум одним ограничением подачи холодной воды по графику длительностью 24 часа и более в течение отчетного периода, и суммарного количества обслуживаемых потребителей.</t>
  </si>
  <si>
    <t>Общее количество отобранных проб питьевой воды по следующим показателям</t>
  </si>
  <si>
    <t>мутность</t>
  </si>
  <si>
    <t>цветность</t>
  </si>
  <si>
    <t>хлор остаточный общий, в том числе:</t>
  </si>
  <si>
    <t>4.3.1</t>
  </si>
  <si>
    <t>хлор остаточный связанный</t>
  </si>
  <si>
    <t>4.3.2</t>
  </si>
  <si>
    <t>хлор остаточный свободный</t>
  </si>
  <si>
    <t>4.4</t>
  </si>
  <si>
    <t>общие колиформные бактерии</t>
  </si>
  <si>
    <t>4.5</t>
  </si>
  <si>
    <t>термотолерантные колиформные бактерии</t>
  </si>
  <si>
    <t>Количество отобранных проб питьевой воды, показатели которых не соответствуют нормативам качества питьевой воды в соответствии с санитарно-эпидемиологическими требованиями к питьевой воде (предельно допустимой концентрации в воде) по следующим показателям:</t>
  </si>
  <si>
    <t>5.3.2</t>
  </si>
  <si>
    <t>5.5</t>
  </si>
  <si>
    <t>Доля исполненных в срок договоров о подключении (технологическом присоединении) к централизованной системе холодного водоснабжения</t>
  </si>
  <si>
    <t>Указывается процент общего количества заключенных договоров о подключении (технологическом присоединении) к централизованной системе холодного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</si>
  <si>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холодного водоснабжения</t>
  </si>
  <si>
    <t>О результатах технического обследования централизованных систем холодного водоснабжения, в том числе:</t>
  </si>
  <si>
    <t>8.1</t>
  </si>
  <si>
    <t>о фактических значениях показателей технико-экономического состояния централизованных систем холодного водоснабжения, включая значения показателей физического износа и энергетической эффективности объектов централизованных систем холодного водоснабжения.</t>
  </si>
  <si>
    <t>Количество аварий на системах горячего водоснабжения</t>
  </si>
  <si>
    <t>Указывается количество нарушений функционирования системы горячего водоснабжения в расчете на один километр трубопровода.</t>
  </si>
  <si>
    <t>Количество часов (суммарно за календарный год), превышающих установленную продолжительность временного прекращения или ограничения горячего водоснабжения, и доля потребителей (процентов), в отношении которых было осуществлено временное прекращение или ограничение горячего водоснабжения</t>
  </si>
  <si>
    <t>количество часов (суммарно за календарный год), превышающих установленную продолжительность временного прекращения горячего водоснабжения</t>
  </si>
  <si>
    <t>количество часов (суммарно за календарный год), превышающих установленную продолжительность ограничения горячего водоснабжения</t>
  </si>
  <si>
    <t>доля потребителей, в отношении которых было осуществлено временное прекращение горячего водоснабжения</t>
  </si>
  <si>
    <t>доля потребителей, в отношении которых было осуществлено ограничение горячего водоснабжения</t>
  </si>
  <si>
    <t>Количество часов (суммарно за календарный год) отклонения показателей температуры подачи горячей воды от нормативных значений в точке разбора</t>
  </si>
  <si>
    <t>Доля исполненных в срок договоров о подключении (технологическом присоединении) к централизованной системе горячего водоснабжения (процентов общего количества заключенных договоров о подключении (технологическом присоединении) к централизованной системе горячего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</si>
  <si>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горячего водоснабжения</t>
  </si>
  <si>
    <t>О результатах технического обследования централизованных систем горячего водоснабжения, в том числе:</t>
  </si>
  <si>
    <t>о фактических значениях показателей технико-экономического состояния централизованных систем горячего водоснабжения, включая значения показателей физического износа и энергетической эффективности объектов централизованных систем горячего водоснабжения</t>
  </si>
  <si>
    <t>Показатели аварийности на канализационных сетях</t>
  </si>
  <si>
    <t>Указывается количество любых нарушений на канализационных сетях.</t>
  </si>
  <si>
    <t>Количество засоров на самотечных сетях</t>
  </si>
  <si>
    <t>Указывается количество засоров на самотечных сетях.</t>
  </si>
  <si>
    <t>Общее количество отобранных проб на сбросе очищенных (частично очищенных) сточных вод:</t>
  </si>
  <si>
    <t>Указывается суммарное количество проведенных проб на сбросе очищенных вод.</t>
  </si>
  <si>
    <t>взвешенные вещества</t>
  </si>
  <si>
    <t>БПК5</t>
  </si>
  <si>
    <t>аммоний-ион</t>
  </si>
  <si>
    <t>нитрит-анион</t>
  </si>
  <si>
    <t>3.5</t>
  </si>
  <si>
    <t>фосфаты (по Р)</t>
  </si>
  <si>
    <t>3.6</t>
  </si>
  <si>
    <t>нефтепродукты</t>
  </si>
  <si>
    <t>3.7</t>
  </si>
  <si>
    <t>микробиология</t>
  </si>
  <si>
    <t>Количество отобранных проб, показатели которых не соответствуют установленным нормативам состава сточных вод (предельно допустимой концентрации веществ и микроорганизмов) на сбросе очищенных (частично очищенных) сточных вод:</t>
  </si>
  <si>
    <t>Указывается суммарное количество отобранных проб, выявивших несоответствие очищенных сточных вод санитарным нормам (предельно допустимой концентрации) на сбросе очищенных (частично очищенных) сточных вод.</t>
  </si>
  <si>
    <t>4.6</t>
  </si>
  <si>
    <t>4.7</t>
  </si>
  <si>
    <t>Доля исполненных в срок договоров о подключении (технологическом присоединении) к централизованной системе водоотведения</t>
  </si>
  <si>
    <t>Указывается процент от общего количества заключенных договоров о подключении (технологическом присоединении) к централизованной системе водоотведения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</si>
  <si>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водоотведения</t>
  </si>
  <si>
    <t>О результатах технического обследования централизованных систем водоотведения, в том числе:</t>
  </si>
  <si>
    <t>о фактических значениях показателей технико-экономического состояния централизованных систем водоотведения, включая значения показателей физического износа и энергетической эффективности объектов централизованных систем водоотведения</t>
  </si>
  <si>
    <t>О  нормативах допустимых сбросов загрязняющих веществ в составе сточных вод в водные объекты,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 (о лимитах на сбросы загрязняющих веществ,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t>
  </si>
  <si>
    <t>О показателях эффективности удаления загрязняющих веществ очистными сооружениями регулируемых организаций</t>
  </si>
  <si>
    <t>Информация об инвестиционных программах регулируемой организации и отчетах об их исполнении</t>
  </si>
  <si>
    <t>Наименование ИП</t>
  </si>
  <si>
    <t>Инвестиционная программа разбивается по мероприятиям и (или) группам мероприятий</t>
  </si>
  <si>
    <t>Дата утверждения инвестиционной программы</t>
  </si>
  <si>
    <t>Дата изменения инвестиционной программы</t>
  </si>
  <si>
    <t>Цель инвестиционной программы</t>
  </si>
  <si>
    <t>Наименование исполнительного органа субъекта Российской Федерации (органа местного самоуправления), утвердившего инвестиционную программу</t>
  </si>
  <si>
    <t>Наименование органа местного самоуправления, согласовавшего инвестиционную программу</t>
  </si>
  <si>
    <t>Период реализации инвестиционной программы</t>
  </si>
  <si>
    <t>Решение уполномоченного органа об утверждении инвестиционной программы</t>
  </si>
  <si>
    <t>Решение уполномоченного органа о внесении изменений, корректировке инвестиционной программы</t>
  </si>
  <si>
    <t>О наличии в инвестиционной программе мероприятий, включенных в концессионное(-ые) соглашение(-я)</t>
  </si>
  <si>
    <t>Дата начала</t>
  </si>
  <si>
    <t>Дата окончания</t>
  </si>
  <si>
    <t>Период реализации</t>
  </si>
  <si>
    <t>Вид</t>
  </si>
  <si>
    <t>Номер</t>
  </si>
  <si>
    <t>Дата принятия</t>
  </si>
  <si>
    <t>Тип</t>
  </si>
  <si>
    <t>Наличие</t>
  </si>
  <si>
    <t>Реквизиты концессионного(-ых) соглашения(-ий)</t>
  </si>
  <si>
    <t>ip_1</t>
  </si>
  <si>
    <t>Добавить инвестиционную программу</t>
  </si>
  <si>
    <t>Год реализации инвестиционной программы</t>
  </si>
  <si>
    <t>№ п/п_x000D_
мероприятия</t>
  </si>
  <si>
    <t>Группа, к которой относятся мероприятия инвестиционной программы</t>
  </si>
  <si>
    <t>Мероприятие</t>
  </si>
  <si>
    <t>№ источника</t>
  </si>
  <si>
    <t>О плановых и фактических размерах и источниках финансирования предусмотренных в утвержденной инвестиционной программе с распределением по годам</t>
  </si>
  <si>
    <t>Плановый срок реализации мероприятия и (или) группы мероприятий с распределением по годам</t>
  </si>
  <si>
    <t>Плановый срок ввода в эксплуатацию/выполнения мероприятия и (или) группы мероприятий</t>
  </si>
  <si>
    <t>Фактический срок реализации мероприятия и (или) группы мероприятий с распределением по годам</t>
  </si>
  <si>
    <t>Фактический срок ввода в эксплуатацию/выполнения мероприятия и (или) группы мероприятий</t>
  </si>
  <si>
    <t>Наименование мероприятия</t>
  </si>
  <si>
    <t>Входит в концессионное соглашение</t>
  </si>
  <si>
    <t>Объект инфраструктуры</t>
  </si>
  <si>
    <t>Признак</t>
  </si>
  <si>
    <t>Номер концессионного соглашения</t>
  </si>
  <si>
    <t>№ объекта</t>
  </si>
  <si>
    <t>Наименование объекта</t>
  </si>
  <si>
    <t>Тип объекта</t>
  </si>
  <si>
    <t>Адрес объекта</t>
  </si>
  <si>
    <t>План</t>
  </si>
  <si>
    <t>Факт</t>
  </si>
  <si>
    <t>в том числе</t>
  </si>
  <si>
    <t>Населенный пункт</t>
  </si>
  <si>
    <t>улица, проезд, проспект, переулок, и т.п.</t>
  </si>
  <si>
    <t>дом, корпус, строение</t>
  </si>
  <si>
    <t>Источник финансирования</t>
  </si>
  <si>
    <t>Размер финансирования</t>
  </si>
  <si>
    <t>месяц</t>
  </si>
  <si>
    <t>год</t>
  </si>
  <si>
    <r>
      <rPr>
        <charset val="204"/>
        <family val="2"/>
        <rFont val="Tahoma"/>
        <sz val="9"/>
        <vertAlign val="superscript"/>
      </rPr>
      <t>1</t>
    </r>
    <r>
      <rPr>
        <charset val="204"/>
        <family val="2"/>
        <rFont val="Tahoma"/>
        <sz val="9"/>
      </rPr>
      <t xml:space="preserve"> В соответствии с утвержденной инвестиционной программой</t>
    </r>
  </si>
  <si>
    <t>Финансовый план</t>
  </si>
  <si>
    <t>Источники финансирования</t>
  </si>
  <si>
    <t>Объем фактического выполнения за счет источников финансирования (тыс. руб. без НДС)</t>
  </si>
  <si>
    <t>Всего</t>
  </si>
  <si>
    <t>Расходы на мероприятия инвестиционной программы</t>
  </si>
  <si>
    <t>Собственные средства</t>
  </si>
  <si>
    <t>1.4</t>
  </si>
  <si>
    <t>1.5</t>
  </si>
  <si>
    <t>1.6</t>
  </si>
  <si>
    <t>1.7</t>
  </si>
  <si>
    <t>1.8</t>
  </si>
  <si>
    <t>1.9</t>
  </si>
  <si>
    <t>1.10</t>
  </si>
  <si>
    <t>1.11</t>
  </si>
  <si>
    <t>1.12</t>
  </si>
  <si>
    <t>Привлеченные средства</t>
  </si>
  <si>
    <t>Займы</t>
  </si>
  <si>
    <t>Бюджетное финансирование</t>
  </si>
  <si>
    <t>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</si>
  <si>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Иные бюджетные средства.</t>
  </si>
  <si>
    <t>Прочие источники финансирования</t>
  </si>
  <si>
    <t>ИТОГО по программе</t>
  </si>
  <si>
    <t>Средства на возврат займов и кредитов, привлекаемых на реализацию мероприятий инвестиционной программы, а также на проценты по таким займам и кредитам*</t>
  </si>
  <si>
    <t>Cредства на возврат займов и кредитов, привлекаемых на реализацию мероприятий инвестиционной программ</t>
  </si>
  <si>
    <t>Финансируемые за счет нормативной прибыли, учитываемой в необходимой валовой выручке</t>
  </si>
  <si>
    <t>1.1.2</t>
  </si>
  <si>
    <t>1.1.3</t>
  </si>
  <si>
    <t>Иные собственные средства</t>
  </si>
  <si>
    <t>1.1.4</t>
  </si>
  <si>
    <t>Средства, полученные регулируемой организацией в виде платы за негативное воздействие абонентов на работу централизованной системы водоотведения</t>
  </si>
  <si>
    <t>1.2.2</t>
  </si>
  <si>
    <t xml:space="preserve">Прочие источники </t>
  </si>
  <si>
    <t>Cредства на проценты по займам и кредитам, привлекаемым на реализацию мероприятий инвестиционной программ</t>
  </si>
  <si>
    <t>2.1.3</t>
  </si>
  <si>
    <t>2.1.4</t>
  </si>
  <si>
    <t>WARM FEATURES</t>
  </si>
  <si>
    <t>OTKO FEATURES</t>
  </si>
  <si>
    <t>Цель(-и) ИП</t>
  </si>
  <si>
    <t>Способ утверждения показателей</t>
  </si>
  <si>
    <t>Описание способа утверждения показателей</t>
  </si>
  <si>
    <t>Показатели качества, надежности и бесперебойности, энергетической эффективности</t>
  </si>
  <si>
    <t>Показатели надежности</t>
  </si>
  <si>
    <t xml:space="preserve">Показатели энергетической эффективности </t>
  </si>
  <si>
    <t>Показатели качества питьевой воды</t>
  </si>
  <si>
    <t>Показатели качества горячей воды</t>
  </si>
  <si>
    <t>Показатели надежности и бесперебойности</t>
  </si>
  <si>
    <t>Показатели энергетической эффективности</t>
  </si>
  <si>
    <t>Показатели очистки сточных вод</t>
  </si>
  <si>
    <t>Показатель надежности и бесперебойности</t>
  </si>
  <si>
    <t>Количество прекращений подачи тепловой энергии, теплоносителя в результате технологических нарушений</t>
  </si>
  <si>
    <t>удельный расход топлива на производство единицы тепловой энергии</t>
  </si>
  <si>
    <t>Отношение величины технологических потерь к материальной характеристике тепловой сети</t>
  </si>
  <si>
    <t>Величина технологических потерь</t>
  </si>
  <si>
    <t>Доля проб питьевой воды, подаваемой с источников водоснабжения, водопроводных станций или иных объектов централизованной системы водоснабжения в распределительную водопроводную сеть,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</si>
  <si>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питьевой воды в распределительной водопроводной сети,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</si>
  <si>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горячей воды в тепловой сети или в сети горячего водоснабжения, не соответствующих установленным требованиям по температуре, в общем объёме проб, отобранных по результатам производственного контроля качества горячей воды</t>
  </si>
  <si>
    <t>Доля проб горячей воды в тепловой сети или в сети горячего водоснабжения, не соответствующих установленным требованиям (за исключением температуры), в общем объёме проб, отобранных по результатам производственного контроля качества горячей воды</t>
  </si>
  <si>
    <t xml:space="preserve"> Количество перерывов в подаче воды, зафиксированных в местах исполнения обязательств организацией, осуществляющей горячее водоснабжение, холодное водоснабжение, по подаче горячей воды, холодной воды, возникших в результате аварий, повреждений и иных технологических нарушений на объектах централизованной системы холодного водоснабжения, горячего водоснабжения, принадлежащих организации, осуществляющей горячее водоснабжение, холодное водоснабжение, в расчете на протяженность водопроводной сети</t>
  </si>
  <si>
    <t>Доля потерь воды в централизованных системах водоснабжения при транспортировке в общем объёме воды, поданной в водопроводную сеть</t>
  </si>
  <si>
    <t>Удельное количество тепловой энергии, расходуемое на подогрев горячей воды</t>
  </si>
  <si>
    <t>Удельный расход электрической энергии, потребляемой в технологическом процессе</t>
  </si>
  <si>
    <t>доля сточных вод, не подвергающихся очистке, в общем объёме сточных вод, сбрасываемых в централизованные общесплавные или бытовые системы водоотведения</t>
  </si>
  <si>
    <t xml:space="preserve"> доля поверхностных сточных вод, не подвергающихся очистке, в общем объёме поверхностных сточных вод, принимаемых в централизованную ливневую систему водоотведения</t>
  </si>
  <si>
    <t>доля проб сточных вод, не соответствующих установленным нормативам допустимых сбросов, лимитам на сбросы, рассчитанная применительно к видам централизованных систем водоотведения раздельно для централизованной общесплавной (бытовой) и централизованной ливневой систем водоотведения</t>
  </si>
  <si>
    <t>Удельное количество аварий и засоров в расчете на протяженность канализационной сети</t>
  </si>
  <si>
    <t>Удельный расход электрической энергии, потребляемой в технологическом процессе для:</t>
  </si>
  <si>
    <t>на тепловых сетях на 1 км тепловых сетей</t>
  </si>
  <si>
    <t>на источниках тепловой энергии на 1 Гкал/час установленной мощности</t>
  </si>
  <si>
    <t xml:space="preserve">подготовки питьевой воды, на единицу объёма воды, отпускаемой в сеть_x000D_
</t>
  </si>
  <si>
    <t xml:space="preserve">транспортировки питьевой воды, на единицу объёма транспортируемой воды_x000D_
</t>
  </si>
  <si>
    <t>очистки сточных вод, на единицу объёма очищаемых сточных вод</t>
  </si>
  <si>
    <t>транспортировки сточных вод, на единицу объёма транспортируемых сточных вод</t>
  </si>
  <si>
    <t>ед. в год/км</t>
  </si>
  <si>
    <t>Гкал/куб. м</t>
  </si>
  <si>
    <t>кВт*ч/куб. м</t>
  </si>
  <si>
    <t>кВт*ч/куб.м</t>
  </si>
  <si>
    <t>план</t>
  </si>
  <si>
    <t>факт</t>
  </si>
  <si>
    <t>Наименование централизованной системы горячего водоснабжения</t>
  </si>
  <si>
    <t>Указывается наименование централизованной системы горячего водоснабжения при наличии дифференциации тарифа по централизованным системам горячего водоснабжения._x000D_
В случае дифференциации тарифов по централизованным системам горячего водоснабжения информация по ним указывается в отдельных строках.</t>
  </si>
  <si>
    <t xml:space="preserve">Однокомпонентный тариф </t>
  </si>
  <si>
    <t>Двухкомпонентный тариф</t>
  </si>
  <si>
    <t>Однокомпонентный тариф,_x000D_
руб./куб. м</t>
  </si>
  <si>
    <t>значение компонента на тепловую энергию при установленном одноставочном тарифе,_x000D_
руб./Гкал</t>
  </si>
  <si>
    <t>значение компонента на тепловую энергию при установленном двухставочном тарифе на тепловую энергию (мощность),_x000D_
руб./Гкал</t>
  </si>
  <si>
    <t>pt_ist_te_14</t>
  </si>
  <si>
    <t>Для каждого вида тарифа в сфере горячего водоснабжения форма заполняется отдельно. При размещении информации по данной форме дополнительно указываются сведения: наименование органа регулирования тарифов, принявшего решение об установлении тарифа, реквизиты (дата и номер) решения об установлении тарифа, источник официального опубликования решения об установлении тарифа.</t>
  </si>
  <si>
    <t>Для каждого вида тарифа в сфере горячего водоснабжения форма заполняется отдельно. При размещении информации по данной форме дополнительно указывается дата подачи заявления об утверждении тарифа и его номер.</t>
  </si>
  <si>
    <t>pt_ist_te_16</t>
  </si>
  <si>
    <t>Наименование централизованной системы водоотведения</t>
  </si>
  <si>
    <t>Указывается наименование централизованной системы водоотведения при наличии дифференциации тарифа по централизованным системам водоотведения._x000D_
В случае дифференциации тарифов по централизованным системам водоотведения информация по ним указывается в отдельных строках.</t>
  </si>
  <si>
    <t>одноставочный тариф,_x000D_
руб./куб. м</t>
  </si>
  <si>
    <t>ставка платы за объем _x000D_
принятых сточных вод,_x000D_
руб./куб. м</t>
  </si>
  <si>
    <t>pt_ist_te_17</t>
  </si>
  <si>
    <t>Для каждого вида тарифа в сфере водоотведения форма заполняется отдельно. При размещении информации по данной форме дополнительно указываются сведения: наименование органа регулирования тарифов, принявшего решение об установлении тарифа, реквизиты (дата и номер) решения об установлении тарифа, источник официального опубликования решения об установлении тарифа.</t>
  </si>
  <si>
    <t>Для каждого вида тарифа в сфере водоотведения форма заполняется отдельно. При размещении информации по данной форме дополнительно указывается дата подачи заявления об утверждении тарифа и его номер.</t>
  </si>
  <si>
    <t>pt_ist_te_18</t>
  </si>
  <si>
    <t>Добавить протяженность сети</t>
  </si>
  <si>
    <t>Добавить диапазон диаметров</t>
  </si>
  <si>
    <t>Подключаемая нагрузка канализационной сети,_x000D_
куб. м/сут</t>
  </si>
  <si>
    <t>Диапазон диаметров канализационной сети,_x000D_
мм</t>
  </si>
  <si>
    <t>Протяженность канализационной  сети,_x000D_
км</t>
  </si>
  <si>
    <t>Ставка тарифа за подключаемую нагрузку канализационной сети,_x000D_
тыс. руб./куб. м в сутки</t>
  </si>
  <si>
    <t>Ставка тарифа за протяженность канализационной сети диаметром d,_x000D_
тыс. руб./км</t>
  </si>
  <si>
    <t>pt_ist_te_19</t>
  </si>
  <si>
    <r>
      <t xml:space="preserve">Информация о предоставлении электронного документа в исполнительный орган субъекта Российской Федерации в области государственного регулирования цен (тарифов) </t>
    </r>
    <r>
      <rPr>
        <charset val="204"/>
        <family val="2"/>
        <rFont val="Tahoma"/>
        <sz val="9"/>
        <vertAlign val="superscript"/>
      </rPr>
      <t>2</t>
    </r>
  </si>
  <si>
    <t>Данные электронного документа, подписанного усиленной квалифицированной электронной подписью уполномоченного представителя регулируемой организации</t>
  </si>
  <si>
    <t>Название документа</t>
  </si>
  <si>
    <t>Исходящий номер</t>
  </si>
  <si>
    <t>Дата отправления</t>
  </si>
  <si>
    <t>В колонке "Дата отправления" дата указывается в виде «ДД.ММ.ГГГГ»._x000D_
В колонке «Ссылка на документ» указывается ссылка на электронный документ, подписанный усиленной квалифицированной электронной подписью уполномоченного представителя регулируемой организации, предварительно загруженный в хранилище файлов ФГИС ЕИАС.</t>
  </si>
  <si>
    <r>
      <rPr>
        <charset val="204"/>
        <family val="2"/>
        <rFont val="Tahoma"/>
        <sz val="9"/>
        <vertAlign val="superscript"/>
      </rPr>
      <t>2</t>
    </r>
    <r>
      <rPr>
        <charset val="204"/>
        <family val="2"/>
        <rFont val="Tahoma"/>
        <sz val="9"/>
      </rPr>
      <t xml:space="preserve"> Размещается информация по каждой из форм раскрытия, данные в которой относятся к муниципальному образованию, в котором отсутствует доступ в сеть «Интернет».</t>
    </r>
  </si>
  <si>
    <t>Сведения об изменениях в первоначально опубликованной информации*</t>
  </si>
  <si>
    <t>Сведения</t>
  </si>
  <si>
    <t>Добавить</t>
  </si>
  <si>
    <t>* Лист заполняется в случае, если на Титульном листе в поле "Тип отчета" выбрано значение «Изменения в раскрытой ранее информации».</t>
  </si>
  <si>
    <t>Наименование органа регулирования тарифов</t>
  </si>
  <si>
    <t>Указывается в соответствии с нормативным правовым актом, на основании которого орган регулирования тарифов образован.</t>
  </si>
  <si>
    <t xml:space="preserve">Фамилия, имя и отчество руководителя: </t>
  </si>
  <si>
    <t>фамилия руководителя</t>
  </si>
  <si>
    <t>Указывается фамилия руководителя в соответствии с паспортными данными физического лица.</t>
  </si>
  <si>
    <t>имя руководителя</t>
  </si>
  <si>
    <t>Указывается имя руководителя в соответствии с паспортными данными физического лица.</t>
  </si>
  <si>
    <t>отчество руководителя</t>
  </si>
  <si>
    <t>Указывается отчество руководителя в соответствии с паспортными данными физического лица (при наличии).</t>
  </si>
  <si>
    <t xml:space="preserve">Почтовый адрес </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</si>
  <si>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ФИАС.</t>
  </si>
  <si>
    <t xml:space="preserve">Адрес места нахождения </t>
  </si>
  <si>
    <t>Справочные телефоны</t>
  </si>
  <si>
    <t>Указывается номер контактного телефона. В случае наличия нескольких номеров телефонов, информация по каждому из них указывается в отдельной строке.</t>
  </si>
  <si>
    <t>Адрес официального сайта органа регулирования тарифов в сети "Интернет"</t>
  </si>
  <si>
    <t>Указывается адрес официального сайта в сети "Интернет". В случае отсутствия официального сайта в сети "Интернет" указывается "Отсутствует".</t>
  </si>
  <si>
    <t xml:space="preserve">Адрес электронной почты </t>
  </si>
  <si>
    <t>При наличии.</t>
  </si>
  <si>
    <t>Наименование организации</t>
  </si>
  <si>
    <t>ОГРН (ОГРНИП)</t>
  </si>
  <si>
    <t>Значение в поле «Наименование организации» содержит наименование юридического лица согласно уставу организации._x000D_
Значение в поле «ИНН» содержит идентификационный номер налогоплательщика._x000D_
Значение в поле «КПП» содержит код постановки на учёт._x000D_
Значение в поле «ОГРН (ОГРНИП)» содержит основной государственный регистрационный номер юридического лица (индивидуального предпринимателя).</t>
  </si>
  <si>
    <t>Добавить организацию</t>
  </si>
  <si>
    <t>дата</t>
  </si>
  <si>
    <t>время</t>
  </si>
  <si>
    <t>место</t>
  </si>
  <si>
    <t>В поле «Наименование органа регулирования тарифов»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образован._x000D_
В поле «дата» указывается дата в виде "ДД.ММ.ГГГГ»._x000D_
В поле «место» указывается адрес места проведения заседания (коллегии)._x000D_
В полях «Принятые органом регулирования… » и «Протокол заседания…» указываются ссылка на документ, предварительно загруженный в хранилище файлов ФГИС ЕИАС.</t>
  </si>
  <si>
    <t>Добавить заседание</t>
  </si>
  <si>
    <t>Добавить должностное лицо</t>
  </si>
  <si>
    <t>Форма 4. Информация о привлечении к административной ответственности организаций и должностных лиц за нарушение установленных порядка, способа, сроков раскрытия информации и форм ее предоставления</t>
  </si>
  <si>
    <t>Наименование юридического лица указывается согласно уставу организации.</t>
  </si>
  <si>
    <t>Указывается краткое описание нарушения с указанием статьи Кодекса Российской Федерации об административных правонарушениях.</t>
  </si>
  <si>
    <t>Указывается результат рассмотрения дела об административном правонарушении (с указанием вида административного наказания).</t>
  </si>
  <si>
    <t>Указывается ссылка на документ, предварительно загруженный в хранилище файлов ФГИС ЕИАС._x000D_
Раскрывается исполнительным органом субъекта Российской Федерации в области государственного регулирования цен (тарифов)</t>
  </si>
  <si>
    <t>Данные об организации, в отношении которой рассмотрено дело об административном правонарушении (общая информация о регулируемой организации и наименование должности)</t>
  </si>
  <si>
    <t xml:space="preserve">Наименование должности лица, в отношении которого рассмотрено дело об административном правонарушении </t>
  </si>
  <si>
    <t>Краткое описание нарушения</t>
  </si>
  <si>
    <t>Результат рассмотрения дела об административном правонарушении</t>
  </si>
  <si>
    <t xml:space="preserve">Информация о докладе, содержащем обобщения правоприменительной практики, в рамках регионального государственного контроля (надзора) в области регулирования цен (тарифов) в сфере теплоснабжения в случае, если региональный государственный контроль (надзор) в области регулирования цен (тарифов) в сфере теплоснабжения в соответствии с положением, утвержденным высшим исполнительным органом субъекта Российской Федерации, осуществляется исполнительным органом субъекта Российской Федерации в области государственного регулирования цен (тарифов) </t>
  </si>
  <si>
    <t>Наименование регулируемой организации</t>
  </si>
  <si>
    <t>Комментарии</t>
  </si>
  <si>
    <t>Результат проверки</t>
  </si>
  <si>
    <t>Ссылка</t>
  </si>
  <si>
    <t>Причина</t>
  </si>
  <si>
    <t>Статус</t>
  </si>
  <si>
    <t>Цвет</t>
  </si>
  <si>
    <t>Раздел</t>
  </si>
  <si>
    <t>доп.листы</t>
  </si>
  <si>
    <t>готовность</t>
  </si>
  <si>
    <t>ИП</t>
  </si>
  <si>
    <t>REGION_ID</t>
  </si>
  <si>
    <t>REGION_NAME</t>
  </si>
  <si>
    <t>RST_ORG_ID</t>
  </si>
  <si>
    <t>ORG_NAME</t>
  </si>
  <si>
    <t>INN_NAME</t>
  </si>
  <si>
    <t>KPP_NAME</t>
  </si>
  <si>
    <t>ORG_START_DATE</t>
  </si>
  <si>
    <t>ORG_END_DATE</t>
  </si>
  <si>
    <t>VDET_START_DATE</t>
  </si>
  <si>
    <t>VDET_END_DATE</t>
  </si>
  <si>
    <t>VDET_NAME</t>
  </si>
  <si>
    <t>VDET_NAME_LIST</t>
  </si>
  <si>
    <t>VDET_FULL_NAME_LIST</t>
  </si>
  <si>
    <t>SPHERE</t>
  </si>
  <si>
    <t>2638</t>
  </si>
  <si>
    <t>31436971</t>
  </si>
  <si>
    <t>"Чапаевский механический завод" - филиал ФКП  "Научно-производственное объединение"Казанский завод точного машиностроения"</t>
  </si>
  <si>
    <t>1654001773</t>
  </si>
  <si>
    <t>633043001</t>
  </si>
  <si>
    <t>08-07-2020 00:00:00</t>
  </si>
  <si>
    <t>04-06-2020 00:00:00</t>
  </si>
  <si>
    <t>Некомбинированная выработка :: Сбыт :: Передача</t>
  </si>
  <si>
    <t>/Тепловая энергия/Производство/Некомбинированная выработка :: /Тепловая энергия/Сбыт :: /Тепловая энергия/Передача</t>
  </si>
  <si>
    <t>26485500</t>
  </si>
  <si>
    <t>АО  “Сызранский нефтеперерабатывающий завод”</t>
  </si>
  <si>
    <t>6325004584</t>
  </si>
  <si>
    <t>997250001</t>
  </si>
  <si>
    <t>24-06-1994 00:00:00</t>
  </si>
  <si>
    <t>01-01-2019 00:00:00</t>
  </si>
  <si>
    <t>27755319</t>
  </si>
  <si>
    <t>АО "ВолгаУралТранс"</t>
  </si>
  <si>
    <t>6317023248</t>
  </si>
  <si>
    <t>631701001</t>
  </si>
  <si>
    <t>19-11-2019 00:00:00</t>
  </si>
  <si>
    <t>Некомбинированная выработка :: Сбыт</t>
  </si>
  <si>
    <t>/Тепловая энергия/Производство/Некомбинированная выработка :: /Тепловая энергия/Сбыт</t>
  </si>
  <si>
    <t>26485475</t>
  </si>
  <si>
    <t>АО "Газпром теплоэнерго Самара"</t>
  </si>
  <si>
    <t>6322036965</t>
  </si>
  <si>
    <t>12-07-2016 00:00:00</t>
  </si>
  <si>
    <t>01-11-2020 00:00:00</t>
  </si>
  <si>
    <t>Некомбинированная выработка</t>
  </si>
  <si>
    <t>/Тепловая энергия/Производство/Некомбинированная выработка</t>
  </si>
  <si>
    <t>26485575</t>
  </si>
  <si>
    <t>АО "КНПЗ"</t>
  </si>
  <si>
    <t>6314006396</t>
  </si>
  <si>
    <t>15-10-2002 00:00:00</t>
  </si>
  <si>
    <t>Комбинированная выработка</t>
  </si>
  <si>
    <t>/Тепловая энергия/Производство/Комбинированная выработка</t>
  </si>
  <si>
    <t>Комбинированная выработка :: Некомбинированная выработка :: Сбыт :: Передача</t>
  </si>
  <si>
    <t>/Тепловая энергия/Производство/Комбинированная выработка :: /Тепловая энергия/Производство/Некомбинированная выработка :: /Тепловая энергия/Сбыт :: /Тепловая энергия/Передача</t>
  </si>
  <si>
    <t>26485577</t>
  </si>
  <si>
    <t>АО "МАК"</t>
  </si>
  <si>
    <t>6313036408</t>
  </si>
  <si>
    <t>631301001</t>
  </si>
  <si>
    <t>01-01-2020 00:00:00</t>
  </si>
  <si>
    <t>26485720</t>
  </si>
  <si>
    <t>АО "ННК"</t>
  </si>
  <si>
    <t>6330017980</t>
  </si>
  <si>
    <t>631050001</t>
  </si>
  <si>
    <t>01-05-2021 00:00:00</t>
  </si>
  <si>
    <t>Комбинированная выработка :: Сбыт :: Передача</t>
  </si>
  <si>
    <t>/Тепловая энергия/Производство/Комбинированная выработка :: /Тепловая энергия/Сбыт :: /Тепловая энергия/Передача</t>
  </si>
  <si>
    <t>26322430</t>
  </si>
  <si>
    <t>АО "Похвистневоэнерго"</t>
  </si>
  <si>
    <t>6372020696</t>
  </si>
  <si>
    <t>637201001</t>
  </si>
  <si>
    <t>13-08-2008 00:00:00</t>
  </si>
  <si>
    <t>26485687</t>
  </si>
  <si>
    <t>АО "РКЦ "Прогресс"</t>
  </si>
  <si>
    <t>6312139922</t>
  </si>
  <si>
    <t>997450001</t>
  </si>
  <si>
    <t>26322473</t>
  </si>
  <si>
    <t>АО "СМЗ"</t>
  </si>
  <si>
    <t>6310000160</t>
  </si>
  <si>
    <t>997550001</t>
  </si>
  <si>
    <t>01-12-2020 00:00:00</t>
  </si>
  <si>
    <t>26485611</t>
  </si>
  <si>
    <t>АО "Салют"</t>
  </si>
  <si>
    <t>6313034986</t>
  </si>
  <si>
    <t>28823140</t>
  </si>
  <si>
    <t>АО "Самаранефтегаз"</t>
  </si>
  <si>
    <t>6315229162</t>
  </si>
  <si>
    <t>23-12-2014 00:00:00</t>
  </si>
  <si>
    <t>24-11-2015 00:00:00</t>
  </si>
  <si>
    <t>Сбыт</t>
  </si>
  <si>
    <t>/Тепловая энергия/Сбыт</t>
  </si>
  <si>
    <t>28-10-2016 00:00:00</t>
  </si>
  <si>
    <t>26485381</t>
  </si>
  <si>
    <t>АО "Теплоэнергокомпания"</t>
  </si>
  <si>
    <t>6330033728</t>
  </si>
  <si>
    <t>633001001</t>
  </si>
  <si>
    <t>28-01-2010 00:00:00</t>
  </si>
  <si>
    <t>30949378</t>
  </si>
  <si>
    <t>АО "Транснефть - Прикамье" Ромашкинское РНУ</t>
  </si>
  <si>
    <t>1645000340</t>
  </si>
  <si>
    <t>164902000</t>
  </si>
  <si>
    <t>31-12-2018 00:00:00</t>
  </si>
  <si>
    <t>Комбинированная выработка :: Сбыт</t>
  </si>
  <si>
    <t>/Тепловая энергия/Производство/Комбинированная выработка :: /Тепловая энергия/Сбыт</t>
  </si>
  <si>
    <t>26322502</t>
  </si>
  <si>
    <t>АО “Авиакор - авиационный завод”</t>
  </si>
  <si>
    <t>6312040056</t>
  </si>
  <si>
    <t>631201001</t>
  </si>
  <si>
    <t>Сбыт :: Передача</t>
  </si>
  <si>
    <t>/Тепловая энергия/Сбыт :: /Тепловая энергия/Передача</t>
  </si>
  <si>
    <t>26485187</t>
  </si>
  <si>
    <t>АО “Газэнергострой”</t>
  </si>
  <si>
    <t>6315354893</t>
  </si>
  <si>
    <t>631501001</t>
  </si>
  <si>
    <t>01-11-2019 00:00:00</t>
  </si>
  <si>
    <t>26485541</t>
  </si>
  <si>
    <t>АО “МЯГКАЯ КРОВЛЯ”</t>
  </si>
  <si>
    <t>6311012433</t>
  </si>
  <si>
    <t>631101001</t>
  </si>
  <si>
    <t>26485717</t>
  </si>
  <si>
    <t>АО “Новокуйбышевский нефтеперерабатывающий завод”</t>
  </si>
  <si>
    <t>6330000553</t>
  </si>
  <si>
    <t>997150001</t>
  </si>
  <si>
    <t>26485379</t>
  </si>
  <si>
    <t>АО “ПРОМСИНТЕЗ”</t>
  </si>
  <si>
    <t>6335007320</t>
  </si>
  <si>
    <t>31023294</t>
  </si>
  <si>
    <t>АО «Самаранефтепродукт»</t>
  </si>
  <si>
    <t>6317019121</t>
  </si>
  <si>
    <t>01-08-2017 00:00:00</t>
  </si>
  <si>
    <t>01-09-2017 00:00:00</t>
  </si>
  <si>
    <t>12-01-2018 00:00:00</t>
  </si>
  <si>
    <t>26322535</t>
  </si>
  <si>
    <t>АО «Транснефть-Приволга»</t>
  </si>
  <si>
    <t>6317024749</t>
  </si>
  <si>
    <t>560202001</t>
  </si>
  <si>
    <t>26485294</t>
  </si>
  <si>
    <t>АО «Транснефть-Приволга» (филиал РНУ)</t>
  </si>
  <si>
    <t>631702003</t>
  </si>
  <si>
    <t>19-03-2019 00:00:00</t>
  </si>
  <si>
    <t>31014933</t>
  </si>
  <si>
    <t>ГАУ «ЦИК СО»</t>
  </si>
  <si>
    <t>6315856452</t>
  </si>
  <si>
    <t>632001001</t>
  </si>
  <si>
    <t>28047698</t>
  </si>
  <si>
    <t>ГБУ СО "Самарский областной геронтологический центр"</t>
  </si>
  <si>
    <t>6313011273</t>
  </si>
  <si>
    <t>28497155</t>
  </si>
  <si>
    <t>ГБУЗ "Самарский областной клинический наркологический диспансер"</t>
  </si>
  <si>
    <t>6314010307</t>
  </si>
  <si>
    <t>631401001</t>
  </si>
  <si>
    <t>26485532</t>
  </si>
  <si>
    <t>ГБУЗ “Cамарская областная клиническая станция переливания крови”</t>
  </si>
  <si>
    <t>6316003425</t>
  </si>
  <si>
    <t>631601001</t>
  </si>
  <si>
    <t>Некомбинированная выработка :: Передача</t>
  </si>
  <si>
    <t>/Тепловая энергия/Производство/Некомбинированная выработка :: /Тепловая энергия/Передача</t>
  </si>
  <si>
    <t>28455520</t>
  </si>
  <si>
    <t>ЗАО "Кинельский хлебозавод"</t>
  </si>
  <si>
    <t>6350021946</t>
  </si>
  <si>
    <t>635001001</t>
  </si>
  <si>
    <t>26774814</t>
  </si>
  <si>
    <t>ЗАО "Энергетика и связь строительства</t>
  </si>
  <si>
    <t>6320005633</t>
  </si>
  <si>
    <t>632401001</t>
  </si>
  <si>
    <t>16-08-2002 00:00:00</t>
  </si>
  <si>
    <t>01-01-2023 00:00:00</t>
  </si>
  <si>
    <t>/Тепловая энергия/Передача</t>
  </si>
  <si>
    <t>26485546</t>
  </si>
  <si>
    <t>ЗАО “Самарский завод Нефтемаш”</t>
  </si>
  <si>
    <t>6314007537</t>
  </si>
  <si>
    <t>26485548</t>
  </si>
  <si>
    <t>ЗАО фирма “Галантерея”</t>
  </si>
  <si>
    <t>6312014313</t>
  </si>
  <si>
    <t>31-10-2019 00:00:00</t>
  </si>
  <si>
    <t>28237568</t>
  </si>
  <si>
    <t>ИП Гращенков В.В.</t>
  </si>
  <si>
    <t>637200358828</t>
  </si>
  <si>
    <t>01-10-2019 00:00:00</t>
  </si>
  <si>
    <t>31516697</t>
  </si>
  <si>
    <t>ИП Каменских О.С.</t>
  </si>
  <si>
    <t>632517403647</t>
  </si>
  <si>
    <t>01-09-2021 00:00:00</t>
  </si>
  <si>
    <t>31432165</t>
  </si>
  <si>
    <t>ИП Марзан Н.А.</t>
  </si>
  <si>
    <t>637200051650</t>
  </si>
  <si>
    <t>27-03-2006 00:00:00</t>
  </si>
  <si>
    <t>28546014</t>
  </si>
  <si>
    <t>ИП Самородов С.Ф.</t>
  </si>
  <si>
    <t>637101834265</t>
  </si>
  <si>
    <t>18-06-2021 00:00:00</t>
  </si>
  <si>
    <t>31347327</t>
  </si>
  <si>
    <t>ИЭВБ РАН – филиал СамНЦ РАН</t>
  </si>
  <si>
    <t>6316032112</t>
  </si>
  <si>
    <t>632443001</t>
  </si>
  <si>
    <t>01-07-2019 00:00:00</t>
  </si>
  <si>
    <t>01-08-2019 00:00:00</t>
  </si>
  <si>
    <t>26485289</t>
  </si>
  <si>
    <t>КРУ АО "Транснефть - Дружба"</t>
  </si>
  <si>
    <t>3235002178</t>
  </si>
  <si>
    <t>636232001</t>
  </si>
  <si>
    <t>01-01-2021 00:00:00</t>
  </si>
  <si>
    <t>26812367</t>
  </si>
  <si>
    <t>Куйбышевская дирекция  по тепловодоснабжению структурное подразделение Центральной дирекции по тепловодоснабжению филиала ПАО «РЖД»</t>
  </si>
  <si>
    <t>7708503727</t>
  </si>
  <si>
    <t>631145034</t>
  </si>
  <si>
    <t>19-04-2011 00:00:00</t>
  </si>
  <si>
    <t>30-01-2017 00:00:00</t>
  </si>
  <si>
    <t>26-02-2019 00:00:00</t>
  </si>
  <si>
    <t>31228932</t>
  </si>
  <si>
    <t>МАУ Исаклинский "ЦОСОР"</t>
  </si>
  <si>
    <t>6381019577</t>
  </si>
  <si>
    <t>638101001</t>
  </si>
  <si>
    <t>22-05-2012 00:00:00</t>
  </si>
  <si>
    <t>31447715</t>
  </si>
  <si>
    <t>МАУ с.п. Ивашевка "Ивашевское"</t>
  </si>
  <si>
    <t>6325076236</t>
  </si>
  <si>
    <t>632501001</t>
  </si>
  <si>
    <t>01-10-2021 00:00:00</t>
  </si>
  <si>
    <t>26485819</t>
  </si>
  <si>
    <t>МБУ "Управление и обслуживание муниципального хозяйства муниципального района Кинельский"</t>
  </si>
  <si>
    <t>6350013590</t>
  </si>
  <si>
    <t>31433850</t>
  </si>
  <si>
    <t>МКП "ЖКХ Варламово"</t>
  </si>
  <si>
    <t>6325074768</t>
  </si>
  <si>
    <t>22-07-2020 00:00:00</t>
  </si>
  <si>
    <t>16-11-2020 00:00:00</t>
  </si>
  <si>
    <t>26641429</t>
  </si>
  <si>
    <t>МКП “Волжское”</t>
  </si>
  <si>
    <t>6325053743</t>
  </si>
  <si>
    <t>01-01-2011 00:00:00</t>
  </si>
  <si>
    <t>26798577</t>
  </si>
  <si>
    <t>МКП ЖКХ "Бобровское"</t>
  </si>
  <si>
    <t>6350013543</t>
  </si>
  <si>
    <t>21-10-2019 00:00:00</t>
  </si>
  <si>
    <t>28982060</t>
  </si>
  <si>
    <t>МП "УК ЖКХ" муниципального района Шигонский</t>
  </si>
  <si>
    <t>6325042903</t>
  </si>
  <si>
    <t>04-02-2016 00:00:00</t>
  </si>
  <si>
    <t>27-05-2021 00:00:00</t>
  </si>
  <si>
    <t>26485278</t>
  </si>
  <si>
    <t>МП “ПО ЖКХ” Клявлинского района</t>
  </si>
  <si>
    <t>6373002805</t>
  </si>
  <si>
    <t>637301001</t>
  </si>
  <si>
    <t>26485104</t>
  </si>
  <si>
    <t>МП “Шенталинское ПОЖКХ”</t>
  </si>
  <si>
    <t>6386000298</t>
  </si>
  <si>
    <t>638601001</t>
  </si>
  <si>
    <t>27-01-2010 00:00:00</t>
  </si>
  <si>
    <t>28792378</t>
  </si>
  <si>
    <t>МП г.о.Самара "Инженерная служба"</t>
  </si>
  <si>
    <t>6315701071</t>
  </si>
  <si>
    <t>27271268</t>
  </si>
  <si>
    <t>МП м.р. Ставропольский "СтавропольРесурсСервис"</t>
  </si>
  <si>
    <t>6382061363</t>
  </si>
  <si>
    <t>18-04-2011 00:00:00</t>
  </si>
  <si>
    <t>27567358</t>
  </si>
  <si>
    <t>МУП "Балашейское ЖКХ"</t>
  </si>
  <si>
    <t>6325056600</t>
  </si>
  <si>
    <t>10-01-2012 00:00:00</t>
  </si>
  <si>
    <t>30872457</t>
  </si>
  <si>
    <t>МУП "Волжские теплосети"</t>
  </si>
  <si>
    <t>6330073167</t>
  </si>
  <si>
    <t>23-01-2017 00:00:00</t>
  </si>
  <si>
    <t>28155005</t>
  </si>
  <si>
    <t>МУП "Жилищно-коммунальная служба муниципального района Алексеевский Самарской области"</t>
  </si>
  <si>
    <t>6377015989</t>
  </si>
  <si>
    <t>637701001</t>
  </si>
  <si>
    <t>13-06-2013 00:00:00</t>
  </si>
  <si>
    <t>26-05-2021 00:00:00</t>
  </si>
  <si>
    <t>31369139</t>
  </si>
  <si>
    <t>МУП "Кротовка"</t>
  </si>
  <si>
    <t>6372023810</t>
  </si>
  <si>
    <t>27-12-2019 00:00:00</t>
  </si>
  <si>
    <t>16-04-2020 00:00:00</t>
  </si>
  <si>
    <t>31-07-2023 00:00:00</t>
  </si>
  <si>
    <t>27622893</t>
  </si>
  <si>
    <t>МУП "Тепло Волжского района"</t>
  </si>
  <si>
    <t>6330050917</t>
  </si>
  <si>
    <t>28-12-2011 00:00:00</t>
  </si>
  <si>
    <t>30899146</t>
  </si>
  <si>
    <t>МУП "Теплообеспечение"</t>
  </si>
  <si>
    <t>6330075220</t>
  </si>
  <si>
    <t>05-04-2017 00:00:00</t>
  </si>
  <si>
    <t>01-01-2022 00:00:00</t>
  </si>
  <si>
    <t>Теплоноситель - Производство</t>
  </si>
  <si>
    <t>Производство</t>
  </si>
  <si>
    <t>/Теплоноситель/Производство</t>
  </si>
  <si>
    <t>28940223</t>
  </si>
  <si>
    <t>МУП "Теплоснабжение"</t>
  </si>
  <si>
    <t>6375193457</t>
  </si>
  <si>
    <t>637501001</t>
  </si>
  <si>
    <t>12-02-2016 00:00:00</t>
  </si>
  <si>
    <t>27500837</t>
  </si>
  <si>
    <t>МУП "Теплоэнергосеть"</t>
  </si>
  <si>
    <t>6375194411</t>
  </si>
  <si>
    <t>29-11-2011 00:00:00</t>
  </si>
  <si>
    <t>28817364</t>
  </si>
  <si>
    <t>МУП "Юбилейный" Волжского района</t>
  </si>
  <si>
    <t>6330061860</t>
  </si>
  <si>
    <t>Теплоноситель - Передача</t>
  </si>
  <si>
    <t>/Теплоноситель/Передача</t>
  </si>
  <si>
    <t>26485216</t>
  </si>
  <si>
    <t>МУП “ЖИЛКОМСЕРВИС”</t>
  </si>
  <si>
    <t>6376017704</t>
  </si>
  <si>
    <t>637601001</t>
  </si>
  <si>
    <t>01-12-2019 00:00:00</t>
  </si>
  <si>
    <t>26485139</t>
  </si>
  <si>
    <t>МУП “ЖКХ “Утевское”</t>
  </si>
  <si>
    <t>6377001070</t>
  </si>
  <si>
    <t>26485135</t>
  </si>
  <si>
    <t>МУП “ЖКХ Пестравского района”</t>
  </si>
  <si>
    <t>6378000209</t>
  </si>
  <si>
    <t>26485332</t>
  </si>
  <si>
    <t>МУП “КомХоз”</t>
  </si>
  <si>
    <t>6369012303</t>
  </si>
  <si>
    <t>636901001</t>
  </si>
  <si>
    <t>26485371</t>
  </si>
  <si>
    <t>МУП “Тепло” (Борский район)</t>
  </si>
  <si>
    <t>6377011293</t>
  </si>
  <si>
    <t>26485268</t>
  </si>
  <si>
    <t>МУП “Теплосеть”</t>
  </si>
  <si>
    <t>6381010704</t>
  </si>
  <si>
    <t>28534239</t>
  </si>
  <si>
    <t>МУП «Волжское ЖКХ»</t>
  </si>
  <si>
    <t>6330061891</t>
  </si>
  <si>
    <t>26485797</t>
  </si>
  <si>
    <t>МУП Большеглушицкого района Самарской области ПОЖКХ</t>
  </si>
  <si>
    <t>6364000199</t>
  </si>
  <si>
    <t>636401001</t>
  </si>
  <si>
    <t>26485131</t>
  </si>
  <si>
    <t>МУПП ЖКХ Похвистневского района</t>
  </si>
  <si>
    <t>6379000089</t>
  </si>
  <si>
    <t>635701001</t>
  </si>
  <si>
    <t>31472246</t>
  </si>
  <si>
    <t>Муниципальное автономное учреждение сельского поселения Рамено муниципального района Сызранский Самарской области «Благоустройство»</t>
  </si>
  <si>
    <t>6325076451</t>
  </si>
  <si>
    <t>12-10-2021 00:00:00</t>
  </si>
  <si>
    <t>26485670</t>
  </si>
  <si>
    <t>ОАО “1253 ЦРБ РЛВ”</t>
  </si>
  <si>
    <t>6313535005</t>
  </si>
  <si>
    <t>31-12-2019 00:00:00</t>
  </si>
  <si>
    <t>26485674</t>
  </si>
  <si>
    <t>ОАО Самарский завод “Экран”</t>
  </si>
  <si>
    <t>6319033724</t>
  </si>
  <si>
    <t>631901001</t>
  </si>
  <si>
    <t>27708360</t>
  </si>
  <si>
    <t>ООО "АВИАСПЕЦМОНТАЖ"</t>
  </si>
  <si>
    <t>6312054482</t>
  </si>
  <si>
    <t>27675710</t>
  </si>
  <si>
    <t>ООО "АВТОГРАД-ВОДОКАНАЛ"</t>
  </si>
  <si>
    <t>6321280368</t>
  </si>
  <si>
    <t>632101001</t>
  </si>
  <si>
    <t>01-03-2022 00:00:00</t>
  </si>
  <si>
    <t>26322451</t>
  </si>
  <si>
    <t>ООО "БИАКСПЛЕН"</t>
  </si>
  <si>
    <t>5244013331</t>
  </si>
  <si>
    <t>28454874</t>
  </si>
  <si>
    <t>ООО "Баня"</t>
  </si>
  <si>
    <t>6362013530</t>
  </si>
  <si>
    <t>636201001</t>
  </si>
  <si>
    <t>30894809</t>
  </si>
  <si>
    <t>ООО "Вертикальная линия-С"</t>
  </si>
  <si>
    <t>6316146286</t>
  </si>
  <si>
    <t>31649047</t>
  </si>
  <si>
    <t>ООО "ГС"</t>
  </si>
  <si>
    <t>6330098563</t>
  </si>
  <si>
    <t>26-10-2022 00:00:00</t>
  </si>
  <si>
    <t>26527683</t>
  </si>
  <si>
    <t>ООО "Газпром трансгаз Самара" (филиал  Управление по эксплуатации зданий и сооружений)</t>
  </si>
  <si>
    <t>6315000291</t>
  </si>
  <si>
    <t>631643004</t>
  </si>
  <si>
    <t>26527673</t>
  </si>
  <si>
    <t>ООО "Газпром трансгаз Самара" (филиал Управление технологического транспорта и специальной техники)</t>
  </si>
  <si>
    <t>631643002</t>
  </si>
  <si>
    <t>28263191</t>
  </si>
  <si>
    <t>ООО "Долина-Центр-С"</t>
  </si>
  <si>
    <t>6316079449</t>
  </si>
  <si>
    <t>30984296</t>
  </si>
  <si>
    <t>ООО "ЗПП-Энерго"</t>
  </si>
  <si>
    <t>6312073196</t>
  </si>
  <si>
    <t>31222831</t>
  </si>
  <si>
    <t>ООО "Инжиниринг сетеком"</t>
  </si>
  <si>
    <t>6312188567</t>
  </si>
  <si>
    <t>31447723</t>
  </si>
  <si>
    <t>ООО "КОНСУЛЬТАНТ"</t>
  </si>
  <si>
    <t>6312131948</t>
  </si>
  <si>
    <t>25-10-2013 00:00:00</t>
  </si>
  <si>
    <t>19-10-2020 00:00:00</t>
  </si>
  <si>
    <t>27883109</t>
  </si>
  <si>
    <t>ООО "Комфорт Дом"</t>
  </si>
  <si>
    <t>6324016308</t>
  </si>
  <si>
    <t>05-10-2012 00:00:00</t>
  </si>
  <si>
    <t>19-10-2018 00:00:00</t>
  </si>
  <si>
    <t>31513663</t>
  </si>
  <si>
    <t>ООО "Кошелев менеджмент"</t>
  </si>
  <si>
    <t>7327072119</t>
  </si>
  <si>
    <t>14-04-2014 00:00:00</t>
  </si>
  <si>
    <t>31365983</t>
  </si>
  <si>
    <t>ООО "Красноярская ТЭК"</t>
  </si>
  <si>
    <t>6376027942</t>
  </si>
  <si>
    <t>02-12-2019 00:00:00</t>
  </si>
  <si>
    <t>31446203</t>
  </si>
  <si>
    <t>ООО "Криста"</t>
  </si>
  <si>
    <t>6325014053</t>
  </si>
  <si>
    <t>30-08-2002 00:00:00</t>
  </si>
  <si>
    <t>05-10-2020 00:00:00</t>
  </si>
  <si>
    <t>31426402</t>
  </si>
  <si>
    <t>ООО "Нефтегаз"</t>
  </si>
  <si>
    <t>6319141600</t>
  </si>
  <si>
    <t>23-05-2007 00:00:00</t>
  </si>
  <si>
    <t>17-08-2020 00:00:00</t>
  </si>
  <si>
    <t>26383164</t>
  </si>
  <si>
    <t>ООО "СВГК"</t>
  </si>
  <si>
    <t>6314012801</t>
  </si>
  <si>
    <t>31388770</t>
  </si>
  <si>
    <t>ООО "СП Лидер"</t>
  </si>
  <si>
    <t>6330072879</t>
  </si>
  <si>
    <t>22-07-2016 00:00:00</t>
  </si>
  <si>
    <t>01-02-2020 00:00:00</t>
  </si>
  <si>
    <t>31-08-2023 00:00:00</t>
  </si>
  <si>
    <t>28262841</t>
  </si>
  <si>
    <t>ООО "СПЕЦАВТОМАТИКА"</t>
  </si>
  <si>
    <t>6323074392</t>
  </si>
  <si>
    <t>31-12-2022 00:00:00</t>
  </si>
  <si>
    <t>26322492</t>
  </si>
  <si>
    <t>ООО "СТРОММАШИНА"</t>
  </si>
  <si>
    <t>6318128028</t>
  </si>
  <si>
    <t>631801001</t>
  </si>
  <si>
    <t>31438609</t>
  </si>
  <si>
    <t>ООО "СТЭК"</t>
  </si>
  <si>
    <t>6312195268</t>
  </si>
  <si>
    <t>25-08-2020 00:00:00</t>
  </si>
  <si>
    <t>01-09-2020 00:00:00</t>
  </si>
  <si>
    <t>09-10-2020 00:00:00</t>
  </si>
  <si>
    <t>31442128</t>
  </si>
  <si>
    <t>ООО "СамРЭК-Нефтегорск"</t>
  </si>
  <si>
    <t>6377011590</t>
  </si>
  <si>
    <t>10-09-2020 00:00:00</t>
  </si>
  <si>
    <t>Теплоноситель - Сбыт :: Производство</t>
  </si>
  <si>
    <t>Сбыт :: Производство</t>
  </si>
  <si>
    <t>/Теплоноситель/Сбыт :: /Теплоноситель/Производство</t>
  </si>
  <si>
    <t>31432962</t>
  </si>
  <si>
    <t>12-04-2019 00:00:00</t>
  </si>
  <si>
    <t>12-08-2020 00:00:00</t>
  </si>
  <si>
    <t>28262360</t>
  </si>
  <si>
    <t>ООО "СамРЭК-Эксплуатация"</t>
  </si>
  <si>
    <t>6315648332</t>
  </si>
  <si>
    <t>25-08-2016 00:00:00</t>
  </si>
  <si>
    <t>20-09-2016 00:00:00</t>
  </si>
  <si>
    <t>02-10-2017 00:00:00</t>
  </si>
  <si>
    <t>16-03-2022 00:00:00</t>
  </si>
  <si>
    <t>31256251</t>
  </si>
  <si>
    <t>ООО "СамЭК"</t>
  </si>
  <si>
    <t>6316236941</t>
  </si>
  <si>
    <t>11-08-2017 00:00:00</t>
  </si>
  <si>
    <t>26852799</t>
  </si>
  <si>
    <t>ООО "Сервисная коммунальная компания"</t>
  </si>
  <si>
    <t>6381013776</t>
  </si>
  <si>
    <t>01-05-2011 00:00:00</t>
  </si>
  <si>
    <t>31516993</t>
  </si>
  <si>
    <t>ООО "ТЕПЛОРЕСУРС"</t>
  </si>
  <si>
    <t>1324003589</t>
  </si>
  <si>
    <t>132401001</t>
  </si>
  <si>
    <t>27-11-2020 00:00:00</t>
  </si>
  <si>
    <t>01-12-2022 00:00:00</t>
  </si>
  <si>
    <t>31-01-2023 00:00:00</t>
  </si>
  <si>
    <t>13-10-2021 00:00:00</t>
  </si>
  <si>
    <t>02-02-2023 00:00:00</t>
  </si>
  <si>
    <t>30842819</t>
  </si>
  <si>
    <t>ООО "Телекомстрой"</t>
  </si>
  <si>
    <t>6316110709</t>
  </si>
  <si>
    <t>31443583</t>
  </si>
  <si>
    <t>ООО "Тепловые сети"</t>
  </si>
  <si>
    <t>6320038678</t>
  </si>
  <si>
    <t>23-09-2020 00:00:00</t>
  </si>
  <si>
    <t>10-08-2020 00:00:00</t>
  </si>
  <si>
    <t>31528723</t>
  </si>
  <si>
    <t>ООО "Теплогенерация"</t>
  </si>
  <si>
    <t>6314039641</t>
  </si>
  <si>
    <t>26-11-2021 00:00:00</t>
  </si>
  <si>
    <t>26485397</t>
  </si>
  <si>
    <t>ООО "Тольяттикаучук"</t>
  </si>
  <si>
    <t>6323049893</t>
  </si>
  <si>
    <t>14-05-1999 00:00:00</t>
  </si>
  <si>
    <t>28817169</t>
  </si>
  <si>
    <t>ООО "УК "Промкомстрой"</t>
  </si>
  <si>
    <t>6325058004</t>
  </si>
  <si>
    <t>08-10-2014 00:00:00</t>
  </si>
  <si>
    <t>27357607</t>
  </si>
  <si>
    <t>ООО "Уют"</t>
  </si>
  <si>
    <t>6350005366</t>
  </si>
  <si>
    <t>02-06-2011 00:00:00</t>
  </si>
  <si>
    <t>11-10-2016 00:00:00</t>
  </si>
  <si>
    <t>Теплоноситель - Сбыт</t>
  </si>
  <si>
    <t>/Теплоноситель/Сбыт</t>
  </si>
  <si>
    <t>30988931</t>
  </si>
  <si>
    <t>ООО "ЭНЕРГО"</t>
  </si>
  <si>
    <t>6312072114</t>
  </si>
  <si>
    <t>01-02-2019 00:00:00</t>
  </si>
  <si>
    <t>31-12-2021 00:00:00</t>
  </si>
  <si>
    <t>30404841</t>
  </si>
  <si>
    <t>ООО "ЭНЕРГОПРОМСЕРВИС"</t>
  </si>
  <si>
    <t>5256133538</t>
  </si>
  <si>
    <t>525601001</t>
  </si>
  <si>
    <t>26836331</t>
  </si>
  <si>
    <t>ООО "Энергетик"</t>
  </si>
  <si>
    <t>6325033916</t>
  </si>
  <si>
    <t>28874702</t>
  </si>
  <si>
    <t>ООО "Энергоресурс"</t>
  </si>
  <si>
    <t>6317101591</t>
  </si>
  <si>
    <t>Теплоноситель - Сбыт :: Передача</t>
  </si>
  <si>
    <t>/Теплоноситель/Сбыт :: /Теплоноситель/Передача</t>
  </si>
  <si>
    <t>30875705</t>
  </si>
  <si>
    <t>ООО "Юг сети"</t>
  </si>
  <si>
    <t>6319163931</t>
  </si>
  <si>
    <t>10-07-2017 00:00:00</t>
  </si>
  <si>
    <t>26550519</t>
  </si>
  <si>
    <t>ООО “Бизнес Инфо”</t>
  </si>
  <si>
    <t>6316141200</t>
  </si>
  <si>
    <t>02-11-2019 00:00:00</t>
  </si>
  <si>
    <t>26485817</t>
  </si>
  <si>
    <t>ООО “Бытсервис”</t>
  </si>
  <si>
    <t>6375192848</t>
  </si>
  <si>
    <t>26485685</t>
  </si>
  <si>
    <t>ООО “ВЭТ”</t>
  </si>
  <si>
    <t>6318160247</t>
  </si>
  <si>
    <t>04-12-2019 00:00:00</t>
  </si>
  <si>
    <t>26641438</t>
  </si>
  <si>
    <t>ООО “ГОТЭ”</t>
  </si>
  <si>
    <t>6372014533</t>
  </si>
  <si>
    <t>26485708</t>
  </si>
  <si>
    <t>ООО “Газпром ПХГ” филиал - “Похвистневское управление подземного хранения газа”</t>
  </si>
  <si>
    <t>5003065767</t>
  </si>
  <si>
    <t>635702001</t>
  </si>
  <si>
    <t>26485554</t>
  </si>
  <si>
    <t>ООО “ЗИМ-Энерго”</t>
  </si>
  <si>
    <t>6316138623</t>
  </si>
  <si>
    <t>26485645</t>
  </si>
  <si>
    <t>ООО “Завод приборных подшипников”</t>
  </si>
  <si>
    <t>6367032625</t>
  </si>
  <si>
    <t>26485765</t>
  </si>
  <si>
    <t>ООО “КСК г. Отрадного”</t>
  </si>
  <si>
    <t>6372008843</t>
  </si>
  <si>
    <t>26485239</t>
  </si>
  <si>
    <t>ООО “Коммунарское коммунальное хозяйство”</t>
  </si>
  <si>
    <t>6376120878</t>
  </si>
  <si>
    <t>26485300</t>
  </si>
  <si>
    <t>ООО “Росна Сервис”</t>
  </si>
  <si>
    <t>6372018810</t>
  </si>
  <si>
    <t>26641460</t>
  </si>
  <si>
    <t>ООО “Сети”</t>
  </si>
  <si>
    <t>6381013102</t>
  </si>
  <si>
    <t>26641444</t>
  </si>
  <si>
    <t>ООО “Солидарность”</t>
  </si>
  <si>
    <t>6372014847</t>
  </si>
  <si>
    <t>26485303</t>
  </si>
  <si>
    <t>ООО “Стройсервис”</t>
  </si>
  <si>
    <t>6372003203</t>
  </si>
  <si>
    <t>26485325</t>
  </si>
  <si>
    <t>ООО “Теплосеть”</t>
  </si>
  <si>
    <t>6350011458</t>
  </si>
  <si>
    <t>09-09-2018 00:00:00</t>
  </si>
  <si>
    <t>26485246</t>
  </si>
  <si>
    <t>ООО “ЭНЕРГОЗАВОД”</t>
  </si>
  <si>
    <t>6376012939</t>
  </si>
  <si>
    <t>31600281</t>
  </si>
  <si>
    <t>ООО «Акварель-Тепло»</t>
  </si>
  <si>
    <t>6316273894</t>
  </si>
  <si>
    <t>31600286</t>
  </si>
  <si>
    <t>ООО «Альтернатива»</t>
  </si>
  <si>
    <t>6319241040</t>
  </si>
  <si>
    <t>26641462</t>
  </si>
  <si>
    <t>ООО «ЖКХ пос. Октябрьский»</t>
  </si>
  <si>
    <t>6372014318</t>
  </si>
  <si>
    <t>27-12-2010 00:00:00</t>
  </si>
  <si>
    <t>30876209</t>
  </si>
  <si>
    <t>ООО «Коммунальные технологии»</t>
  </si>
  <si>
    <t>6375001596</t>
  </si>
  <si>
    <t>31361967</t>
  </si>
  <si>
    <t>ООО «СТЭК»</t>
  </si>
  <si>
    <t>6317007060</t>
  </si>
  <si>
    <t>31088933</t>
  </si>
  <si>
    <t>ООО «Эталон»</t>
  </si>
  <si>
    <t>6325036811</t>
  </si>
  <si>
    <t>31346732</t>
  </si>
  <si>
    <t>ООО ТД"Респект"</t>
  </si>
  <si>
    <t>6322028844</t>
  </si>
  <si>
    <t>26485298</t>
  </si>
  <si>
    <t>ООО фирма “ЗаДуМКа”</t>
  </si>
  <si>
    <t>6372003764</t>
  </si>
  <si>
    <t>02-10-2021 00:00:00</t>
  </si>
  <si>
    <t>31361889</t>
  </si>
  <si>
    <t>Общество с ограниченной ответственностью «Кинельская теплоэнергетическая компания»</t>
  </si>
  <si>
    <t>6350025690</t>
  </si>
  <si>
    <t>26322468</t>
  </si>
  <si>
    <t>ПАО “Завод имени А.М. Тарасова”</t>
  </si>
  <si>
    <t>6319017480</t>
  </si>
  <si>
    <t>26485603</t>
  </si>
  <si>
    <t>ПАО “КУЗНЕЦОВ”</t>
  </si>
  <si>
    <t>6319033379</t>
  </si>
  <si>
    <t>31231988</t>
  </si>
  <si>
    <t>ФГБУ "СКК "Приволжский" Министерства обороны Российской Федерации</t>
  </si>
  <si>
    <t>7420003536</t>
  </si>
  <si>
    <t>26485102</t>
  </si>
  <si>
    <t>ФГБУ “Санаторий “Волжский утес имени академика Е.И. Чазова"</t>
  </si>
  <si>
    <t>6387002139</t>
  </si>
  <si>
    <t>638701001</t>
  </si>
  <si>
    <t>26485122</t>
  </si>
  <si>
    <t>ФГБУЗ МРЦ "Сергиевские минеральные воды" ФМБА России</t>
  </si>
  <si>
    <t>6381000103</t>
  </si>
  <si>
    <t>26784998</t>
  </si>
  <si>
    <t>ФКП "Самарский завод "Коммунар"</t>
  </si>
  <si>
    <t>6367080065</t>
  </si>
  <si>
    <t>636701001</t>
  </si>
  <si>
    <t>23-10-2000 00:00:00</t>
  </si>
  <si>
    <t>27901240</t>
  </si>
  <si>
    <t>ФКУ ИК-10 УФСИН России по Самарской области</t>
  </si>
  <si>
    <t>6376000757</t>
  </si>
  <si>
    <t>26485356</t>
  </si>
  <si>
    <t>ФКУ ИК-13 УФСИН России по Самарской области</t>
  </si>
  <si>
    <t>6367080308</t>
  </si>
  <si>
    <t>28452326</t>
  </si>
  <si>
    <t>ФКУ ИК-15 УФСИН России по Самарской области</t>
  </si>
  <si>
    <t>6314015873</t>
  </si>
  <si>
    <t>28493642</t>
  </si>
  <si>
    <t>ФКУ ИК-16 УФСИН России по Самарской области</t>
  </si>
  <si>
    <t>6322016239</t>
  </si>
  <si>
    <t>28462598</t>
  </si>
  <si>
    <t>ФКУ ИК-26 УФСИН России по Самарской области</t>
  </si>
  <si>
    <t>6367080298</t>
  </si>
  <si>
    <t>28463454</t>
  </si>
  <si>
    <t>ФКУ ИК-28 УФСИН России по Самарской области</t>
  </si>
  <si>
    <t>6367080280</t>
  </si>
  <si>
    <t>28047414</t>
  </si>
  <si>
    <t>ФКУ ИК-5 УФСИН России по Самарской области</t>
  </si>
  <si>
    <t>6314015880</t>
  </si>
  <si>
    <t>26485668</t>
  </si>
  <si>
    <t>ФКУ ИК-6 УФСИН России по Самарской области</t>
  </si>
  <si>
    <t>6313010110</t>
  </si>
  <si>
    <t>27540016</t>
  </si>
  <si>
    <t>Филиал "Самарский" ПАО "Т Плюс"</t>
  </si>
  <si>
    <t>6315376946</t>
  </si>
  <si>
    <t>631543004</t>
  </si>
  <si>
    <t>14-12-2011 00:00:00</t>
  </si>
  <si>
    <t>30837527</t>
  </si>
  <si>
    <t>Филиал «Молочный Комбинат «САМАРАЛАКТО» АО «ДАНОН РОССИЯ»</t>
  </si>
  <si>
    <t>7714626332</t>
  </si>
  <si>
    <t>631802001</t>
  </si>
  <si>
    <t>30847621</t>
  </si>
  <si>
    <t>Филиал АО «Транснефть – Приволга» ЦБПО</t>
  </si>
  <si>
    <t>633002001</t>
  </si>
  <si>
    <t>30914574</t>
  </si>
  <si>
    <t>Филиал ФГБУ "ЦЖКУ" МИНОБОРОНЫ РОССИИ (по ЦВО)</t>
  </si>
  <si>
    <t>7729314745</t>
  </si>
  <si>
    <t>667043001</t>
  </si>
  <si>
    <t>01-09-2022 00:00:00</t>
  </si>
  <si>
    <t>26485106</t>
  </si>
  <si>
    <t>Челно – Вершинское МУП ПОЖКХ</t>
  </si>
  <si>
    <t>6385000802</t>
  </si>
  <si>
    <t>638501001</t>
  </si>
  <si>
    <t>01-02-2016 00:00:00</t>
  </si>
  <si>
    <t>Оказание услуг в сфере горячего водоснабжения</t>
  </si>
  <si>
    <t>/ГВС/Сбыт :: /ГВС/Производство</t>
  </si>
  <si>
    <t>04-07-2018 00:00:00</t>
  </si>
  <si>
    <t>Сбыт :: Производство :: Транспортировка</t>
  </si>
  <si>
    <t>/ГВС/Сбыт :: /ГВС/Производство :: /ГВС/Транспортировка</t>
  </si>
  <si>
    <t>18-02-2016 00:00:00</t>
  </si>
  <si>
    <t>11-02-2016 00:00:00</t>
  </si>
  <si>
    <t>25-09-2017 00:00:00</t>
  </si>
  <si>
    <t>15-09-2021 00:00:00</t>
  </si>
  <si>
    <t>Поставка горячей воды</t>
  </si>
  <si>
    <t>/ГВС/Сбыт</t>
  </si>
  <si>
    <t>16-10-2017 00:00:00</t>
  </si>
  <si>
    <t>26-05-2016 00:00:00</t>
  </si>
  <si>
    <t>/ГВС/Производство</t>
  </si>
  <si>
    <t>01-05-2020 00:00:00</t>
  </si>
  <si>
    <t>08-05-2020 00:00:00</t>
  </si>
  <si>
    <t>06-11-2020 00:00:00</t>
  </si>
  <si>
    <t>27-08-2013 00:00:00</t>
  </si>
  <si>
    <t>30-04-2023 00:00:00</t>
  </si>
  <si>
    <t>25-02-2016 00:00:00</t>
  </si>
  <si>
    <t>21-09-2022 00:00:00</t>
  </si>
  <si>
    <t>01-12-2018 00:00:00</t>
  </si>
  <si>
    <t>16-10-2019 00:00:00</t>
  </si>
  <si>
    <t>01-02-2021 00:00:00</t>
  </si>
  <si>
    <t>Производство :: Транспортировка</t>
  </si>
  <si>
    <t>/ГВС/Производство :: /ГВС/Транспортировка</t>
  </si>
  <si>
    <t>15-06-2022 00:00:00</t>
  </si>
  <si>
    <t>Оказание услуг в сфере водоснабжения</t>
  </si>
  <si>
    <t>Подвоз воды :: Техническая :: Питьевая :: Техническая :: Питьевая :: Техническая :: Питьевая :: Очистка</t>
  </si>
  <si>
    <t>/ХВС/Подвоз воды :: /ХВС/Сбыт/Техническая :: /ХВС/Сбыт/Питьевая :: /ХВС/Транспортировка/Техническая :: /ХВС/Транспортировка/Питьевая :: /ХВС/Производство/Техническая :: /ХВС/Производство/Питьевая :: /ХВС/Очистка</t>
  </si>
  <si>
    <t>26783848</t>
  </si>
  <si>
    <t>АО "Водоканал"</t>
  </si>
  <si>
    <t>6377011416</t>
  </si>
  <si>
    <t>16-03-2010 00:00:00</t>
  </si>
  <si>
    <t>01-04-2023 00:00:00</t>
  </si>
  <si>
    <t>26-09-2023 00:00:00</t>
  </si>
  <si>
    <t>Питьевая</t>
  </si>
  <si>
    <t>/ХВС/Производство/Питьевая</t>
  </si>
  <si>
    <t>Питьевая :: Питьевая :: Питьевая</t>
  </si>
  <si>
    <t>/ХВС/Сбыт/Питьевая :: /ХВС/Транспортировка/Питьевая :: /ХВС/Производство/Питьевая</t>
  </si>
  <si>
    <t>Транспортировка воды</t>
  </si>
  <si>
    <t>01-06-2021 00:00:00</t>
  </si>
  <si>
    <t>Техническая :: Питьевая :: Техническая :: Питьевая :: Техническая :: Питьевая</t>
  </si>
  <si>
    <t>/ХВС/Сбыт/Техническая :: /ХВС/Сбыт/Питьевая :: /ХВС/Транспортировка/Техническая :: /ХВС/Транспортировка/Питьевая :: /ХВС/Производство/Техническая :: /ХВС/Производство/Питьевая</t>
  </si>
  <si>
    <t>27-09-2023 00:00:00</t>
  </si>
  <si>
    <t>30918061</t>
  </si>
  <si>
    <t>АО "Особая экономическая зона промышленно-производственного типа "Тольятти"</t>
  </si>
  <si>
    <t>6321345424</t>
  </si>
  <si>
    <t>01-12-2017 00:00:00</t>
  </si>
  <si>
    <t>/ХВС/Транспортировка/Питьевая</t>
  </si>
  <si>
    <t>26485395</t>
  </si>
  <si>
    <t>АО “ТЕВИС”</t>
  </si>
  <si>
    <t>6320000561</t>
  </si>
  <si>
    <t>Питьевая :: Питьевая</t>
  </si>
  <si>
    <t>/ХВС/Сбыт/Питьевая :: /ХВС/Производство/Питьевая</t>
  </si>
  <si>
    <t>25-01-2017 00:00:00</t>
  </si>
  <si>
    <t>26485128</t>
  </si>
  <si>
    <t>ЗАО “Северный ключ”</t>
  </si>
  <si>
    <t>6379000674</t>
  </si>
  <si>
    <t>30-07-2013 00:00:00</t>
  </si>
  <si>
    <t>11-09-2020 00:00:00</t>
  </si>
  <si>
    <t>11-10-2020 00:00:00</t>
  </si>
  <si>
    <t>/ХВС/Сбыт/Питьевая</t>
  </si>
  <si>
    <t>31415659</t>
  </si>
  <si>
    <t>ИП Ненин Ю.В.</t>
  </si>
  <si>
    <t>634004192232</t>
  </si>
  <si>
    <t>20-08-2019 00:00:00</t>
  </si>
  <si>
    <t>09-03-2020 00:00:00</t>
  </si>
  <si>
    <t>12-04-2023 00:00:00</t>
  </si>
  <si>
    <t>Питьевая :: Питьевая :: Очистка</t>
  </si>
  <si>
    <t>/ХВС/Сбыт/Питьевая :: /ХВС/Производство/Питьевая :: /ХВС/Очистка</t>
  </si>
  <si>
    <t>31390473</t>
  </si>
  <si>
    <t>КРУ АО"Транснефть-Дружба" ЛПДС "Воскресенка"</t>
  </si>
  <si>
    <t>633045001</t>
  </si>
  <si>
    <t>Техническая</t>
  </si>
  <si>
    <t>/ХВС/Производство/Техническая</t>
  </si>
  <si>
    <t>Подвоз воды :: Техническая :: Питьевая :: Техническая :: Питьевая :: Очистка</t>
  </si>
  <si>
    <t>/ХВС/Подвоз воды :: /ХВС/Сбыт/Техническая :: /ХВС/Сбыт/Питьевая :: /ХВС/Производство/Техническая :: /ХВС/Производство/Питьевая :: /ХВС/Очистка</t>
  </si>
  <si>
    <t>Техническая :: Питьевая</t>
  </si>
  <si>
    <t>/ХВС/Транспортировка/Техническая :: /ХВС/Транспортировка/Питьевая</t>
  </si>
  <si>
    <t>31448270</t>
  </si>
  <si>
    <t>МАУ "Служба ЖКХ и благоустройства"</t>
  </si>
  <si>
    <t>6325076162</t>
  </si>
  <si>
    <t>09-09-2020 00:00:00</t>
  </si>
  <si>
    <t>31452465</t>
  </si>
  <si>
    <t>МАУ с.п. Жемковка "Благоустройство"</t>
  </si>
  <si>
    <t>6325076290</t>
  </si>
  <si>
    <t>31452472</t>
  </si>
  <si>
    <t>МАУ с.п. Чекалино "Благоустройство"</t>
  </si>
  <si>
    <t>6325076074</t>
  </si>
  <si>
    <t>31451236</t>
  </si>
  <si>
    <t>МАУ сельского поселения Заборовка "Благоустройство"</t>
  </si>
  <si>
    <t>6325076250</t>
  </si>
  <si>
    <t>19-11-2020 00:00:00</t>
  </si>
  <si>
    <t>31565582</t>
  </si>
  <si>
    <t>МКП "Водолей"</t>
  </si>
  <si>
    <t>6330093244</t>
  </si>
  <si>
    <t>27-04-2022 00:00:00</t>
  </si>
  <si>
    <t>Техническая :: Техническая</t>
  </si>
  <si>
    <t>/ХВС/Сбыт/Техническая :: /ХВС/Производство/Техническая</t>
  </si>
  <si>
    <t>28536044</t>
  </si>
  <si>
    <t>МКП ЖКХ "Благоустройство"</t>
  </si>
  <si>
    <t>6350020861</t>
  </si>
  <si>
    <t>25-03-2011 00:00:00</t>
  </si>
  <si>
    <t>26381101</t>
  </si>
  <si>
    <t>МП "Производственное объединение жилищно-коммунального хозяйства муниципального района Кошкинский"</t>
  </si>
  <si>
    <t>6374000825</t>
  </si>
  <si>
    <t>637401001</t>
  </si>
  <si>
    <t>15-09-2008 00:00:00</t>
  </si>
  <si>
    <t>28160669</t>
  </si>
  <si>
    <t>МП "Сервис"</t>
  </si>
  <si>
    <t>6369010930</t>
  </si>
  <si>
    <t>03-07-2013 00:00:00</t>
  </si>
  <si>
    <t>30354190</t>
  </si>
  <si>
    <t>МП г.о. Самара "Самараводоканал"</t>
  </si>
  <si>
    <t>6316029945</t>
  </si>
  <si>
    <t>26-10-2015 00:00:00</t>
  </si>
  <si>
    <t>10-03-2020 00:00:00</t>
  </si>
  <si>
    <t>31476415</t>
  </si>
  <si>
    <t>МУП "Абашево"</t>
  </si>
  <si>
    <t>6330092667</t>
  </si>
  <si>
    <t>01-03-2021 00:00:00</t>
  </si>
  <si>
    <t>02-05-2023 00:00:00</t>
  </si>
  <si>
    <t>03-05-2023 00:00:00</t>
  </si>
  <si>
    <t>26374894</t>
  </si>
  <si>
    <t>МУП "Акчал"</t>
  </si>
  <si>
    <t>6381011401</t>
  </si>
  <si>
    <t>31464825</t>
  </si>
  <si>
    <t>МУП "ВОДА"</t>
  </si>
  <si>
    <t>6330092191</t>
  </si>
  <si>
    <t>19-01-2021 00:00:00</t>
  </si>
  <si>
    <t>27937337</t>
  </si>
  <si>
    <t>МУП "Вода"</t>
  </si>
  <si>
    <t>6377014880</t>
  </si>
  <si>
    <t>02-11-2012 00:00:00</t>
  </si>
  <si>
    <t>30894268</t>
  </si>
  <si>
    <t>МУП "Вода-16"</t>
  </si>
  <si>
    <t>6330074114</t>
  </si>
  <si>
    <t>22-03-2017 00:00:00</t>
  </si>
  <si>
    <t>28869900</t>
  </si>
  <si>
    <t>МУП "Водоканал Подстепки"</t>
  </si>
  <si>
    <t>6382067750</t>
  </si>
  <si>
    <t>15-01-2015 00:00:00</t>
  </si>
  <si>
    <t>27540133</t>
  </si>
  <si>
    <t>МУП "Водоканал"</t>
  </si>
  <si>
    <t>6330043412</t>
  </si>
  <si>
    <t>01-02-2011 00:00:00</t>
  </si>
  <si>
    <t>27973110</t>
  </si>
  <si>
    <t>МУП "ВодоканалСервис"</t>
  </si>
  <si>
    <t>6330052128</t>
  </si>
  <si>
    <t>01-05-2012 00:00:00</t>
  </si>
  <si>
    <t>26374889</t>
  </si>
  <si>
    <t>МУП "Водолей"</t>
  </si>
  <si>
    <t>6381010863</t>
  </si>
  <si>
    <t>26374844</t>
  </si>
  <si>
    <t>МУП "Водопроводно-канализационное хозяйство</t>
  </si>
  <si>
    <t>6357020250</t>
  </si>
  <si>
    <t>26777219</t>
  </si>
  <si>
    <t>МУП "Водоснабжение"</t>
  </si>
  <si>
    <t>6375193506</t>
  </si>
  <si>
    <t>16-02-2011 00:00:00</t>
  </si>
  <si>
    <t>28823110</t>
  </si>
  <si>
    <t>МУП "Волга"</t>
  </si>
  <si>
    <t>6330061877</t>
  </si>
  <si>
    <t>10-11-2014 00:00:00</t>
  </si>
  <si>
    <t>31676759</t>
  </si>
  <si>
    <t>МУП "Дубрава"</t>
  </si>
  <si>
    <t>6330099239</t>
  </si>
  <si>
    <t>15-02-2023 00:00:00</t>
  </si>
  <si>
    <t>01-05-2023 00:00:00</t>
  </si>
  <si>
    <t>18-07-2023 00:00:00</t>
  </si>
  <si>
    <t>/ХВС/Сбыт/Питьевая :: /ХВС/Транспортировка/Питьевая</t>
  </si>
  <si>
    <t>19-07-2023 00:00:00</t>
  </si>
  <si>
    <t>30802531</t>
  </si>
  <si>
    <t>МУП "ЖКХ - Васильевка"</t>
  </si>
  <si>
    <t>6381030620</t>
  </si>
  <si>
    <t>01-07-2016 00:00:00</t>
  </si>
  <si>
    <t>27951707</t>
  </si>
  <si>
    <t>МУП "ЖКХ-Денискино"</t>
  </si>
  <si>
    <t>6381019390</t>
  </si>
  <si>
    <t>12-11-2012 00:00:00</t>
  </si>
  <si>
    <t>31159016</t>
  </si>
  <si>
    <t>МУП "ЖКХ-Каменка"</t>
  </si>
  <si>
    <t>6381030549</t>
  </si>
  <si>
    <t>28535012</t>
  </si>
  <si>
    <t>МУП "ЖКХ-Салейкино"</t>
  </si>
  <si>
    <t>6381030475</t>
  </si>
  <si>
    <t>28428270</t>
  </si>
  <si>
    <t>МУП "ЖКХ-Туарма"</t>
  </si>
  <si>
    <t>6381030154</t>
  </si>
  <si>
    <t>27-11-2013 00:00:00</t>
  </si>
  <si>
    <t>30946548</t>
  </si>
  <si>
    <t>МУП "Жилкомхоз"</t>
  </si>
  <si>
    <t>6376020626</t>
  </si>
  <si>
    <t>28-08-2017 00:00:00</t>
  </si>
  <si>
    <t>26374891</t>
  </si>
  <si>
    <t>МУП "Исток" сельское поселение Новое-Аделяково</t>
  </si>
  <si>
    <t>6381011063</t>
  </si>
  <si>
    <t>26803081</t>
  </si>
  <si>
    <t>МУП "Исток" сельское поселение Эштебенькино</t>
  </si>
  <si>
    <t>6381011391</t>
  </si>
  <si>
    <t>01-04-2011 00:00:00</t>
  </si>
  <si>
    <t>31435216</t>
  </si>
  <si>
    <t>МУП "Исток", сельское поселение Масленниково</t>
  </si>
  <si>
    <t>6330089103</t>
  </si>
  <si>
    <t>01-07-2020 00:00:00</t>
  </si>
  <si>
    <t>26802940</t>
  </si>
  <si>
    <t>МУП "Меркурий"</t>
  </si>
  <si>
    <t>6381011680</t>
  </si>
  <si>
    <t>638100001</t>
  </si>
  <si>
    <t>21-09-2007 00:00:00</t>
  </si>
  <si>
    <t>16-11-2016 00:00:00</t>
  </si>
  <si>
    <t>30803150</t>
  </si>
  <si>
    <t>МУП "Надежда"</t>
  </si>
  <si>
    <t>6381030348</t>
  </si>
  <si>
    <t>06-07-2016 00:00:00</t>
  </si>
  <si>
    <t>31346717</t>
  </si>
  <si>
    <t>МУП "Обшаровский Водоканал"</t>
  </si>
  <si>
    <t>6330086350</t>
  </si>
  <si>
    <t>03-04-2019 00:00:00</t>
  </si>
  <si>
    <t>10-10-2019 00:00:00</t>
  </si>
  <si>
    <t>28545946</t>
  </si>
  <si>
    <t>МУП "Петра Дубрава"</t>
  </si>
  <si>
    <t>6330061820</t>
  </si>
  <si>
    <t>31-10-2014 00:00:00</t>
  </si>
  <si>
    <t>31036255</t>
  </si>
  <si>
    <t>МУП "Подъем-Михайловское жилищно-коммунальное хозяйство"</t>
  </si>
  <si>
    <t>6330077027</t>
  </si>
  <si>
    <t>24-01-2018 00:00:00</t>
  </si>
  <si>
    <t>31659340</t>
  </si>
  <si>
    <t>МУП "Приволжский Водоканал"</t>
  </si>
  <si>
    <t>6330098764</t>
  </si>
  <si>
    <t>23-11-2022 00:00:00</t>
  </si>
  <si>
    <t>27-02-2023 00:00:00</t>
  </si>
  <si>
    <t>28-03-2023 00:00:00</t>
  </si>
  <si>
    <t>29-03-2023 00:00:00</t>
  </si>
  <si>
    <t>28819333</t>
  </si>
  <si>
    <t>МУП "Прогресс"</t>
  </si>
  <si>
    <t>6330062126</t>
  </si>
  <si>
    <t>20-10-2014 00:00:00</t>
  </si>
  <si>
    <t>31403301</t>
  </si>
  <si>
    <t>МУП "Родник"</t>
  </si>
  <si>
    <t>6330087988</t>
  </si>
  <si>
    <t>26803079</t>
  </si>
  <si>
    <t>6381011232</t>
  </si>
  <si>
    <t>27946161</t>
  </si>
  <si>
    <t>6381011352</t>
  </si>
  <si>
    <t>08-11-2012 00:00:00</t>
  </si>
  <si>
    <t>31449513</t>
  </si>
  <si>
    <t>МУП "Союз"</t>
  </si>
  <si>
    <t>6330089015</t>
  </si>
  <si>
    <t>27-11-2019 00:00:00</t>
  </si>
  <si>
    <t>Питьевая :: Питьевая :: Питьевая :: Очистка</t>
  </si>
  <si>
    <t>/ХВС/Сбыт/Питьевая :: /ХВС/Транспортировка/Питьевая :: /ХВС/Производство/Питьевая :: /ХВС/Очистка</t>
  </si>
  <si>
    <t>26374893</t>
  </si>
  <si>
    <t>МУП "Старт"</t>
  </si>
  <si>
    <t>6381011360</t>
  </si>
  <si>
    <t>31036629</t>
  </si>
  <si>
    <t>МУП "Суховязовское"</t>
  </si>
  <si>
    <t>6330077034</t>
  </si>
  <si>
    <t>25-01-2018 00:00:00</t>
  </si>
  <si>
    <t>28967133</t>
  </si>
  <si>
    <t>МУП "Управление ЖКХ" Борского района</t>
  </si>
  <si>
    <t>6366006069</t>
  </si>
  <si>
    <t>636601001</t>
  </si>
  <si>
    <t>09-02-2016 00:00:00</t>
  </si>
  <si>
    <t>31516629</t>
  </si>
  <si>
    <t>МУП "Ягодное"</t>
  </si>
  <si>
    <t>6382082807</t>
  </si>
  <si>
    <t>26485191</t>
  </si>
  <si>
    <t>МУП “Волжское ЖКХ”</t>
  </si>
  <si>
    <t>6376002176</t>
  </si>
  <si>
    <t>31-03-2023 00:00:00</t>
  </si>
  <si>
    <t>11-06-2021 00:00:00</t>
  </si>
  <si>
    <t>26485224</t>
  </si>
  <si>
    <t>МУП “КОММУНАЛЬНИК”</t>
  </si>
  <si>
    <t>6376016605</t>
  </si>
  <si>
    <t>26485237</t>
  </si>
  <si>
    <t>МУП “МИРНЕНСКОЕ ЖКХ”</t>
  </si>
  <si>
    <t>6376003719</t>
  </si>
  <si>
    <t>20-03-2023 00:00:00</t>
  </si>
  <si>
    <t>31-10-2016 00:00:00</t>
  </si>
  <si>
    <t>01-11-2021 00:00:00</t>
  </si>
  <si>
    <t>Подвоз воды</t>
  </si>
  <si>
    <t>/ХВС/Подвоз воды</t>
  </si>
  <si>
    <t>20-04-2022 00:00:00</t>
  </si>
  <si>
    <t>Питьевая :: Очистка</t>
  </si>
  <si>
    <t>/ХВС/Производство/Питьевая :: /ХВС/Очистка</t>
  </si>
  <si>
    <t>28535855</t>
  </si>
  <si>
    <t>МУП «Воскресенское»</t>
  </si>
  <si>
    <t>6330062020</t>
  </si>
  <si>
    <t>Техническая :: Питьевая :: Техническая :: Питьевая</t>
  </si>
  <si>
    <t>/ХВС/Сбыт/Техническая :: /ХВС/Сбыт/Питьевая :: /ХВС/Производство/Техническая :: /ХВС/Производство/Питьевая</t>
  </si>
  <si>
    <t>30832182</t>
  </si>
  <si>
    <t>МУП «ЖКХ – Артюшкино»</t>
  </si>
  <si>
    <t>6381030161</t>
  </si>
  <si>
    <t>18-08-2016 00:00:00</t>
  </si>
  <si>
    <t>31219026</t>
  </si>
  <si>
    <t>МУП «ЖКХ-Старая Шентала»</t>
  </si>
  <si>
    <t>6381030450</t>
  </si>
  <si>
    <t>14-11-2018 00:00:00</t>
  </si>
  <si>
    <t>Питьевая :: Техническая :: Питьевая</t>
  </si>
  <si>
    <t>/ХВС/Сбыт/Питьевая :: /ХВС/Транспортировка/Техническая :: /ХВС/Производство/Питьевая</t>
  </si>
  <si>
    <t>28534882</t>
  </si>
  <si>
    <t>МУП «Подстепновка»</t>
  </si>
  <si>
    <t>6330060947</t>
  </si>
  <si>
    <t>10-02-2016 00:00:00</t>
  </si>
  <si>
    <t>28535867</t>
  </si>
  <si>
    <t>МУП «Рождествено»</t>
  </si>
  <si>
    <t>6330061556</t>
  </si>
  <si>
    <t>04-08-2021 00:00:00</t>
  </si>
  <si>
    <t>28535043</t>
  </si>
  <si>
    <t>МУП Водолей</t>
  </si>
  <si>
    <t>6381030757</t>
  </si>
  <si>
    <t>26801702</t>
  </si>
  <si>
    <t>МУП ЖКХ "Исток"</t>
  </si>
  <si>
    <t>6369012293</t>
  </si>
  <si>
    <t>16-07-2009 00:00:00</t>
  </si>
  <si>
    <t>28869887</t>
  </si>
  <si>
    <t>МУП ЖКХ "Коммунальщик"</t>
  </si>
  <si>
    <t>6382067630</t>
  </si>
  <si>
    <t>25-01-2019 00:00:00</t>
  </si>
  <si>
    <t>26485318</t>
  </si>
  <si>
    <t>МУП ЖКХ “Малышевка”</t>
  </si>
  <si>
    <t>6371004885</t>
  </si>
  <si>
    <t>637101001</t>
  </si>
  <si>
    <t>28534892</t>
  </si>
  <si>
    <t>МУП ЖКХ сельского поселения Дубовый Умет</t>
  </si>
  <si>
    <t>6330061806</t>
  </si>
  <si>
    <t>22-11-2016 00:00:00</t>
  </si>
  <si>
    <t>26485226</t>
  </si>
  <si>
    <t>МУП КРАСНОЯРСКОЕ ЖКХ</t>
  </si>
  <si>
    <t>6376002095</t>
  </si>
  <si>
    <t>01-02-2022 00:00:00</t>
  </si>
  <si>
    <t>31403251</t>
  </si>
  <si>
    <t>МУП СП Хворостянска "Мир"</t>
  </si>
  <si>
    <t>6330087924</t>
  </si>
  <si>
    <t>05-03-2020 00:00:00</t>
  </si>
  <si>
    <t>26485769</t>
  </si>
  <si>
    <t>МУП г.о. Октябрьск “Жилищное управление”</t>
  </si>
  <si>
    <t>6325037090</t>
  </si>
  <si>
    <t>18-02-2021 00:00:00</t>
  </si>
  <si>
    <t>28460751</t>
  </si>
  <si>
    <t>Муниципальное предприятие "Жилищно-коммунальное хозяйство Тимофеевское"</t>
  </si>
  <si>
    <t>6382064205</t>
  </si>
  <si>
    <t>23-01-2014 00:00:00</t>
  </si>
  <si>
    <t>28874521</t>
  </si>
  <si>
    <t>Муниципальное унитарное предприятие жилищно-коммунального хозяйства сельского поселения Курумоч</t>
  </si>
  <si>
    <t>6330063874</t>
  </si>
  <si>
    <t>08-02-2016 00:00:00</t>
  </si>
  <si>
    <t>26374826</t>
  </si>
  <si>
    <t>Новокуйбышевский МУП "Водоканал"</t>
  </si>
  <si>
    <t>6330002381</t>
  </si>
  <si>
    <t>26374864</t>
  </si>
  <si>
    <t>ОАО "Георгиевский элеватор"</t>
  </si>
  <si>
    <t>6371001901</t>
  </si>
  <si>
    <t>01-02-1993 00:00:00</t>
  </si>
  <si>
    <t>12-04-2012 00:00:00</t>
  </si>
  <si>
    <t>28145005</t>
  </si>
  <si>
    <t>ООО "Аква-Строй"</t>
  </si>
  <si>
    <t>6313539031</t>
  </si>
  <si>
    <t>613301001</t>
  </si>
  <si>
    <t>06-05-2013 00:00:00</t>
  </si>
  <si>
    <t>02-12-2016 00:00:00</t>
  </si>
  <si>
    <t>27937315</t>
  </si>
  <si>
    <t>ООО "Богатовское коммунальное хозяйство"</t>
  </si>
  <si>
    <t>6377015315</t>
  </si>
  <si>
    <t>31658274</t>
  </si>
  <si>
    <t>ООО "ВКС"</t>
  </si>
  <si>
    <t>6316282271</t>
  </si>
  <si>
    <t>21-02-2023 00:00:00</t>
  </si>
  <si>
    <t>09-03-2023 00:00:00</t>
  </si>
  <si>
    <t>/ХВС/Сбыт/Техническая :: /ХВС/Транспортировка/Техническая</t>
  </si>
  <si>
    <t>10-03-2023 00:00:00</t>
  </si>
  <si>
    <t>27566459</t>
  </si>
  <si>
    <t>ООО "Владимирское"</t>
  </si>
  <si>
    <t>6330053202</t>
  </si>
  <si>
    <t>30924132</t>
  </si>
  <si>
    <t>ООО "Водеко"</t>
  </si>
  <si>
    <t>6312135727</t>
  </si>
  <si>
    <t>26-06-2017 00:00:00</t>
  </si>
  <si>
    <t>31682513</t>
  </si>
  <si>
    <t>ООО "Водоканал Регион"</t>
  </si>
  <si>
    <t>6320073947</t>
  </si>
  <si>
    <t>06-04-2023 00:00:00</t>
  </si>
  <si>
    <t>01-07-2023 00:00:00</t>
  </si>
  <si>
    <t>30933675</t>
  </si>
  <si>
    <t>ООО "Водоканал"</t>
  </si>
  <si>
    <t>6330076954</t>
  </si>
  <si>
    <t>17-07-2017 00:00:00</t>
  </si>
  <si>
    <t>26798591</t>
  </si>
  <si>
    <t>ООО "ВодоканалСервис"</t>
  </si>
  <si>
    <t>6372009815</t>
  </si>
  <si>
    <t>Техническая :: Питьевая :: Техническая :: Питьевая :: Техническая :: Питьевая :: Очистка</t>
  </si>
  <si>
    <t>/ХВС/Сбыт/Техническая :: /ХВС/Сбыт/Питьевая :: /ХВС/Транспортировка/Техническая :: /ХВС/Транспортировка/Питьевая :: /ХВС/Производство/Техническая :: /ХВС/Производство/Питьевая :: /ХВС/Очистка</t>
  </si>
  <si>
    <t>31481702</t>
  </si>
  <si>
    <t>ООО "ЖЭРП Поволжское"</t>
  </si>
  <si>
    <t>6324090541</t>
  </si>
  <si>
    <t>03-04-2018 00:00:00</t>
  </si>
  <si>
    <t>20-04-2021 00:00:00</t>
  </si>
  <si>
    <t>27794280</t>
  </si>
  <si>
    <t>ООО "Исток"</t>
  </si>
  <si>
    <t>6311132762</t>
  </si>
  <si>
    <t>18-04-2012 00:00:00</t>
  </si>
  <si>
    <t>27566477</t>
  </si>
  <si>
    <t>ООО "Новотульское"</t>
  </si>
  <si>
    <t>6330053107</t>
  </si>
  <si>
    <t>26801687</t>
  </si>
  <si>
    <t>ООО "Родник"</t>
  </si>
  <si>
    <t>6369012230</t>
  </si>
  <si>
    <t>04-06-2009 00:00:00</t>
  </si>
  <si>
    <t>26779513</t>
  </si>
  <si>
    <t>ООО "Романовское"</t>
  </si>
  <si>
    <t>6362015094</t>
  </si>
  <si>
    <t>18-03-2009 00:00:00</t>
  </si>
  <si>
    <t>31401097</t>
  </si>
  <si>
    <t>ООО "Русь"</t>
  </si>
  <si>
    <t>6330088702</t>
  </si>
  <si>
    <t>01-03-2020 00:00:00</t>
  </si>
  <si>
    <t>18-01-2016 00:00:00</t>
  </si>
  <si>
    <t>31628204</t>
  </si>
  <si>
    <t>ООО "СамРЭК-Водоснабжение"</t>
  </si>
  <si>
    <t>6381020815</t>
  </si>
  <si>
    <t>30-11-2015 00:00:00</t>
  </si>
  <si>
    <t>08-07-2016 00:00:00</t>
  </si>
  <si>
    <t>16-08-2016 00:00:00</t>
  </si>
  <si>
    <t>/ХВС/Транспортировка/Питьевая :: /ХВС/Производство/Питьевая</t>
  </si>
  <si>
    <t>24-07-2017 00:00:00</t>
  </si>
  <si>
    <t>03-11-2017 00:00:00</t>
  </si>
  <si>
    <t>27945272</t>
  </si>
  <si>
    <t>ООО "Самарские коммунальные системы"</t>
  </si>
  <si>
    <t>6312110828</t>
  </si>
  <si>
    <t>07-11-2012 00:00:00</t>
  </si>
  <si>
    <t>31540518</t>
  </si>
  <si>
    <t>ООО "Сантехснаб"</t>
  </si>
  <si>
    <t>6319189457</t>
  </si>
  <si>
    <t>26374821</t>
  </si>
  <si>
    <t>ООО "Сызраньводоканал"</t>
  </si>
  <si>
    <t>6325028144</t>
  </si>
  <si>
    <t>23-03-2017 00:00:00</t>
  </si>
  <si>
    <t>Техническая :: Питьевая :: Техническая :: Питьевая :: Питьевая</t>
  </si>
  <si>
    <t>/ХВС/Сбыт/Техническая :: /ХВС/Сбыт/Питьевая :: /ХВС/Транспортировка/Техническая :: /ХВС/Транспортировка/Питьевая :: /ХВС/Производство/Питьевая</t>
  </si>
  <si>
    <t>28547365</t>
  </si>
  <si>
    <t>ООО "УК Уютный поселок"</t>
  </si>
  <si>
    <t>6321299697</t>
  </si>
  <si>
    <t>15-02-2016 00:00:00</t>
  </si>
  <si>
    <t>25-07-2016 00:00:00</t>
  </si>
  <si>
    <t>09-09-2016 00:00:00</t>
  </si>
  <si>
    <t>31544283</t>
  </si>
  <si>
    <t>ООО "ЭКОС-С"</t>
  </si>
  <si>
    <t>6319107510</t>
  </si>
  <si>
    <t>19-01-2022 00:00:00</t>
  </si>
  <si>
    <t>30438878</t>
  </si>
  <si>
    <t>ООО "Юником"</t>
  </si>
  <si>
    <t>6350011480</t>
  </si>
  <si>
    <t>26641452</t>
  </si>
  <si>
    <t>ООО “ВоКС”</t>
  </si>
  <si>
    <t>6312101799</t>
  </si>
  <si>
    <t>26641470</t>
  </si>
  <si>
    <t>ООО “СовМежХоз”</t>
  </si>
  <si>
    <t>6369011980</t>
  </si>
  <si>
    <t>/ХВС/Сбыт/Питьевая :: /ХВС/Транспортировка/Питьевая :: /ХВС/Очистка</t>
  </si>
  <si>
    <t>30801371</t>
  </si>
  <si>
    <t>ООО «Водоканал»</t>
  </si>
  <si>
    <t>6312131916</t>
  </si>
  <si>
    <t>27-06-2016 00:00:00</t>
  </si>
  <si>
    <t>31156375</t>
  </si>
  <si>
    <t>6382064220</t>
  </si>
  <si>
    <t>05-07-2018 00:00:00</t>
  </si>
  <si>
    <t>01-09-2023 00:00:00</t>
  </si>
  <si>
    <t>Техническая :: Техническая :: Техническая</t>
  </si>
  <si>
    <t>/ХВС/Сбыт/Техническая :: /ХВС/Транспортировка/Техническая :: /ХВС/Производство/Техническая</t>
  </si>
  <si>
    <t>08-10-2019 00:00:00</t>
  </si>
  <si>
    <t>05-06-2018 00:00:00</t>
  </si>
  <si>
    <t>Питьевая :: Техническая</t>
  </si>
  <si>
    <t>/ХВС/Сбыт/Питьевая :: /ХВС/Транспортировка/Техническая</t>
  </si>
  <si>
    <t>Питьевая :: Техническая :: Питьевая :: Очистка</t>
  </si>
  <si>
    <t>/ХВС/Сбыт/Питьевая :: /ХВС/Транспортировка/Техническая :: /ХВС/Производство/Питьевая :: /ХВС/Очистка</t>
  </si>
  <si>
    <t>31492316</t>
  </si>
  <si>
    <t>СПК "Антоновский"</t>
  </si>
  <si>
    <t>6377008519</t>
  </si>
  <si>
    <t>27-04-2021 00:00:00</t>
  </si>
  <si>
    <t>28-01-2014 00:00:00</t>
  </si>
  <si>
    <t>14-09-2017 00:00:00</t>
  </si>
  <si>
    <t>30385470</t>
  </si>
  <si>
    <t>АО "Водные технологии"</t>
  </si>
  <si>
    <t>3328462474</t>
  </si>
  <si>
    <t>29-12-2015 00:00:00</t>
  </si>
  <si>
    <t>Оказание услуг по перекачке</t>
  </si>
  <si>
    <t>Транспортировка сточных вод</t>
  </si>
  <si>
    <t>/ВО/Транспортировка сточных вод</t>
  </si>
  <si>
    <t>Оказание услуг в сфере водоотведения</t>
  </si>
  <si>
    <t>Прием сточных вод</t>
  </si>
  <si>
    <t>/ВО/Прием сточных вод</t>
  </si>
  <si>
    <t>Оказание услуг в сфере водоотведения и очистки сточных вод</t>
  </si>
  <si>
    <t>Прием сточных вод :: Очистка сточных вод :: Транспортировка сточных вод</t>
  </si>
  <si>
    <t>/ВО/Прием сточных вод :: /ВО/Очистка сточных вод :: /ВО/Транспортировка сточных вод</t>
  </si>
  <si>
    <t>Очистка сточных вод :: Транспортировка сточных вод</t>
  </si>
  <si>
    <t>/ВО/Очистка сточных вод :: /ВО/Транспортировка сточных вод</t>
  </si>
  <si>
    <t>23-08-2022 00:00:00</t>
  </si>
  <si>
    <t>Оказание услуг в сфере очистки сточных вод</t>
  </si>
  <si>
    <t>Очистка сточных вод</t>
  </si>
  <si>
    <t>/ВО/Очистка сточных вод</t>
  </si>
  <si>
    <t>Прием сточных вод :: Очистка сточных вод</t>
  </si>
  <si>
    <t>/ВО/Прием сточных вод :: /ВО/Очистка сточных вод</t>
  </si>
  <si>
    <t>30398817</t>
  </si>
  <si>
    <t>АО «ПО КХ г.о. Тольятти»</t>
  </si>
  <si>
    <t>6324014124</t>
  </si>
  <si>
    <t>08-04-2016 00:00:00</t>
  </si>
  <si>
    <t>01-11-2016 00:00:00</t>
  </si>
  <si>
    <t>26-01-2017 00:00:00</t>
  </si>
  <si>
    <t>26-10-2019 00:00:00</t>
  </si>
  <si>
    <t>11-03-2022 00:00:00</t>
  </si>
  <si>
    <t>Прием сточных вод :: Транспортировка сточных вод</t>
  </si>
  <si>
    <t>/ВО/Прием сточных вод :: /ВО/Транспортировка сточных вод</t>
  </si>
  <si>
    <t>28875201</t>
  </si>
  <si>
    <t>МП городского округа Самара "Инженерные системы"</t>
  </si>
  <si>
    <t>6315946321</t>
  </si>
  <si>
    <t>05-07-2017 00:00:00</t>
  </si>
  <si>
    <t>25-05-2022 00:00:00</t>
  </si>
  <si>
    <t>10-11-2021 00:00:00</t>
  </si>
  <si>
    <t>26381078</t>
  </si>
  <si>
    <t>ОАО "Новокуйбышевские очистные сооружения"</t>
  </si>
  <si>
    <t>6330024522</t>
  </si>
  <si>
    <t>02-02-2018 00:00:00</t>
  </si>
  <si>
    <t>31213195</t>
  </si>
  <si>
    <t>ООО "Волжский магистральный коллектор"</t>
  </si>
  <si>
    <t>6350025355</t>
  </si>
  <si>
    <t>29-04-2020 00:00:00</t>
  </si>
  <si>
    <t>26798594</t>
  </si>
  <si>
    <t>ООО "Строй Быт Сервис"</t>
  </si>
  <si>
    <t>6372014396</t>
  </si>
  <si>
    <t>28983650</t>
  </si>
  <si>
    <t>6376021010</t>
  </si>
  <si>
    <t>11-04-2011 00:00:00</t>
  </si>
  <si>
    <t>26781302</t>
  </si>
  <si>
    <t>ПАО "КуйбышевАзот"</t>
  </si>
  <si>
    <t>6320005915</t>
  </si>
  <si>
    <t>14-12-1992 00:00:00</t>
  </si>
  <si>
    <t>21-03-2016 00:00:00</t>
  </si>
  <si>
    <t>26798861</t>
  </si>
  <si>
    <t>ПАО "Тольяттиазот"</t>
  </si>
  <si>
    <t>6320004728</t>
  </si>
  <si>
    <t>30354094</t>
  </si>
  <si>
    <t>Самарский областной фонд поддержки индивидуального жилищного строительства на селе</t>
  </si>
  <si>
    <t>6316042424</t>
  </si>
  <si>
    <t>31698188</t>
  </si>
  <si>
    <t>АО "СпецАвтоТранс"</t>
  </si>
  <si>
    <t>6311080916</t>
  </si>
  <si>
    <t>14-11-2005 00:00:00</t>
  </si>
  <si>
    <t>Транспортирование твердых коммунальных отходов</t>
  </si>
  <si>
    <t>/ТКО/Транспортирование твердых коммунальных отходов</t>
  </si>
  <si>
    <t>31690651</t>
  </si>
  <si>
    <t>АО "Чистый город"</t>
  </si>
  <si>
    <t>6330041486</t>
  </si>
  <si>
    <t>29-07-2010 00:00:00</t>
  </si>
  <si>
    <t>26783846</t>
  </si>
  <si>
    <t>АО "ЭКОЛОГИЯ"</t>
  </si>
  <si>
    <t>6330041849</t>
  </si>
  <si>
    <t>19-01-2018 00:00:00</t>
  </si>
  <si>
    <t>/ТКО/Захоронение твердых коммунальных отходов</t>
  </si>
  <si>
    <t>26382630</t>
  </si>
  <si>
    <t>АО "Экология - Сервис"</t>
  </si>
  <si>
    <t>6316077064</t>
  </si>
  <si>
    <t>31060806</t>
  </si>
  <si>
    <t>АО "Экопром"</t>
  </si>
  <si>
    <t>6325072104</t>
  </si>
  <si>
    <t>15-03-2018 00:00:00</t>
  </si>
  <si>
    <t>31365445</t>
  </si>
  <si>
    <t>АО Экотехнопарк «Зелененький»</t>
  </si>
  <si>
    <t>6316187660</t>
  </si>
  <si>
    <t>/ТКО/Обработка твердых коммунальных отходов</t>
  </si>
  <si>
    <t>26774971</t>
  </si>
  <si>
    <t>Государственное унитарное предприятие Самарской области "Экология"</t>
  </si>
  <si>
    <t>6316029448</t>
  </si>
  <si>
    <t>31690032</t>
  </si>
  <si>
    <t>ООО "ДАКАНТ"</t>
  </si>
  <si>
    <t>6311181470</t>
  </si>
  <si>
    <t>31-08-2019 00:00:00</t>
  </si>
  <si>
    <t>31337231</t>
  </si>
  <si>
    <t>ООО "Компаньон-Самара"</t>
  </si>
  <si>
    <t>6316168635</t>
  </si>
  <si>
    <t>09-08-2019 00:00:00</t>
  </si>
  <si>
    <t>31346724</t>
  </si>
  <si>
    <t>ООО "РИКАСТ"</t>
  </si>
  <si>
    <t>6311181488</t>
  </si>
  <si>
    <t>31690088</t>
  </si>
  <si>
    <t>ООО "ТрансРесурс"</t>
  </si>
  <si>
    <t>6314045606</t>
  </si>
  <si>
    <t>06-07-2018 00:00:00</t>
  </si>
  <si>
    <t>31059877</t>
  </si>
  <si>
    <t>ООО "ФАВОРИТ-1"</t>
  </si>
  <si>
    <t>6325066206</t>
  </si>
  <si>
    <t>12-03-2018 00:00:00</t>
  </si>
  <si>
    <t>27568482</t>
  </si>
  <si>
    <t>ООО "Чистый город"</t>
  </si>
  <si>
    <t>6330042056</t>
  </si>
  <si>
    <t>26805306</t>
  </si>
  <si>
    <t>ООО "ЭКОЛАЙН"</t>
  </si>
  <si>
    <t>6323077548</t>
  </si>
  <si>
    <t>24-12-2018 00:00:00</t>
  </si>
  <si>
    <t>27568502</t>
  </si>
  <si>
    <t>ООО "Эко Рециклинг Групп"</t>
  </si>
  <si>
    <t>6323110065</t>
  </si>
  <si>
    <t>30957737</t>
  </si>
  <si>
    <t>ООО "ЭкоРесурсПоволжье"</t>
  </si>
  <si>
    <t>6324061822</t>
  </si>
  <si>
    <t>31249414</t>
  </si>
  <si>
    <t>ООО «ЭкоСтройРесурс»</t>
  </si>
  <si>
    <t>6316186232</t>
  </si>
  <si>
    <t>15-01-2019 00:00:00</t>
  </si>
  <si>
    <t>/ТКО/Оказание услуги по обращению с твердыми коммунальными отходами региональным оператором</t>
  </si>
  <si>
    <t>28875015</t>
  </si>
  <si>
    <t>ООО НПФ "ПОЛИГОН"</t>
  </si>
  <si>
    <t>6376012657</t>
  </si>
  <si>
    <t>31361899</t>
  </si>
  <si>
    <t>Общество с ограниченной ответственностью "Экоиндустрия"</t>
  </si>
  <si>
    <t>6317072630</t>
  </si>
  <si>
    <t>14-12-2019 00:00:00</t>
  </si>
  <si>
    <t>27-02-2020 00:00:00</t>
  </si>
  <si>
    <t>NSRF</t>
  </si>
  <si>
    <t>MR_NAME</t>
  </si>
  <si>
    <t>OKTMO_MR_NAME</t>
  </si>
  <si>
    <t>MO_NAME</t>
  </si>
  <si>
    <t>OKTMO_NAME</t>
  </si>
  <si>
    <t>TYPE</t>
  </si>
  <si>
    <t>MR_ID</t>
  </si>
  <si>
    <t>Алексеевский муниципальный район</t>
  </si>
  <si>
    <t>36602000</t>
  </si>
  <si>
    <t>муниципальный район</t>
  </si>
  <si>
    <t>сельское поселение Авангард</t>
  </si>
  <si>
    <t>36602404</t>
  </si>
  <si>
    <t>сельское поселение</t>
  </si>
  <si>
    <t>сельское поселение Алексеевка</t>
  </si>
  <si>
    <t>36602408</t>
  </si>
  <si>
    <t>сельское поселение Гавриловка</t>
  </si>
  <si>
    <t>36602412</t>
  </si>
  <si>
    <t>сельское поселение Герасимовка</t>
  </si>
  <si>
    <t>36602416</t>
  </si>
  <si>
    <t>сельское поселение Летниково</t>
  </si>
  <si>
    <t>36602420</t>
  </si>
  <si>
    <t>Безенчукский муниципальный район</t>
  </si>
  <si>
    <t>36604000</t>
  </si>
  <si>
    <t>городское поселение Безенчук</t>
  </si>
  <si>
    <t>36604151</t>
  </si>
  <si>
    <t>городское поселение, в состав которого входит поселок</t>
  </si>
  <si>
    <t>городское поселение Осинки</t>
  </si>
  <si>
    <t>36604157</t>
  </si>
  <si>
    <t>сельское поселение Васильевка</t>
  </si>
  <si>
    <t>36604408</t>
  </si>
  <si>
    <t>сельское поселение Екатериновка</t>
  </si>
  <si>
    <t>36604412</t>
  </si>
  <si>
    <t>сельское поселение Звезда</t>
  </si>
  <si>
    <t>36604416</t>
  </si>
  <si>
    <t>сельское поселение Купино</t>
  </si>
  <si>
    <t>36604420</t>
  </si>
  <si>
    <t>сельское поселение Макарьевка</t>
  </si>
  <si>
    <t>36604422</t>
  </si>
  <si>
    <t>сельское поселение Натальино</t>
  </si>
  <si>
    <t>36604424</t>
  </si>
  <si>
    <t>сельское поселение Ольгино</t>
  </si>
  <si>
    <t>36604440</t>
  </si>
  <si>
    <t>сельское поселение Переволоки</t>
  </si>
  <si>
    <t>36604428</t>
  </si>
  <si>
    <t>сельское поселение Песочное</t>
  </si>
  <si>
    <t>36604430</t>
  </si>
  <si>
    <t>сельское поселение Преполовенка</t>
  </si>
  <si>
    <t>36604432</t>
  </si>
  <si>
    <t>сельское поселение Прибой</t>
  </si>
  <si>
    <t>36604436</t>
  </si>
  <si>
    <t>Богатовский муниципальный район</t>
  </si>
  <si>
    <t>36606000</t>
  </si>
  <si>
    <t>сельское поселение Арзамасцевка</t>
  </si>
  <si>
    <t>36606404</t>
  </si>
  <si>
    <t>сельское поселение Богатое</t>
  </si>
  <si>
    <t>36606408</t>
  </si>
  <si>
    <t>сельское поселение Виловатое</t>
  </si>
  <si>
    <t>36606412</t>
  </si>
  <si>
    <t>сельское поселение Максимовка</t>
  </si>
  <si>
    <t>36606416</t>
  </si>
  <si>
    <t>сельское поселение Печинено</t>
  </si>
  <si>
    <t>36606420</t>
  </si>
  <si>
    <t>Большеглушицкий муниципальный район</t>
  </si>
  <si>
    <t>36608000</t>
  </si>
  <si>
    <t>сельское поселение Александровка</t>
  </si>
  <si>
    <t>36608404</t>
  </si>
  <si>
    <t>сельское поселение Большая Глушица</t>
  </si>
  <si>
    <t>36608408</t>
  </si>
  <si>
    <t>сельское поселение Большая Дергуновка</t>
  </si>
  <si>
    <t>36608412</t>
  </si>
  <si>
    <t>сельское поселение Малая Глушица</t>
  </si>
  <si>
    <t>36608416</t>
  </si>
  <si>
    <t>сельское поселение Мокша</t>
  </si>
  <si>
    <t>36608418</t>
  </si>
  <si>
    <t>сельское поселение Новопавловка</t>
  </si>
  <si>
    <t>36608420</t>
  </si>
  <si>
    <t>сельское поселение Фрунзенское</t>
  </si>
  <si>
    <t>36608424</t>
  </si>
  <si>
    <t>сельское поселение Южное</t>
  </si>
  <si>
    <t>36608428</t>
  </si>
  <si>
    <t>Большечерниговский муниципальный район</t>
  </si>
  <si>
    <t>36610000</t>
  </si>
  <si>
    <t>сельское поселение Августовка</t>
  </si>
  <si>
    <t>36610404</t>
  </si>
  <si>
    <t>сельское поселение Большая Черниговка</t>
  </si>
  <si>
    <t>36610412</t>
  </si>
  <si>
    <t>сельское поселение Восточный</t>
  </si>
  <si>
    <t>36610416</t>
  </si>
  <si>
    <t>сельское поселение Глушицкий</t>
  </si>
  <si>
    <t>36610408</t>
  </si>
  <si>
    <t>сельское поселение Краснооктябрьский</t>
  </si>
  <si>
    <t>36610420</t>
  </si>
  <si>
    <t>сельское поселение Пензено</t>
  </si>
  <si>
    <t>36610424</t>
  </si>
  <si>
    <t>сельское поселение Петровский</t>
  </si>
  <si>
    <t>36610426</t>
  </si>
  <si>
    <t>сельское поселение Поляков</t>
  </si>
  <si>
    <t>36610427</t>
  </si>
  <si>
    <t>сельское поселение Украинка</t>
  </si>
  <si>
    <t>36610428</t>
  </si>
  <si>
    <t>Борский муниципальный район</t>
  </si>
  <si>
    <t>36612000</t>
  </si>
  <si>
    <t>сельское поселение Большое Алдаркино</t>
  </si>
  <si>
    <t>36612404</t>
  </si>
  <si>
    <t>сельское поселение Борское</t>
  </si>
  <si>
    <t>36612408</t>
  </si>
  <si>
    <t>сельское поселение Гвардейцы</t>
  </si>
  <si>
    <t>36612412</t>
  </si>
  <si>
    <t>сельское поселение Долматовка</t>
  </si>
  <si>
    <t>36612416</t>
  </si>
  <si>
    <t>сельское поселение Заплавное</t>
  </si>
  <si>
    <t>36612420</t>
  </si>
  <si>
    <t>сельское поселение Коноваловка</t>
  </si>
  <si>
    <t>36612424</t>
  </si>
  <si>
    <t>сельское поселение Новоборское</t>
  </si>
  <si>
    <t>36612434</t>
  </si>
  <si>
    <t>сельское поселение Новый Кутулук</t>
  </si>
  <si>
    <t>36612432</t>
  </si>
  <si>
    <t>сельское поселение Петровка</t>
  </si>
  <si>
    <t>36612436</t>
  </si>
  <si>
    <t>сельское поселение Подгорное</t>
  </si>
  <si>
    <t>36612440</t>
  </si>
  <si>
    <t>сельское поселение Подсолнечное</t>
  </si>
  <si>
    <t>36612444</t>
  </si>
  <si>
    <t>сельское поселение Таволжанка</t>
  </si>
  <si>
    <t>36612453</t>
  </si>
  <si>
    <t>сельское поселение Усманка</t>
  </si>
  <si>
    <t>36612456</t>
  </si>
  <si>
    <t>Волжский муниципальный район</t>
  </si>
  <si>
    <t>36614000</t>
  </si>
  <si>
    <t>60</t>
  </si>
  <si>
    <t>городское поселение Петра Дубрава</t>
  </si>
  <si>
    <t>36614155</t>
  </si>
  <si>
    <t>61</t>
  </si>
  <si>
    <t>городское поселение Рощинский</t>
  </si>
  <si>
    <t>36614156</t>
  </si>
  <si>
    <t>62</t>
  </si>
  <si>
    <t>городское поселение Смышляевка</t>
  </si>
  <si>
    <t>36614157</t>
  </si>
  <si>
    <t>63</t>
  </si>
  <si>
    <t>сельское поселение Верхняя Подстепновка</t>
  </si>
  <si>
    <t>36614403</t>
  </si>
  <si>
    <t>64</t>
  </si>
  <si>
    <t>сельское поселение Воскресенка</t>
  </si>
  <si>
    <t>36614404</t>
  </si>
  <si>
    <t>65</t>
  </si>
  <si>
    <t>сельское поселение Дубовый умет</t>
  </si>
  <si>
    <t>36614416</t>
  </si>
  <si>
    <t>сельское поселение Курумоч</t>
  </si>
  <si>
    <t>36614420</t>
  </si>
  <si>
    <t>67</t>
  </si>
  <si>
    <t>сельское поселение Лопатино</t>
  </si>
  <si>
    <t>36614421</t>
  </si>
  <si>
    <t>сельское поселение Подъем-Михайловка</t>
  </si>
  <si>
    <t>36614432</t>
  </si>
  <si>
    <t>69</t>
  </si>
  <si>
    <t>сельское поселение Просвет</t>
  </si>
  <si>
    <t>36614436</t>
  </si>
  <si>
    <t>70</t>
  </si>
  <si>
    <t>сельское поселение Рождествено</t>
  </si>
  <si>
    <t>36614440</t>
  </si>
  <si>
    <t>71</t>
  </si>
  <si>
    <t>сельское поселение Спиридоновка</t>
  </si>
  <si>
    <t>36614444</t>
  </si>
  <si>
    <t>72</t>
  </si>
  <si>
    <t>сельское поселение Сухая Вязовка</t>
  </si>
  <si>
    <t>36614448</t>
  </si>
  <si>
    <t>73</t>
  </si>
  <si>
    <t>сельское поселение Черновский</t>
  </si>
  <si>
    <t>36614452</t>
  </si>
  <si>
    <t>74</t>
  </si>
  <si>
    <t>сельское поселение Черноречье</t>
  </si>
  <si>
    <t>36614456</t>
  </si>
  <si>
    <t>75</t>
  </si>
  <si>
    <t>Елховский муниципальный район</t>
  </si>
  <si>
    <t>36615000</t>
  </si>
  <si>
    <t>76</t>
  </si>
  <si>
    <t>сельское поселение Березовка</t>
  </si>
  <si>
    <t>36615405</t>
  </si>
  <si>
    <t>77</t>
  </si>
  <si>
    <t>сельское поселение Елховка</t>
  </si>
  <si>
    <t>36615420</t>
  </si>
  <si>
    <t>78</t>
  </si>
  <si>
    <t>сельское поселение Красное Поселение</t>
  </si>
  <si>
    <t>36615440</t>
  </si>
  <si>
    <t>79</t>
  </si>
  <si>
    <t>сельское поселение Красные Дома</t>
  </si>
  <si>
    <t>36615435</t>
  </si>
  <si>
    <t>80</t>
  </si>
  <si>
    <t>сельское поселение Никитинка</t>
  </si>
  <si>
    <t>36615450</t>
  </si>
  <si>
    <t>81</t>
  </si>
  <si>
    <t>сельское поселение Сухие Аврали</t>
  </si>
  <si>
    <t>36615460</t>
  </si>
  <si>
    <t>82</t>
  </si>
  <si>
    <t>сельское поселение Теплый Стан</t>
  </si>
  <si>
    <t>36615465</t>
  </si>
  <si>
    <t>83</t>
  </si>
  <si>
    <t>Исаклинский муниципальный район</t>
  </si>
  <si>
    <t>36616000</t>
  </si>
  <si>
    <t>84</t>
  </si>
  <si>
    <t>сельское поселение Большое Микушкино</t>
  </si>
  <si>
    <t>36616420</t>
  </si>
  <si>
    <t>85</t>
  </si>
  <si>
    <t>сельское поселение Два Ключа</t>
  </si>
  <si>
    <t>36616404</t>
  </si>
  <si>
    <t>86</t>
  </si>
  <si>
    <t>сельское поселение Исаклы</t>
  </si>
  <si>
    <t>36616408</t>
  </si>
  <si>
    <t>87</t>
  </si>
  <si>
    <t>сельское поселение Ключи</t>
  </si>
  <si>
    <t>36616416</t>
  </si>
  <si>
    <t>88</t>
  </si>
  <si>
    <t>сельское поселение Мордово-Аделяково</t>
  </si>
  <si>
    <t>36616424</t>
  </si>
  <si>
    <t>89</t>
  </si>
  <si>
    <t>сельское поселение Мордово-Ишуткино</t>
  </si>
  <si>
    <t>36616412</t>
  </si>
  <si>
    <t>90</t>
  </si>
  <si>
    <t>сельское поселение Новое Ганькино</t>
  </si>
  <si>
    <t>36616428</t>
  </si>
  <si>
    <t>91</t>
  </si>
  <si>
    <t>сельское поселение Новое Якушкино</t>
  </si>
  <si>
    <t>36616432</t>
  </si>
  <si>
    <t>92</t>
  </si>
  <si>
    <t>сельское поселение Старое Вечканово</t>
  </si>
  <si>
    <t>36616436</t>
  </si>
  <si>
    <t>93</t>
  </si>
  <si>
    <t>Камышлинский муниципальный район</t>
  </si>
  <si>
    <t>36617000</t>
  </si>
  <si>
    <t>94</t>
  </si>
  <si>
    <t>сельское поселение Байтуган</t>
  </si>
  <si>
    <t>36617404</t>
  </si>
  <si>
    <t>95</t>
  </si>
  <si>
    <t>сельское поселение Балыкла</t>
  </si>
  <si>
    <t>36617408</t>
  </si>
  <si>
    <t>96</t>
  </si>
  <si>
    <t>сельское поселение Ермаково</t>
  </si>
  <si>
    <t>36617416</t>
  </si>
  <si>
    <t>97</t>
  </si>
  <si>
    <t>сельское поселение Камышла</t>
  </si>
  <si>
    <t>36617420</t>
  </si>
  <si>
    <t>98</t>
  </si>
  <si>
    <t>сельское поселение Новое Усманово</t>
  </si>
  <si>
    <t>36617436</t>
  </si>
  <si>
    <t>99</t>
  </si>
  <si>
    <t>сельское поселение Старое Усманово</t>
  </si>
  <si>
    <t>36617458</t>
  </si>
  <si>
    <t>100</t>
  </si>
  <si>
    <t>Кинель-Черкасский муниципальный район</t>
  </si>
  <si>
    <t>36620000</t>
  </si>
  <si>
    <t>101</t>
  </si>
  <si>
    <t>Межселенная территория Кинель-Черкасского муниципального района, включающая территорию чересполосного земельного участка</t>
  </si>
  <si>
    <t>36620701</t>
  </si>
  <si>
    <t>межселенная территория</t>
  </si>
  <si>
    <t>102</t>
  </si>
  <si>
    <t>36620404</t>
  </si>
  <si>
    <t>103</t>
  </si>
  <si>
    <t>сельское поселение Березняки</t>
  </si>
  <si>
    <t>36620408</t>
  </si>
  <si>
    <t>104</t>
  </si>
  <si>
    <t>сельское поселение Ерзовка</t>
  </si>
  <si>
    <t>36620420</t>
  </si>
  <si>
    <t>105</t>
  </si>
  <si>
    <t>сельское поселение Кабановка</t>
  </si>
  <si>
    <t>36620428</t>
  </si>
  <si>
    <t>106</t>
  </si>
  <si>
    <t>сельское поселение Кинель-Черкассы</t>
  </si>
  <si>
    <t>36620432</t>
  </si>
  <si>
    <t>107</t>
  </si>
  <si>
    <t>сельское поселение Красная Горка</t>
  </si>
  <si>
    <t>36620440</t>
  </si>
  <si>
    <t>108</t>
  </si>
  <si>
    <t>сельское поселение Кротовка</t>
  </si>
  <si>
    <t>36620444</t>
  </si>
  <si>
    <t>109</t>
  </si>
  <si>
    <t>сельское поселение Муханово</t>
  </si>
  <si>
    <t>36620448</t>
  </si>
  <si>
    <t>110</t>
  </si>
  <si>
    <t>сельское поселение Новые Ключи</t>
  </si>
  <si>
    <t>36620452</t>
  </si>
  <si>
    <t>36620453</t>
  </si>
  <si>
    <t>112</t>
  </si>
  <si>
    <t>сельское поселение Садгород</t>
  </si>
  <si>
    <t>36620458</t>
  </si>
  <si>
    <t>113</t>
  </si>
  <si>
    <t>сельское поселение Тимашево</t>
  </si>
  <si>
    <t>36620466</t>
  </si>
  <si>
    <t>114</t>
  </si>
  <si>
    <t>сельское поселение Черновка</t>
  </si>
  <si>
    <t>36620468</t>
  </si>
  <si>
    <t>115</t>
  </si>
  <si>
    <t>Кинельский муниципальный район</t>
  </si>
  <si>
    <t>36618000</t>
  </si>
  <si>
    <t>116</t>
  </si>
  <si>
    <t>сельское поселение Алакаевка</t>
  </si>
  <si>
    <t>36618404</t>
  </si>
  <si>
    <t>117</t>
  </si>
  <si>
    <t>сельское поселение Бобровка</t>
  </si>
  <si>
    <t>36618408</t>
  </si>
  <si>
    <t>118</t>
  </si>
  <si>
    <t>сельское поселение Богдановка</t>
  </si>
  <si>
    <t>36618412</t>
  </si>
  <si>
    <t>119</t>
  </si>
  <si>
    <t>сельское поселение Георгиевка</t>
  </si>
  <si>
    <t>36618416</t>
  </si>
  <si>
    <t>120</t>
  </si>
  <si>
    <t>сельское поселение Домашка</t>
  </si>
  <si>
    <t>36618420</t>
  </si>
  <si>
    <t>121</t>
  </si>
  <si>
    <t>сельское поселение Кинельский</t>
  </si>
  <si>
    <t>36618424</t>
  </si>
  <si>
    <t>122</t>
  </si>
  <si>
    <t>сельское поселение Комсомольский</t>
  </si>
  <si>
    <t>36618428</t>
  </si>
  <si>
    <t>123</t>
  </si>
  <si>
    <t>сельское поселение Красносамарское</t>
  </si>
  <si>
    <t>36618432</t>
  </si>
  <si>
    <t>124</t>
  </si>
  <si>
    <t>сельское поселение Малая Малышевка</t>
  </si>
  <si>
    <t>36618436</t>
  </si>
  <si>
    <t>125</t>
  </si>
  <si>
    <t>сельское поселение Новый Сарбай</t>
  </si>
  <si>
    <t>36618440</t>
  </si>
  <si>
    <t>126</t>
  </si>
  <si>
    <t>сельское поселение Сколково</t>
  </si>
  <si>
    <t>36618444</t>
  </si>
  <si>
    <t>127</t>
  </si>
  <si>
    <t>сельское поселение Чубовка</t>
  </si>
  <si>
    <t>36618448</t>
  </si>
  <si>
    <t>128</t>
  </si>
  <si>
    <t>Клявлинский муниципальный район</t>
  </si>
  <si>
    <t>36622000</t>
  </si>
  <si>
    <t>129</t>
  </si>
  <si>
    <t>сельское поселение Борискино-Игар</t>
  </si>
  <si>
    <t>36622412</t>
  </si>
  <si>
    <t>130</t>
  </si>
  <si>
    <t>сельское поселение Назаровка</t>
  </si>
  <si>
    <t>36622460</t>
  </si>
  <si>
    <t>131</t>
  </si>
  <si>
    <t>сельское поселение Новые Сосны</t>
  </si>
  <si>
    <t>36622432</t>
  </si>
  <si>
    <t>132</t>
  </si>
  <si>
    <t>сельское поселение Русское Добрино</t>
  </si>
  <si>
    <t>36622440</t>
  </si>
  <si>
    <t>133</t>
  </si>
  <si>
    <t>сельское поселение Старое Семенкино</t>
  </si>
  <si>
    <t>36622452</t>
  </si>
  <si>
    <t>134</t>
  </si>
  <si>
    <t>сельское поселение Старые Сосны</t>
  </si>
  <si>
    <t>36622456</t>
  </si>
  <si>
    <t>135</t>
  </si>
  <si>
    <t>сельское поселение Старый Байтермиш</t>
  </si>
  <si>
    <t>36622446</t>
  </si>
  <si>
    <t>136</t>
  </si>
  <si>
    <t>сельское поселение Старый Маклауш</t>
  </si>
  <si>
    <t>36622448</t>
  </si>
  <si>
    <t>137</t>
  </si>
  <si>
    <t>сельское поселение Усакла</t>
  </si>
  <si>
    <t>36622464</t>
  </si>
  <si>
    <t>138</t>
  </si>
  <si>
    <t>сельское поселение Черный Ключ</t>
  </si>
  <si>
    <t>36622468</t>
  </si>
  <si>
    <t>139</t>
  </si>
  <si>
    <t>сельское поселение станция Клявлино</t>
  </si>
  <si>
    <t>36622424</t>
  </si>
  <si>
    <t>140</t>
  </si>
  <si>
    <t>Кошкинский муниципальный район</t>
  </si>
  <si>
    <t>36624000</t>
  </si>
  <si>
    <t>141</t>
  </si>
  <si>
    <t>сельское поселение Большая Константиновка</t>
  </si>
  <si>
    <t>36624408</t>
  </si>
  <si>
    <t>142</t>
  </si>
  <si>
    <t>сельское поселение Большая Романовка</t>
  </si>
  <si>
    <t>36624412</t>
  </si>
  <si>
    <t>143</t>
  </si>
  <si>
    <t>сельское поселение Большое Ермаково</t>
  </si>
  <si>
    <t>36624424</t>
  </si>
  <si>
    <t>144</t>
  </si>
  <si>
    <t>сельское поселение Кошки</t>
  </si>
  <si>
    <t>36624432</t>
  </si>
  <si>
    <t>145</t>
  </si>
  <si>
    <t>сельское поселение Надеждино</t>
  </si>
  <si>
    <t>36624448</t>
  </si>
  <si>
    <t>146</t>
  </si>
  <si>
    <t>сельское поселение Нижняя Быковка</t>
  </si>
  <si>
    <t>36624452</t>
  </si>
  <si>
    <t>147</t>
  </si>
  <si>
    <t>сельское поселение Новая Кармала</t>
  </si>
  <si>
    <t>36624428</t>
  </si>
  <si>
    <t>148</t>
  </si>
  <si>
    <t>сельское поселение Орловка</t>
  </si>
  <si>
    <t>36624458</t>
  </si>
  <si>
    <t>149</t>
  </si>
  <si>
    <t>сельское поселение Русская Васильевка</t>
  </si>
  <si>
    <t>36624416</t>
  </si>
  <si>
    <t>150</t>
  </si>
  <si>
    <t>сельское поселение Старое Максимкино</t>
  </si>
  <si>
    <t>36624464</t>
  </si>
  <si>
    <t>151</t>
  </si>
  <si>
    <t>сельское поселение Степная Шентала</t>
  </si>
  <si>
    <t>36624468</t>
  </si>
  <si>
    <t>152</t>
  </si>
  <si>
    <t>сельское поселение Четыровка</t>
  </si>
  <si>
    <t>36624480</t>
  </si>
  <si>
    <t>153</t>
  </si>
  <si>
    <t>сельское поселение Шпановка</t>
  </si>
  <si>
    <t>36624484</t>
  </si>
  <si>
    <t>154</t>
  </si>
  <si>
    <t>Красноармейский муниципальный район</t>
  </si>
  <si>
    <t>36626000</t>
  </si>
  <si>
    <t>155</t>
  </si>
  <si>
    <t>сельское поселение Алексеевский</t>
  </si>
  <si>
    <t>36626402</t>
  </si>
  <si>
    <t>156</t>
  </si>
  <si>
    <t>сельское поселение Андросовка</t>
  </si>
  <si>
    <t>36626404</t>
  </si>
  <si>
    <t>157</t>
  </si>
  <si>
    <t>сельское поселение Волчанка</t>
  </si>
  <si>
    <t>36626408</t>
  </si>
  <si>
    <t>158</t>
  </si>
  <si>
    <t>сельское поселение Гражданский</t>
  </si>
  <si>
    <t>36626412</t>
  </si>
  <si>
    <t>159</t>
  </si>
  <si>
    <t>сельское поселение Кировский</t>
  </si>
  <si>
    <t>36626416</t>
  </si>
  <si>
    <t>160</t>
  </si>
  <si>
    <t>сельское поселение Колывань</t>
  </si>
  <si>
    <t>36626420</t>
  </si>
  <si>
    <t>161</t>
  </si>
  <si>
    <t>сельское поселение Красноармейское</t>
  </si>
  <si>
    <t>36626424</t>
  </si>
  <si>
    <t>162</t>
  </si>
  <si>
    <t>сельское поселение Криволучье-Ивановка</t>
  </si>
  <si>
    <t>36626426</t>
  </si>
  <si>
    <t>163</t>
  </si>
  <si>
    <t>сельское поселение Куйбышевский</t>
  </si>
  <si>
    <t>36626428</t>
  </si>
  <si>
    <t>164</t>
  </si>
  <si>
    <t>сельское поселение Ленинский</t>
  </si>
  <si>
    <t>36626432</t>
  </si>
  <si>
    <t>165</t>
  </si>
  <si>
    <t>сельское поселение Павловка</t>
  </si>
  <si>
    <t>36626434</t>
  </si>
  <si>
    <t>166</t>
  </si>
  <si>
    <t>сельское поселение Чапаевский</t>
  </si>
  <si>
    <t>36626436</t>
  </si>
  <si>
    <t>167</t>
  </si>
  <si>
    <t>Красноярский муниципальный район</t>
  </si>
  <si>
    <t>36628000</t>
  </si>
  <si>
    <t>168</t>
  </si>
  <si>
    <t>городское поселение Волжский</t>
  </si>
  <si>
    <t>36628155</t>
  </si>
  <si>
    <t>169</t>
  </si>
  <si>
    <t>городское поселение Мирный</t>
  </si>
  <si>
    <t>36628158</t>
  </si>
  <si>
    <t>170</t>
  </si>
  <si>
    <t>городское поселение Новосемейкино</t>
  </si>
  <si>
    <t>36628163</t>
  </si>
  <si>
    <t>171</t>
  </si>
  <si>
    <t>сельское поселение Большая Каменка</t>
  </si>
  <si>
    <t>36628404</t>
  </si>
  <si>
    <t>172</t>
  </si>
  <si>
    <t>сельское поселение Большая Раковка</t>
  </si>
  <si>
    <t>36628408</t>
  </si>
  <si>
    <t>173</t>
  </si>
  <si>
    <t>сельское поселение Коммунарский</t>
  </si>
  <si>
    <t>36628412</t>
  </si>
  <si>
    <t>174</t>
  </si>
  <si>
    <t>сельское поселение Красный Яр</t>
  </si>
  <si>
    <t>36628416</t>
  </si>
  <si>
    <t>175</t>
  </si>
  <si>
    <t>сельское поселение Новый Буян</t>
  </si>
  <si>
    <t>36628420</t>
  </si>
  <si>
    <t>176</t>
  </si>
  <si>
    <t>сельское поселение Светлое Поле</t>
  </si>
  <si>
    <t>36628424</t>
  </si>
  <si>
    <t>177</t>
  </si>
  <si>
    <t>сельское поселение Старая Бинарадка</t>
  </si>
  <si>
    <t>36628428</t>
  </si>
  <si>
    <t>178</t>
  </si>
  <si>
    <t>сельское поселение Хилково</t>
  </si>
  <si>
    <t>36628432</t>
  </si>
  <si>
    <t>179</t>
  </si>
  <si>
    <t>сельское поселение Хорошенькое</t>
  </si>
  <si>
    <t>36628436</t>
  </si>
  <si>
    <t>180</t>
  </si>
  <si>
    <t>сельское поселение Шилан</t>
  </si>
  <si>
    <t>36628440</t>
  </si>
  <si>
    <t>181</t>
  </si>
  <si>
    <t>Нефтегорский муниципальный район</t>
  </si>
  <si>
    <t>36630000</t>
  </si>
  <si>
    <t>182</t>
  </si>
  <si>
    <t>городское поселение Нефтегорск</t>
  </si>
  <si>
    <t>36630101</t>
  </si>
  <si>
    <t>городское поселение, в состав которого входит город</t>
  </si>
  <si>
    <t>183</t>
  </si>
  <si>
    <t>сельское поселение Бариновка</t>
  </si>
  <si>
    <t>36630402</t>
  </si>
  <si>
    <t>184</t>
  </si>
  <si>
    <t>36630404</t>
  </si>
  <si>
    <t>185</t>
  </si>
  <si>
    <t>сельское поселение Дмитриевка</t>
  </si>
  <si>
    <t>36630408</t>
  </si>
  <si>
    <t>186</t>
  </si>
  <si>
    <t>сельское поселение Зуевка</t>
  </si>
  <si>
    <t>36630412</t>
  </si>
  <si>
    <t>187</t>
  </si>
  <si>
    <t>сельское поселение Кулешовка</t>
  </si>
  <si>
    <t>36630413</t>
  </si>
  <si>
    <t>188</t>
  </si>
  <si>
    <t>сельское поселение Покровка</t>
  </si>
  <si>
    <t>36630414</t>
  </si>
  <si>
    <t>189</t>
  </si>
  <si>
    <t>сельское поселение Семеновка</t>
  </si>
  <si>
    <t>36630416</t>
  </si>
  <si>
    <t>190</t>
  </si>
  <si>
    <t>сельское поселение Утевка</t>
  </si>
  <si>
    <t>36630420</t>
  </si>
  <si>
    <t>191</t>
  </si>
  <si>
    <t>Пестравский муниципальный район</t>
  </si>
  <si>
    <t>36632000</t>
  </si>
  <si>
    <t>192</t>
  </si>
  <si>
    <t>сельское поселение Высокое</t>
  </si>
  <si>
    <t>36632404</t>
  </si>
  <si>
    <t>193</t>
  </si>
  <si>
    <t>сельское поселение Красная Поляна</t>
  </si>
  <si>
    <t>36632408</t>
  </si>
  <si>
    <t>194</t>
  </si>
  <si>
    <t>сельское поселение Майское</t>
  </si>
  <si>
    <t>36632412</t>
  </si>
  <si>
    <t>195</t>
  </si>
  <si>
    <t>сельское поселение Марьевка</t>
  </si>
  <si>
    <t>36632416</t>
  </si>
  <si>
    <t>196</t>
  </si>
  <si>
    <t>сельское поселение Михайло-Овсянка</t>
  </si>
  <si>
    <t>36632420</t>
  </si>
  <si>
    <t>197</t>
  </si>
  <si>
    <t>сельское поселение Мосты</t>
  </si>
  <si>
    <t>36632424</t>
  </si>
  <si>
    <t>198</t>
  </si>
  <si>
    <t>сельское поселение Падовка</t>
  </si>
  <si>
    <t>36632428</t>
  </si>
  <si>
    <t>199</t>
  </si>
  <si>
    <t>сельское поселение Пестравка</t>
  </si>
  <si>
    <t>36632432</t>
  </si>
  <si>
    <t>200</t>
  </si>
  <si>
    <t>Похвистневский муниципальный район</t>
  </si>
  <si>
    <t>36634000</t>
  </si>
  <si>
    <t>201</t>
  </si>
  <si>
    <t>сельское поселение Алькино</t>
  </si>
  <si>
    <t>36634408</t>
  </si>
  <si>
    <t>202</t>
  </si>
  <si>
    <t>сельское поселение Большой Толкай</t>
  </si>
  <si>
    <t>36634412</t>
  </si>
  <si>
    <t>203</t>
  </si>
  <si>
    <t>сельское поселение Красные Ключи</t>
  </si>
  <si>
    <t>36634426</t>
  </si>
  <si>
    <t>204</t>
  </si>
  <si>
    <t>сельское поселение Кротково</t>
  </si>
  <si>
    <t>36634428</t>
  </si>
  <si>
    <t>205</t>
  </si>
  <si>
    <t>сельское поселение Малое Ибряйкино</t>
  </si>
  <si>
    <t>36634420</t>
  </si>
  <si>
    <t>206</t>
  </si>
  <si>
    <t>сельское поселение Малый Толкай</t>
  </si>
  <si>
    <t>36634432</t>
  </si>
  <si>
    <t>207</t>
  </si>
  <si>
    <t>сельское поселение Мочалеевка</t>
  </si>
  <si>
    <t>36634436</t>
  </si>
  <si>
    <t>208</t>
  </si>
  <si>
    <t>сельское поселение Новое Мансуркино</t>
  </si>
  <si>
    <t>36634440</t>
  </si>
  <si>
    <t>209</t>
  </si>
  <si>
    <t>сельское поселение Подбельск</t>
  </si>
  <si>
    <t>36634444</t>
  </si>
  <si>
    <t>210</t>
  </si>
  <si>
    <t>сельское поселение Рысайкино</t>
  </si>
  <si>
    <t>36634446</t>
  </si>
  <si>
    <t>211</t>
  </si>
  <si>
    <t>сельское поселение Савруха</t>
  </si>
  <si>
    <t>36634448</t>
  </si>
  <si>
    <t>212</t>
  </si>
  <si>
    <t>сельское поселение Среднее Аверкино</t>
  </si>
  <si>
    <t>36634404</t>
  </si>
  <si>
    <t>213</t>
  </si>
  <si>
    <t>сельское поселение Староганькино</t>
  </si>
  <si>
    <t>36634460</t>
  </si>
  <si>
    <t>214</t>
  </si>
  <si>
    <t>сельское поселение Старопохвистнево</t>
  </si>
  <si>
    <t>36634468</t>
  </si>
  <si>
    <t>215</t>
  </si>
  <si>
    <t>сельское поселение Старый Аманак</t>
  </si>
  <si>
    <t>36634456</t>
  </si>
  <si>
    <t>216</t>
  </si>
  <si>
    <t>Приволжский муниципальный район</t>
  </si>
  <si>
    <t>36636000</t>
  </si>
  <si>
    <t>217</t>
  </si>
  <si>
    <t>сельское поселение Давыдовка</t>
  </si>
  <si>
    <t>36636404</t>
  </si>
  <si>
    <t>218</t>
  </si>
  <si>
    <t>сельское поселение Заволжье</t>
  </si>
  <si>
    <t>36636405</t>
  </si>
  <si>
    <t>219</t>
  </si>
  <si>
    <t>сельское поселение Ильмень</t>
  </si>
  <si>
    <t>36636406</t>
  </si>
  <si>
    <t>220</t>
  </si>
  <si>
    <t>сельское поселение Новоспасский</t>
  </si>
  <si>
    <t>36636415</t>
  </si>
  <si>
    <t>221</t>
  </si>
  <si>
    <t>сельское поселение Обшаровка</t>
  </si>
  <si>
    <t>36636408</t>
  </si>
  <si>
    <t>222</t>
  </si>
  <si>
    <t>сельское поселение Приволжье</t>
  </si>
  <si>
    <t>36636412</t>
  </si>
  <si>
    <t>223</t>
  </si>
  <si>
    <t>сельское поселение Спасское</t>
  </si>
  <si>
    <t>36636416</t>
  </si>
  <si>
    <t>224</t>
  </si>
  <si>
    <t>Сергиевский муниципальный район</t>
  </si>
  <si>
    <t>36638000</t>
  </si>
  <si>
    <t>225</t>
  </si>
  <si>
    <t>городское поселение Суходол</t>
  </si>
  <si>
    <t>36638158</t>
  </si>
  <si>
    <t>226</t>
  </si>
  <si>
    <t>сельское поселение Антоновка</t>
  </si>
  <si>
    <t>36638403</t>
  </si>
  <si>
    <t>227</t>
  </si>
  <si>
    <t>сельское поселение Верхняя Орлянка</t>
  </si>
  <si>
    <t>36638404</t>
  </si>
  <si>
    <t>228</t>
  </si>
  <si>
    <t>сельское поселение Воротнее</t>
  </si>
  <si>
    <t>36638406</t>
  </si>
  <si>
    <t>229</t>
  </si>
  <si>
    <t>сельское поселение Елшанка</t>
  </si>
  <si>
    <t>36638408</t>
  </si>
  <si>
    <t>230</t>
  </si>
  <si>
    <t>сельское поселение Захаркино</t>
  </si>
  <si>
    <t>36638409</t>
  </si>
  <si>
    <t>231</t>
  </si>
  <si>
    <t>сельское поселение Калиновка</t>
  </si>
  <si>
    <t>36638410</t>
  </si>
  <si>
    <t>232</t>
  </si>
  <si>
    <t>сельское поселение Кандабулак</t>
  </si>
  <si>
    <t>36638412</t>
  </si>
  <si>
    <t>233</t>
  </si>
  <si>
    <t>сельское поселение Кармало-Аделяково</t>
  </si>
  <si>
    <t>36638416</t>
  </si>
  <si>
    <t>234</t>
  </si>
  <si>
    <t>сельское поселение Красносельское</t>
  </si>
  <si>
    <t>36638420</t>
  </si>
  <si>
    <t>235</t>
  </si>
  <si>
    <t>сельское поселение Кутузовский</t>
  </si>
  <si>
    <t>36638424</t>
  </si>
  <si>
    <t>236</t>
  </si>
  <si>
    <t>сельское поселение Липовка</t>
  </si>
  <si>
    <t>36638426</t>
  </si>
  <si>
    <t>237</t>
  </si>
  <si>
    <t>сельское поселение Светлодольск</t>
  </si>
  <si>
    <t>36638430</t>
  </si>
  <si>
    <t>238</t>
  </si>
  <si>
    <t>сельское поселение Сергиевск</t>
  </si>
  <si>
    <t>36638432</t>
  </si>
  <si>
    <t>239</t>
  </si>
  <si>
    <t>сельское поселение Серноводск</t>
  </si>
  <si>
    <t>36638435</t>
  </si>
  <si>
    <t>240</t>
  </si>
  <si>
    <t>сельское поселение Сургут</t>
  </si>
  <si>
    <t>36638438</t>
  </si>
  <si>
    <t>241</t>
  </si>
  <si>
    <t>36638444</t>
  </si>
  <si>
    <t>242</t>
  </si>
  <si>
    <t>Ставропольский муниципальный район</t>
  </si>
  <si>
    <t>36640000</t>
  </si>
  <si>
    <t>243</t>
  </si>
  <si>
    <t>36640403</t>
  </si>
  <si>
    <t>244</t>
  </si>
  <si>
    <t>сельское поселение Бахилово</t>
  </si>
  <si>
    <t>36640406</t>
  </si>
  <si>
    <t>245</t>
  </si>
  <si>
    <t>сельское поселение Большая Рязань</t>
  </si>
  <si>
    <t>36640409</t>
  </si>
  <si>
    <t>246</t>
  </si>
  <si>
    <t>36640412</t>
  </si>
  <si>
    <t>247</t>
  </si>
  <si>
    <t>сельское поселение Верхнее Санчелеево</t>
  </si>
  <si>
    <t>36640415</t>
  </si>
  <si>
    <t>248</t>
  </si>
  <si>
    <t>сельское поселение Верхние Белозерки</t>
  </si>
  <si>
    <t>36640414</t>
  </si>
  <si>
    <t>249</t>
  </si>
  <si>
    <t>сельское поселение Выселки</t>
  </si>
  <si>
    <t>36640418</t>
  </si>
  <si>
    <t>250</t>
  </si>
  <si>
    <t>сельское поселение Жигули</t>
  </si>
  <si>
    <t>36640421</t>
  </si>
  <si>
    <t>251</t>
  </si>
  <si>
    <t>сельское поселение Кирилловка</t>
  </si>
  <si>
    <t>36640423</t>
  </si>
  <si>
    <t>252</t>
  </si>
  <si>
    <t>сельское поселение Луначарский</t>
  </si>
  <si>
    <t>36640424</t>
  </si>
  <si>
    <t>253</t>
  </si>
  <si>
    <t>сельское поселение Мусорка</t>
  </si>
  <si>
    <t>36640427</t>
  </si>
  <si>
    <t>254</t>
  </si>
  <si>
    <t>сельское поселение Нижнее Санчелеево</t>
  </si>
  <si>
    <t>36640430</t>
  </si>
  <si>
    <t>255</t>
  </si>
  <si>
    <t>сельское поселение Новая Бинарадка</t>
  </si>
  <si>
    <t>36640433</t>
  </si>
  <si>
    <t>256</t>
  </si>
  <si>
    <t>сельское поселение Осиновка</t>
  </si>
  <si>
    <t>36640439</t>
  </si>
  <si>
    <t>257</t>
  </si>
  <si>
    <t>сельское поселение Пискалы</t>
  </si>
  <si>
    <t>36640436</t>
  </si>
  <si>
    <t>258</t>
  </si>
  <si>
    <t>сельское поселение Подстепки</t>
  </si>
  <si>
    <t>36640440</t>
  </si>
  <si>
    <t>259</t>
  </si>
  <si>
    <t>сельское поселение Приморский</t>
  </si>
  <si>
    <t>36640442</t>
  </si>
  <si>
    <t>260</t>
  </si>
  <si>
    <t>сельское поселение Севрюкаево</t>
  </si>
  <si>
    <t>36640448</t>
  </si>
  <si>
    <t>261</t>
  </si>
  <si>
    <t>сельское поселение Сосновый Солонец</t>
  </si>
  <si>
    <t>36640451</t>
  </si>
  <si>
    <t>262</t>
  </si>
  <si>
    <t>сельское поселение Ташелка</t>
  </si>
  <si>
    <t>36640454</t>
  </si>
  <si>
    <t>263</t>
  </si>
  <si>
    <t>сельское поселение Тимофеевка</t>
  </si>
  <si>
    <t>36640445</t>
  </si>
  <si>
    <t>264</t>
  </si>
  <si>
    <t>сельское поселение Узюково</t>
  </si>
  <si>
    <t>36640457</t>
  </si>
  <si>
    <t>265</t>
  </si>
  <si>
    <t>сельское поселение Хрящевка</t>
  </si>
  <si>
    <t>36640460</t>
  </si>
  <si>
    <t>266</t>
  </si>
  <si>
    <t>сельское поселение Ягодное</t>
  </si>
  <si>
    <t>36640463</t>
  </si>
  <si>
    <t>267</t>
  </si>
  <si>
    <t>Сызранский муниципальный район</t>
  </si>
  <si>
    <t>36642000</t>
  </si>
  <si>
    <t>268</t>
  </si>
  <si>
    <t>городское поселение Балашейка</t>
  </si>
  <si>
    <t>36642154</t>
  </si>
  <si>
    <t>269</t>
  </si>
  <si>
    <t>городское поселение Междуреченск</t>
  </si>
  <si>
    <t>36642156</t>
  </si>
  <si>
    <t>270</t>
  </si>
  <si>
    <t>сельское поселение Варламово</t>
  </si>
  <si>
    <t>36642406</t>
  </si>
  <si>
    <t>271</t>
  </si>
  <si>
    <t>сельское поселение Волжское</t>
  </si>
  <si>
    <t>36642408</t>
  </si>
  <si>
    <t>272</t>
  </si>
  <si>
    <t>сельское поселение Жемковка</t>
  </si>
  <si>
    <t>36642412</t>
  </si>
  <si>
    <t>273</t>
  </si>
  <si>
    <t>сельское поселение Заборовка</t>
  </si>
  <si>
    <t>36642416</t>
  </si>
  <si>
    <t>274</t>
  </si>
  <si>
    <t>сельское поселение Ивашевка</t>
  </si>
  <si>
    <t>36642418</t>
  </si>
  <si>
    <t>275</t>
  </si>
  <si>
    <t>сельское поселение Новая Рачейка</t>
  </si>
  <si>
    <t>36642424</t>
  </si>
  <si>
    <t>276</t>
  </si>
  <si>
    <t>сельское поселение Новозаборовский</t>
  </si>
  <si>
    <t>36642426</t>
  </si>
  <si>
    <t>277</t>
  </si>
  <si>
    <t>сельское поселение Печерское</t>
  </si>
  <si>
    <t>36642428</t>
  </si>
  <si>
    <t>278</t>
  </si>
  <si>
    <t>сельское поселение Рамено</t>
  </si>
  <si>
    <t>36642431</t>
  </si>
  <si>
    <t>279</t>
  </si>
  <si>
    <t>сельское поселение Старая Рачейка</t>
  </si>
  <si>
    <t>36642436</t>
  </si>
  <si>
    <t>280</t>
  </si>
  <si>
    <t>сельское поселение Троицкое</t>
  </si>
  <si>
    <t>36642440</t>
  </si>
  <si>
    <t>281</t>
  </si>
  <si>
    <t>сельское поселение Усинское</t>
  </si>
  <si>
    <t>36642444</t>
  </si>
  <si>
    <t>282</t>
  </si>
  <si>
    <t>сельское поселение Чекалино</t>
  </si>
  <si>
    <t>36642449</t>
  </si>
  <si>
    <t>283</t>
  </si>
  <si>
    <t>Хворостянский муниципальный район</t>
  </si>
  <si>
    <t>36644000</t>
  </si>
  <si>
    <t>284</t>
  </si>
  <si>
    <t>сельское поселение Абашево</t>
  </si>
  <si>
    <t>36644402</t>
  </si>
  <si>
    <t>285</t>
  </si>
  <si>
    <t>сельское поселение Владимировка</t>
  </si>
  <si>
    <t>36644403</t>
  </si>
  <si>
    <t>286</t>
  </si>
  <si>
    <t>36644406</t>
  </si>
  <si>
    <t>287</t>
  </si>
  <si>
    <t>сельское поселение Масленниково</t>
  </si>
  <si>
    <t>36644408</t>
  </si>
  <si>
    <t>288</t>
  </si>
  <si>
    <t>сельское поселение Новокуровка</t>
  </si>
  <si>
    <t>36644416</t>
  </si>
  <si>
    <t>289</t>
  </si>
  <si>
    <t>сельское поселение Новотулка</t>
  </si>
  <si>
    <t>36644420</t>
  </si>
  <si>
    <t>290</t>
  </si>
  <si>
    <t>сельское поселение Прогресс</t>
  </si>
  <si>
    <t>36644421</t>
  </si>
  <si>
    <t>291</t>
  </si>
  <si>
    <t>сельское поселение Романовка</t>
  </si>
  <si>
    <t>36644422</t>
  </si>
  <si>
    <t>292</t>
  </si>
  <si>
    <t>сельское поселение Соловьево</t>
  </si>
  <si>
    <t>36644425</t>
  </si>
  <si>
    <t>293</t>
  </si>
  <si>
    <t>сельское поселение Студенецы</t>
  </si>
  <si>
    <t>36644423</t>
  </si>
  <si>
    <t>294</t>
  </si>
  <si>
    <t>сельское поселение Хворостянка</t>
  </si>
  <si>
    <t>36644424</t>
  </si>
  <si>
    <t>295</t>
  </si>
  <si>
    <t>Челно-Вершинский муниципальный район</t>
  </si>
  <si>
    <t>36646000</t>
  </si>
  <si>
    <t>296</t>
  </si>
  <si>
    <t>сельское поселение Девлезеркино</t>
  </si>
  <si>
    <t>36646404</t>
  </si>
  <si>
    <t>297</t>
  </si>
  <si>
    <t>сельское поселение Каменный Брод</t>
  </si>
  <si>
    <t>36646412</t>
  </si>
  <si>
    <t>298</t>
  </si>
  <si>
    <t>сельское поселение Краснояриха</t>
  </si>
  <si>
    <t>36646416</t>
  </si>
  <si>
    <t>299</t>
  </si>
  <si>
    <t>сельское поселение Красный Строитель</t>
  </si>
  <si>
    <t>36646408</t>
  </si>
  <si>
    <t>300</t>
  </si>
  <si>
    <t>сельское поселение Новое Аделяково</t>
  </si>
  <si>
    <t>36646419</t>
  </si>
  <si>
    <t>301</t>
  </si>
  <si>
    <t>сельское поселение Озерки</t>
  </si>
  <si>
    <t>36646420</t>
  </si>
  <si>
    <t>302</t>
  </si>
  <si>
    <t>сельское поселение Сиделькино</t>
  </si>
  <si>
    <t>36646424</t>
  </si>
  <si>
    <t>303</t>
  </si>
  <si>
    <t>сельское поселение Токмакла</t>
  </si>
  <si>
    <t>36646428</t>
  </si>
  <si>
    <t>304</t>
  </si>
  <si>
    <t>сельское поселение Челно-Вершины</t>
  </si>
  <si>
    <t>36646432</t>
  </si>
  <si>
    <t>305</t>
  </si>
  <si>
    <t>сельское поселение Чувашское Урметьево</t>
  </si>
  <si>
    <t>36646440</t>
  </si>
  <si>
    <t>306</t>
  </si>
  <si>
    <t>сельское поселение Эштебенькино</t>
  </si>
  <si>
    <t>36646444</t>
  </si>
  <si>
    <t>307</t>
  </si>
  <si>
    <t>Шенталинский муниципальный район</t>
  </si>
  <si>
    <t>36648000</t>
  </si>
  <si>
    <t>308</t>
  </si>
  <si>
    <t>сельское поселение Артюшкино</t>
  </si>
  <si>
    <t>36648404</t>
  </si>
  <si>
    <t>309</t>
  </si>
  <si>
    <t>36648432</t>
  </si>
  <si>
    <t>310</t>
  </si>
  <si>
    <t>сельское поселение Денискино</t>
  </si>
  <si>
    <t>36648408</t>
  </si>
  <si>
    <t>311</t>
  </si>
  <si>
    <t>сельское поселение Каменка</t>
  </si>
  <si>
    <t>36648412</t>
  </si>
  <si>
    <t>312</t>
  </si>
  <si>
    <t>сельское поселение Канаш</t>
  </si>
  <si>
    <t>36648414</t>
  </si>
  <si>
    <t>313</t>
  </si>
  <si>
    <t>сельское поселение Новый Кувак</t>
  </si>
  <si>
    <t>36648420</t>
  </si>
  <si>
    <t>314</t>
  </si>
  <si>
    <t>сельское поселение Салейкино</t>
  </si>
  <si>
    <t>36648424</t>
  </si>
  <si>
    <t>315</t>
  </si>
  <si>
    <t>сельское поселение Старая Шентала</t>
  </si>
  <si>
    <t>36648440</t>
  </si>
  <si>
    <t>316</t>
  </si>
  <si>
    <t>сельское поселение Туарма</t>
  </si>
  <si>
    <t>36648444</t>
  </si>
  <si>
    <t>317</t>
  </si>
  <si>
    <t>сельское поселение Четырла</t>
  </si>
  <si>
    <t>36648446</t>
  </si>
  <si>
    <t>318</t>
  </si>
  <si>
    <t>сельское поселение Шентала</t>
  </si>
  <si>
    <t>36648448</t>
  </si>
  <si>
    <t>319</t>
  </si>
  <si>
    <t>Шигонский муниципальный район</t>
  </si>
  <si>
    <t>36650000</t>
  </si>
  <si>
    <t>320</t>
  </si>
  <si>
    <t>сельское поселение Береговой</t>
  </si>
  <si>
    <t>36650416</t>
  </si>
  <si>
    <t>321</t>
  </si>
  <si>
    <t>сельское поселение Бичевная</t>
  </si>
  <si>
    <t>36650406</t>
  </si>
  <si>
    <t>322</t>
  </si>
  <si>
    <t>сельское поселение Волжский Утес</t>
  </si>
  <si>
    <t>36650407</t>
  </si>
  <si>
    <t>323</t>
  </si>
  <si>
    <t>сельское поселение Малячкино</t>
  </si>
  <si>
    <t>36650410</t>
  </si>
  <si>
    <t>324</t>
  </si>
  <si>
    <t>сельское поселение Муранка</t>
  </si>
  <si>
    <t>36650411</t>
  </si>
  <si>
    <t>325</t>
  </si>
  <si>
    <t>сельское поселение Новодевичье</t>
  </si>
  <si>
    <t>36650412</t>
  </si>
  <si>
    <t>326</t>
  </si>
  <si>
    <t>сельское поселение Пионерский</t>
  </si>
  <si>
    <t>36650420</t>
  </si>
  <si>
    <t>327</t>
  </si>
  <si>
    <t>сельское поселение Подвалье</t>
  </si>
  <si>
    <t>36650424</t>
  </si>
  <si>
    <t>328</t>
  </si>
  <si>
    <t>сельское поселение Суринск</t>
  </si>
  <si>
    <t>36650432</t>
  </si>
  <si>
    <t>329</t>
  </si>
  <si>
    <t>сельское поселение Тайдаково</t>
  </si>
  <si>
    <t>36650436</t>
  </si>
  <si>
    <t>330</t>
  </si>
  <si>
    <t>сельское поселение Усолье</t>
  </si>
  <si>
    <t>36650440</t>
  </si>
  <si>
    <t>331</t>
  </si>
  <si>
    <t>сельское поселение Шигоны</t>
  </si>
  <si>
    <t>36650444</t>
  </si>
  <si>
    <t>332</t>
  </si>
  <si>
    <t>городской округ</t>
  </si>
  <si>
    <t>городской округ Кинель</t>
  </si>
  <si>
    <t>36708000</t>
  </si>
  <si>
    <t>334</t>
  </si>
  <si>
    <t>городской округ Новокуйбышевск</t>
  </si>
  <si>
    <t>36713000</t>
  </si>
  <si>
    <t>335</t>
  </si>
  <si>
    <t>городской округ Октябрьск</t>
  </si>
  <si>
    <t>36718000</t>
  </si>
  <si>
    <t>336</t>
  </si>
  <si>
    <t>городской округ Отрадный</t>
  </si>
  <si>
    <t>36724000</t>
  </si>
  <si>
    <t>337</t>
  </si>
  <si>
    <t>городской округ Похвистнево</t>
  </si>
  <si>
    <t>36727000</t>
  </si>
  <si>
    <t>338</t>
  </si>
  <si>
    <t>городской округ Самара</t>
  </si>
  <si>
    <t>36701000</t>
  </si>
  <si>
    <t>Железнодорожный</t>
  </si>
  <si>
    <t>36701305</t>
  </si>
  <si>
    <t>внутригородской район</t>
  </si>
  <si>
    <t>339</t>
  </si>
  <si>
    <t>Кировский</t>
  </si>
  <si>
    <t>36701310</t>
  </si>
  <si>
    <t>340</t>
  </si>
  <si>
    <t>Красноглинский</t>
  </si>
  <si>
    <t>36701315</t>
  </si>
  <si>
    <t>341</t>
  </si>
  <si>
    <t>Куйбышевский</t>
  </si>
  <si>
    <t>36701320</t>
  </si>
  <si>
    <t>342</t>
  </si>
  <si>
    <t>Ленинский</t>
  </si>
  <si>
    <t>36701325</t>
  </si>
  <si>
    <t>343</t>
  </si>
  <si>
    <t>Октябрьский</t>
  </si>
  <si>
    <t>36701330</t>
  </si>
  <si>
    <t>344</t>
  </si>
  <si>
    <t>Промышленный</t>
  </si>
  <si>
    <t>36701335</t>
  </si>
  <si>
    <t>345</t>
  </si>
  <si>
    <t>Самарский</t>
  </si>
  <si>
    <t>36701340</t>
  </si>
  <si>
    <t>346</t>
  </si>
  <si>
    <t>Советский</t>
  </si>
  <si>
    <t>36701345</t>
  </si>
  <si>
    <t>347</t>
  </si>
  <si>
    <t>городской округ с внутригородским делением</t>
  </si>
  <si>
    <t>348</t>
  </si>
  <si>
    <t>349</t>
  </si>
  <si>
    <t>городской округ Сызрань</t>
  </si>
  <si>
    <t>36735000</t>
  </si>
  <si>
    <t>350</t>
  </si>
  <si>
    <t>городской округ Тольятти</t>
  </si>
  <si>
    <t>36740000</t>
  </si>
  <si>
    <t>351</t>
  </si>
  <si>
    <t>городской округ Чапаевск</t>
  </si>
  <si>
    <t>36750000</t>
  </si>
  <si>
    <t>352</t>
  </si>
  <si>
    <t>NUMBER_POINT</t>
  </si>
  <si>
    <t>L_NAME</t>
  </si>
  <si>
    <t>L_START_DATE</t>
  </si>
  <si>
    <t>L_END_DATE</t>
  </si>
  <si>
    <t>Инвестиционная программа № 104 от 27.06.2022 Филиал "Самарский" ПАО "Т Плюс" в сфере теплоснабжения по реконструкции и техническому перевооружению единого комплекса объектов, на территории городского округа Сызрань на 2023 год</t>
  </si>
  <si>
    <t>01.01.2023</t>
  </si>
  <si>
    <t>31.12.2023</t>
  </si>
  <si>
    <t>Инвестиционная программа № 108 от 29.07.2021 ООО "СамРЭК-Эксплуатация" в сфере теплоснабжения по модернизации системы теплоснабжения, на территории муниципального района Пестравский на 2022-2023 годы</t>
  </si>
  <si>
    <t>01.01.2022</t>
  </si>
  <si>
    <t>Инвестиционная программа № 122 от 31.08.2021 АО "Теплоэнергокомпания" в сфере теплоснабжения по модернизации, развитию и техническому перевооружению имущественного комплекса, на территории городского округа Чапаевск на 2022-2023 годы</t>
  </si>
  <si>
    <t>Инвестиционная программа № 131 от 17.09.2021 ООО "СамРЭК-Тепло Жигулевск" в сфере теплоснабжения по реконструкции системы теплоснабжения, на территории городского округа Жигулевск на 2021-2030 годы</t>
  </si>
  <si>
    <t>17.09.2021</t>
  </si>
  <si>
    <t>31.12.2030</t>
  </si>
  <si>
    <t>Инвестиционная программа № 142 от 03.09.2019 МУП "Теплообеспечение" в сфере теплоснабжения и горячего водоснабжения по модернизации и строительству имущественного комплекса, на территории городского поселения Петра Дубрава, Волжский муниципальный район на 2020-2022 годы</t>
  </si>
  <si>
    <t>01.01.2020</t>
  </si>
  <si>
    <t>31.12.2022</t>
  </si>
  <si>
    <t>Инвестиционная программа № 158 от 26.10.2021 ООО "СамРЭК-Эксплуатация" в сфере теплоснабжения по модернизации системы теплоснабжения, на территории муниципального района Большечерниговский на 2022-2023 годы</t>
  </si>
  <si>
    <t>Инвестиционная программа № 159 от 27.10.2021 ООО "СамРЭК-Эксплуатация" в сфере теплоснабжения по модернизации систем теплоснабжения, на территории муниципального района Кинель-Черкасский на 2022-2023 годы</t>
  </si>
  <si>
    <t>Инвестиционная программа № 159 от 27.10.2021 ООО "СамРЭК-Эксплуатация" в сфере теплоснабжения по модернизации системы теплоснабжения, на территории муниципального района Кинель-Черкасский на 2022 год</t>
  </si>
  <si>
    <t>Инвестиционная программа № 160 от 27.10.2021 ООО "СамРЭК-Эксплуатация" в сфере теплоснабжения по модернизации системы теплоснабжения, на территории муниципального района Кинельский на 2022-2023 годы</t>
  </si>
  <si>
    <t>Инвестиционная программа № 161 от 27.10.2021 ООО "СамРЭК-Эксплуатация" в сфере теплоснабжения по модернизации системы теплоснабжения, на территории муниципального района Исаклинский на 2022-2023 годы</t>
  </si>
  <si>
    <t>Инвестиционная программа № 177 от 17.10.2022 ООО "СамРЭК-Тепло Жигулевск" в сфере теплоснабжения по модернизации систем теплоснабжения, на территории городского округа Жигулевск на 2022-2046 годы</t>
  </si>
  <si>
    <t>17.10.2022</t>
  </si>
  <si>
    <t>31.12.2046</t>
  </si>
  <si>
    <t>Инвестиционная программа № 179 от 16.10.2020 ООО "СамРЭК-Тепло Жигулевск" в сфере теплоснабжения по реконструкции котельных, на территории городского округа Жигулевск на 2020-2030 годы</t>
  </si>
  <si>
    <t>16.10.2020</t>
  </si>
  <si>
    <t>30.12.2030</t>
  </si>
  <si>
    <t>Инвестиционная программа № 181 от 29.10.2021 МУП "Тепло Волжского района" в сфере теплоснабжения по модернизации, реконструкции и техническому перевооружению систем инженерной инфраструктуры, на территории муниципального района Волжский на 2022-2023 годы</t>
  </si>
  <si>
    <t>Инвестиционная программа № 191 от 30.01.2020 Филиал "Самарский" ПАО "Т Плюс" в сфере теплоснабжения по модернизации, реконструкции и техническому перевооружению единого комплекса объектов, на территории городского округа на 2021 год</t>
  </si>
  <si>
    <t>01.01.2021</t>
  </si>
  <si>
    <t>31.12.2021</t>
  </si>
  <si>
    <t>Инвестиционная программа № 202 от 30.10.2019 ОАО "Предприятие тепловых сетей" в сфере теплоснабжения по модернизации, реконструкции и техническому перевооружению единого комплекса объектов, на территории городского округа Самара на 2019-2023 годы</t>
  </si>
  <si>
    <t>30.10.2019</t>
  </si>
  <si>
    <t>Инвестиционная программа № 204 от 08.12.2021 ООО "ТЕПЛОРЕСУРС" в сфере теплоснабжения в отношении теплоэнергетического комплекса на 2022-2027 годы</t>
  </si>
  <si>
    <t>31.12.2027</t>
  </si>
  <si>
    <t>Инвестиционная программа № 205 от 25.10.2022 МУП "Теплообеспечение" в сфере теплоснабжения по модернизации объектов, на территории муниципального района Волжский на 2023-2025 годы</t>
  </si>
  <si>
    <t>31.12.2025</t>
  </si>
  <si>
    <t>Инвестиционная программа № 207 от 30.10.2020 ООО "СамРЭК-Эксплуатация" в сфере теплоснабжения по модернизации систем теплоснабжения, на территории муниципального района Волжский на 2021-2023 годы</t>
  </si>
  <si>
    <t>Инвестиционная программа № 207 от 30.10.2020 ООО "СамРЭК-Эксплуатация" в сфере теплоснабжения по модернизации систем теплоснабжения, на территории муниципального района Кошкинский на 2021-2023 годы</t>
  </si>
  <si>
    <t>Инвестиционная программа № 208 от 30.10.2020 ООО "СамРЭК-Эксплуатация" в сфере теплоснабжения по модернизации систем теплоснабжения, на территории муниципального района Нефтегорский на 2021-2023 годы</t>
  </si>
  <si>
    <t>Инвестиционная программа № 210 от 30.10.2020 ООО "СамРЭК-Эксплуатация" в сфере теплоснабжения по модернизации систем теплоснабжения, на территории муниципального района Похвистневский на 2021-2023 годы</t>
  </si>
  <si>
    <t>Инвестиционная программа № 211 от 30.10.2020 ООО "СамРЭК-Эксплуатация" в сфере теплоснабжения по модернизации систем теплоснабжения, на территории муниципального района Кошкинский на 2021-2023 годы</t>
  </si>
  <si>
    <t>Инвестиционная программа № 221 от 20.11.2019 Филиал "Самарский" ПАО "Т Плюс" в сфере теплоснабжения по развитию, модернизации и реконструкции единого комплекса объектов на 2020 год</t>
  </si>
  <si>
    <t>31.12.2020</t>
  </si>
  <si>
    <t>Инвестиционная программа № 370/7/9248 от 21.09.2021 ООО "СТЭК" в сфере теплоснабжения по строительству, реконструкции и модернизации имущественного комплекса, на территории городского поселения Рощинский, Волжский муниципальный район на 2021-2025 годы</t>
  </si>
  <si>
    <t>21.09.2021</t>
  </si>
  <si>
    <t>Инвестиционная программа № 84 от 22.05.2020 ООО "Красноярская ТЭК" в сфере теплоснабжения по модернизации, развитию и техническому перевооружению имущественного комплекса, на территории муниципального района Красноярский на 2022-2030 годы</t>
  </si>
  <si>
    <t>Инвестиционная программа № 85 от 05.06.2019 АО "Теплоэнергокомпания" в сфере теплоснабжения по модернизации объектов, на территории городского округа Чапаевск на 2019-2020 годы</t>
  </si>
  <si>
    <t>05.06.2019</t>
  </si>
  <si>
    <t>Инвестиционная программа ОАО "ТЕВИС" в сфере теплоснабжения на 2018-2020 годы</t>
  </si>
  <si>
    <t>01.01.2018</t>
  </si>
  <si>
    <t>Инвестиционная программа от 02.11.2018 ОАО "Предприятие тепловых сетей" в сфере теплоснабжения в отношении систем теплоснабжения, на территории городского округа Самара на 2019-2023 годы</t>
  </si>
  <si>
    <t>01.01.2019</t>
  </si>
  <si>
    <t>Инвестиционная программа от 20.02.2023 ООО "ТЕПЛОРЕСУРС" в сфере теплоснабжения по модернизации и реконструкции систем коммунальной инфраструктуры, на территории муниципального района Елховский на 2023-2038 годы</t>
  </si>
  <si>
    <t>20.02.2023</t>
  </si>
  <si>
    <t>31.12.2038</t>
  </si>
  <si>
    <t>Инвестиционная программа от 20.05.2020 ООО "Красноярская ТЭК" в сфере теплоснабжения и горячего водоснабжения по модернизации, реконструкции и техническому перевооружению систем инженерной инфраструктуры, на территории муниципального района Красноярский на 2022-2036 годы</t>
  </si>
  <si>
    <t>31.12.2036</t>
  </si>
  <si>
    <t>Инвестиционная программа от 22.05.2020 ООО "Красноярская ТЭК" в сфере теплоснабжения и горячего водоснабжения по модернизации, развитию и техническому перевооружению имущественного комплекса, на территории муниципального района Красноярский на 2022-2036 годы</t>
  </si>
  <si>
    <t>Инвестиционная программа от 22.05.2020 ООО "Красноярская ТЭК" в сфере теплоснабжения и горячего водоснабжения по модернизации, развитию и техническому перевооружению объектов, на территории муниципального района Красноярский на 2022-2036 годы</t>
  </si>
  <si>
    <t>Инвестиционная программа от 22.05.2020 Общество с ограниченной ответственностью «Кинельская теплоэнергетическая компания» в сфере теплоснабжения по модернизации, реконструкции и техническому перевооружению объектов, на территории городского округа Кинель на 2022-2030 годы</t>
  </si>
  <si>
    <t>Инвестиционная программа от 28.10.2021 Филиал "Самарский" ПАО "Т Плюс" в сфере теплоснабжения по модернизации, реконструкции и техническому перевооружению объектов на 2022 год</t>
  </si>
  <si>
    <t>Инвестиционная программа от 29.10.2018 ООО "УК "Промкомстрой" в сфере теплоснабжения по модернизации и реконструкции инфраструктуры, на территории муниципального района Сызранский на 2019-2023 годы</t>
  </si>
  <si>
    <t>Инвестиционная программа от 30.10.2019 ЗАО "Энергетика и связь строительства в сфере теплоснабжения по модернизации и реконструкции тепловой сети, на территории городского округа Тольятти на 2020-2024 годы</t>
  </si>
  <si>
    <t>31.12.2024</t>
  </si>
  <si>
    <t>TER_NAME</t>
  </si>
  <si>
    <t>Территория 1</t>
  </si>
  <si>
    <t>ID_TARIFF_NAME</t>
  </si>
  <si>
    <t>TARIFF_NAME</t>
  </si>
  <si>
    <t>VED_NAME</t>
  </si>
  <si>
    <t>4190065</t>
  </si>
  <si>
    <t>4190066</t>
  </si>
  <si>
    <t>4190067</t>
  </si>
  <si>
    <t>4190068</t>
  </si>
  <si>
    <t>4190069</t>
  </si>
  <si>
    <t>4190070</t>
  </si>
  <si>
    <t>4190071</t>
  </si>
  <si>
    <t>4190072</t>
  </si>
  <si>
    <t>4190073</t>
  </si>
  <si>
    <t>ID</t>
  </si>
  <si>
    <t>LINK_NAME</t>
  </si>
  <si>
    <t>https://portal.eias.ru/Portal/DownloadPage.aspx?type=12&amp;guid=????????-????-????-????-????????????</t>
  </si>
  <si>
    <t>ALL</t>
  </si>
  <si>
    <t>https://eias.fstrf.ru/disclo/get_file?p_guid=????????-????-????-????-????????????</t>
  </si>
  <si>
    <t>Форма</t>
  </si>
  <si>
    <t>Листы</t>
  </si>
  <si>
    <t>optOrganization</t>
  </si>
  <si>
    <t>optROiV</t>
  </si>
  <si>
    <t>optHEAT</t>
  </si>
  <si>
    <t>optCOLDVSNA</t>
  </si>
  <si>
    <t>optVOTV</t>
  </si>
  <si>
    <t>optHOTVSNA</t>
  </si>
  <si>
    <t>optTKO</t>
  </si>
  <si>
    <t>optORG</t>
  </si>
  <si>
    <t>optPRICE</t>
  </si>
  <si>
    <t>optBALANCE</t>
  </si>
  <si>
    <t>optQUARTER</t>
  </si>
  <si>
    <t>optINVEST</t>
  </si>
  <si>
    <t>optTERMS</t>
  </si>
  <si>
    <t>optREQUEST</t>
  </si>
  <si>
    <t>modSave</t>
  </si>
  <si>
    <t>Расчетные листы</t>
  </si>
  <si>
    <t>Скрытые листы</t>
  </si>
  <si>
    <t>Instruction</t>
  </si>
  <si>
    <t>DATA_FORMS</t>
  </si>
  <si>
    <t>modUpdTemplLogger</t>
  </si>
  <si>
    <t>DATA_NPA</t>
  </si>
  <si>
    <t>TITLE</t>
  </si>
  <si>
    <t>TEHSHEET</t>
  </si>
  <si>
    <t>TERRITORY</t>
  </si>
  <si>
    <t>TSH_et_union_hor</t>
  </si>
  <si>
    <t>DIFFERENTIATION</t>
  </si>
  <si>
    <t>modP_T_TERMS</t>
  </si>
  <si>
    <t>DIFFERENTIATION_TARIFF</t>
  </si>
  <si>
    <t>modMainProcedures</t>
  </si>
  <si>
    <t>DIFFERENTIATION_TKO</t>
  </si>
  <si>
    <t>modB_FHD</t>
  </si>
  <si>
    <t>ORG_INFO</t>
  </si>
  <si>
    <t>modB_FHD20</t>
  </si>
  <si>
    <t>ORG_VD</t>
  </si>
  <si>
    <t>modB_KNE</t>
  </si>
  <si>
    <t>ORG_VD_TKO</t>
  </si>
  <si>
    <t>modIP_MAIN</t>
  </si>
  <si>
    <t>ORG_TERRITORY</t>
  </si>
  <si>
    <t>modIP_QRE</t>
  </si>
  <si>
    <t>P_T_TERMS</t>
  </si>
  <si>
    <t>modIP_DETAILED</t>
  </si>
  <si>
    <t>TARIFF_A</t>
  </si>
  <si>
    <t>TSH_et_union_vert</t>
  </si>
  <si>
    <t>TARIFF_B</t>
  </si>
  <si>
    <t>modROIV</t>
  </si>
  <si>
    <t>TARIFF_F</t>
  </si>
  <si>
    <t>modDIFFERENTIATION_TKO</t>
  </si>
  <si>
    <t>TARIFF_C</t>
  </si>
  <si>
    <t>modTARIFF_HEAT</t>
  </si>
  <si>
    <t>TARIFF_E1</t>
  </si>
  <si>
    <t>modTARIFF_COLDVSNA</t>
  </si>
  <si>
    <t>TARIFF_E2</t>
  </si>
  <si>
    <t>modIP_FIN_PLAN</t>
  </si>
  <si>
    <t>TARIFF_D</t>
  </si>
  <si>
    <t>REESTR_IP</t>
  </si>
  <si>
    <t>TARIFF_G</t>
  </si>
  <si>
    <t>modfrmListIP</t>
  </si>
  <si>
    <t>Лист5</t>
  </si>
  <si>
    <t>modfrmActivity</t>
  </si>
  <si>
    <t>Лист6</t>
  </si>
  <si>
    <t>REESTR_DS</t>
  </si>
  <si>
    <t>Лист7</t>
  </si>
  <si>
    <t>REESTR_VED</t>
  </si>
  <si>
    <t>Лист14</t>
  </si>
  <si>
    <t>TSH_REESTR_MO</t>
  </si>
  <si>
    <t>P_PROCEDURE_TC</t>
  </si>
  <si>
    <t>TSH_REESTR_MO_FILTER</t>
  </si>
  <si>
    <t>R_B_Purch</t>
  </si>
  <si>
    <t>REESTR_LINK</t>
  </si>
  <si>
    <t>Q_PH</t>
  </si>
  <si>
    <t>modDIFFERENTIATION_TARIFF</t>
  </si>
  <si>
    <t>Q_TP</t>
  </si>
  <si>
    <t>modDIFFERENTIATION</t>
  </si>
  <si>
    <t>Q_LIMIT</t>
  </si>
  <si>
    <t>modTERRITORY</t>
  </si>
  <si>
    <t>R_Offer</t>
  </si>
  <si>
    <t>modQ_PH</t>
  </si>
  <si>
    <t>TARIFF_A_COLDVSNA</t>
  </si>
  <si>
    <t>modORG_INFO</t>
  </si>
  <si>
    <t>TARIFF_B_COLDVSNA</t>
  </si>
  <si>
    <t>modORG_VD</t>
  </si>
  <si>
    <t>TARIFF_C_COLDVSNA</t>
  </si>
  <si>
    <t>modORG_TERRITORY</t>
  </si>
  <si>
    <t>TARIFF_D_COLDVSNA</t>
  </si>
  <si>
    <t>modfrmSelectTerritory</t>
  </si>
  <si>
    <t>TARIFF_E_COLDVSNA</t>
  </si>
  <si>
    <t>modQ_TP</t>
  </si>
  <si>
    <t>B_FHD</t>
  </si>
  <si>
    <t>modQ_LIMIT</t>
  </si>
  <si>
    <t>B_FHD20</t>
  </si>
  <si>
    <t>modListTempFilter</t>
  </si>
  <si>
    <t>B_FHD_TKO</t>
  </si>
  <si>
    <t>modCheckCyan</t>
  </si>
  <si>
    <t>B_FHD_TKO_TRANS</t>
  </si>
  <si>
    <t>modHTTP</t>
  </si>
  <si>
    <t>B_KNE</t>
  </si>
  <si>
    <t>modfrmRezimChoose</t>
  </si>
  <si>
    <t>IP_MAIN</t>
  </si>
  <si>
    <t>modSheetMain</t>
  </si>
  <si>
    <t>IP_DETAILED</t>
  </si>
  <si>
    <t>REESTR_VT</t>
  </si>
  <si>
    <t>IP_FIN_PLAN</t>
  </si>
  <si>
    <t>modfrmReportMode</t>
  </si>
  <si>
    <t>IP_QRE</t>
  </si>
  <si>
    <t>modfrmReestrObj</t>
  </si>
  <si>
    <t>TARIFF_A_HOTVSNA</t>
  </si>
  <si>
    <t>AllSheetsInThisWorkbook</t>
  </si>
  <si>
    <t>TARIFF_B_HOTVSNA</t>
  </si>
  <si>
    <t>modInstruction</t>
  </si>
  <si>
    <t>TARIFF_C_HOTVSNA</t>
  </si>
  <si>
    <t>modRegion</t>
  </si>
  <si>
    <t>TARIFF_A_VOTV</t>
  </si>
  <si>
    <t>modReestr</t>
  </si>
  <si>
    <t>TARIFF_B_VOTV</t>
  </si>
  <si>
    <t>modfrmReestr</t>
  </si>
  <si>
    <t>TARIFF_C_VOTV</t>
  </si>
  <si>
    <t>modUpdTemplMain</t>
  </si>
  <si>
    <t>ED</t>
  </si>
  <si>
    <t>TSH_REESTR_ORG</t>
  </si>
  <si>
    <t>CHANGE_INFO</t>
  </si>
  <si>
    <t>modClassifierValidate</t>
  </si>
  <si>
    <t>ListComm</t>
  </si>
  <si>
    <t>modCHECK</t>
  </si>
  <si>
    <t>CHECK</t>
  </si>
  <si>
    <t>modHyp</t>
  </si>
  <si>
    <t>ROIV_INFO</t>
  </si>
  <si>
    <t>modServiceModule</t>
  </si>
  <si>
    <t>ROIV_ORG</t>
  </si>
  <si>
    <t>modInfo</t>
  </si>
  <si>
    <t>ROIV_CASE</t>
  </si>
  <si>
    <t>modTITLE</t>
  </si>
  <si>
    <t>ROIV_OTV</t>
  </si>
  <si>
    <t>modList02</t>
  </si>
  <si>
    <t>Лист1</t>
  </si>
  <si>
    <t>modED</t>
  </si>
  <si>
    <t>modList05</t>
  </si>
  <si>
    <t>modList06</t>
  </si>
  <si>
    <t>modCHANGE_INFO</t>
  </si>
  <si>
    <t>modList11</t>
  </si>
  <si>
    <t>modList12</t>
  </si>
  <si>
    <t>modfrmDateChoose</t>
  </si>
  <si>
    <t>modComm</t>
  </si>
  <si>
    <t>modThisWorkbook</t>
  </si>
  <si>
    <t>modfrmReestrMR</t>
  </si>
  <si>
    <t>modfrmCheckUpdates</t>
  </si>
  <si>
    <t>Титульный</t>
  </si>
  <si>
    <t>Для выбора того или иного источника публикации выполните двойной щелчок по синей ячейке напротив соответствующего источника._x000D_
ВНИМАНИЕ! Если Вы снимаете галочку с пункта, то будут скрыты и очищены соответствующие строки на листе "Форма 1.0.2"!_x000D_
_x000D_
Опубликование перечисленных в шаблоне показателей на сайте организации в сети Интернет и в печатных изданиях не обязательно, если данный шаблон предоставлен по системе ЕИАС (региональный сегмент).</t>
  </si>
  <si>
    <t>Обязательное опубликование на официальном сайте органа исполнительной власти субъекта Российской Федерации в области государственного регулирования цен (тарифов), и (или) на официальном сайте органа местного самоуправления поселения или городского округа в случае их наделения в соответствии с законом субъекта Российской Федерации полномочиями по государственному регулированию цен (тарифов)предусмотрено пунктом 3 (а) постановления Правительства №6 от 17.01.2013г.</t>
  </si>
  <si>
    <t>Задайте период регулирования, выбрав даты начала и окончания периода регулирования из календаря (иконка справа от указанной ячейки), либо введите дату непосредственно в ячейку в формате - 'ДД.ММ.ГГГГ'</t>
  </si>
  <si>
    <t>Шаблон заполняется раздельно по каждому виду тарифа</t>
  </si>
  <si>
    <t>В зависимости от указанного вида деятельности будут доступны для заполнения поля 'Производство', 'Передача' и 'Сбыт'</t>
  </si>
  <si>
    <t>Если выбрано 'да', на листах с разбивкой по потребителям доступны для заполнения графы для двухставочного ставочного тарифа по группам потребителей</t>
  </si>
  <si>
    <t>Если выбрано 'да', значения тарифов для групп потребителей на листах с разбивкой по потребителям заполнятся автоматически значениями первой группы</t>
  </si>
  <si>
    <t>Если выбрано значение «да» - в шаблоне будет сформирован лист «Форма 1.0.2» для уведомления органа регулирования о публикации информации в печатных изданиях</t>
  </si>
  <si>
    <t xml:space="preserve">По умолчанию установлено значение «первичное раскрытие информации» Это означает, что информация раскрывается в соответствии с установленными сроком и периодичностью. В случае если в уже отправленном шаблоне обнаружена ошибка или произошло изменение информации, исправленный шаблон необходимо отправить с типом отчета «изменения в раскрытой ранее информации». </t>
  </si>
  <si>
    <t>Укажите является ли данное юридическое лицо подразделением(филиалом) другой организации</t>
  </si>
  <si>
    <t>Ссылки на публикации</t>
  </si>
  <si>
    <t>Вводите адрес сайта,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</si>
  <si>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Обосновывающие материалы необходимо загружать с помощью "ЕИАС Мониторинг". Ссылка на инструкцию по загрузке обосновывающих материалов расположена на листе 'Инструкция' в п.'Методология заполнения'._x000D_
_x000D_
Ввводите ссылку,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</si>
  <si>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Если для какого-либо пункта графы 'Наименование источника (сайта или печатного издания)' информация не раскрывалась, то в соответствующем поле укажите - 'не раскрывалась'</t>
  </si>
  <si>
    <t>Список МО</t>
  </si>
  <si>
    <t>В случае, если тариф не дифференцируется по системам теплоснабжения, перечислите все муниципальные районы, в которых организация осуществляет услуги теплоснабжения и сфере оказания услуг по передаче тепловой энергии</t>
  </si>
  <si>
    <t>В случае, если тариф не дифференцируется по системам теплоснабжения, перечислите все муниципальные образования, в которых организация осуществляет услуги теплоснабжения и сфере оказания услуг по передаче тепловой энергии</t>
  </si>
  <si>
    <t>Признак дифференциации тарифа</t>
  </si>
  <si>
    <t>В случае, если тариф не дифференцируется по системам теплоснабжения, укажите "1"._x000D_
Введите значение от 1 до 100, чтобы указать очередной условный порядковый номер системы теплоснабжения</t>
  </si>
  <si>
    <t>Стандарты</t>
  </si>
  <si>
    <t>В качестве примечания Вы можете указать единицу измерения</t>
  </si>
  <si>
    <t>Для корректного формирования Таблицы 25 Формы 1.10 необходимо задать разбивку по диаметрам и способу прокладки тепловых сетей</t>
  </si>
  <si>
    <t>Перечень тарифов</t>
  </si>
  <si>
    <t>Укажите «Да» в поле «Да/Нет», если дифференциация используется._x000D_
В поле «Описание» 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</si>
  <si>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Признаки дифференциации указываются в соответствии с п.6 ст.32 ФЗ РФ от 07.12.2011 №416-ФЗ</t>
  </si>
  <si>
    <t>Укажите «Да» в поле «Да/Нет», если дифференциация используется. В поле «Описание» укажите название ЦС ГВС или любое другое описание</t>
  </si>
  <si>
    <t>Территории</t>
  </si>
  <si>
    <t>Наименование территории действия тарифа для целей идентификации</t>
  </si>
  <si>
    <t>Муниципальные районы и муниципальные образования, на территории которых действует тариф</t>
  </si>
  <si>
    <t>Инструкция</t>
  </si>
  <si>
    <t>Нет доступных обновлений, версия отчёта актуальна</t>
  </si>
</sst>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241" formatCode="_-* #,##0.00\ _₽_-;\-* #,##0.00\ _₽_-;_-* &quot;-&quot;??\ _₽_-;_-@_-"/>
    <numFmt numFmtId="242" formatCode="_-* #,##0\ _₽_-;\-* #,##0\ _₽_-;_-* &quot;-&quot;\ _₽_-;_-@_-"/>
    <numFmt numFmtId="243" formatCode="_-* #,##0.00\ &quot;₽&quot;_-;\-* #,##0.00\ &quot;₽&quot;_-;_-* &quot;-&quot;??\ &quot;₽&quot;_-;_-@_-"/>
    <numFmt numFmtId="244" formatCode="_-* #,##0\ &quot;₽&quot;_-;\-* #,##0\ &quot;₽&quot;_-;_-* &quot;-&quot;\ &quot;₽&quot;_-;_-@_-"/>
    <numFmt numFmtId="245" formatCode="_-* #,##0.00[$€-1]_-;\-* #,##0.00[$€-1]_-;_-* &quot;-&quot;??[$€-1]_-"/>
    <numFmt numFmtId="246" formatCode="#,##0.0"/>
    <numFmt numFmtId="247" formatCode="#,##0.000"/>
    <numFmt numFmtId="248" formatCode="#,##0.0000"/>
    <numFmt numFmtId="249" formatCode="000000"/>
    <numFmt numFmtId="250" formatCode="dd\.mm\.yyyy"/>
  </numFmts>
  <fonts count="136">
    <font>
      <sz val="9"/>
      <color rgb="FF000000"/>
      <name val="Tahoma"/>
    </font>
    <font>
      <sz val="11"/>
      <color theme="1"/>
      <name val="Calibri"/>
      <scheme val="minor"/>
    </font>
    <font>
      <sz val="11"/>
      <color theme="0"/>
      <name val="Calibri"/>
      <scheme val="minor"/>
    </font>
    <font>
      <sz val="11"/>
      <color rgb="FF9C0006"/>
      <name val="Calibri"/>
      <scheme val="minor"/>
    </font>
    <font>
      <b/>
      <sz val="11"/>
      <color rgb="FFFA7D00"/>
      <name val="Calibri"/>
      <scheme val="minor"/>
    </font>
    <font>
      <b/>
      <sz val="11"/>
      <color theme="0"/>
      <name val="Calibri"/>
      <scheme val="minor"/>
    </font>
    <font>
      <sz val="11"/>
      <color indexed="0"/>
      <name val="Calibri"/>
      <family val="2"/>
    </font>
    <font>
      <i/>
      <sz val="11"/>
      <color rgb="FF7F7F7F"/>
      <name val="Calibri"/>
      <scheme val="minor"/>
    </font>
    <font>
      <sz val="11"/>
      <color rgb="FF006100"/>
      <name val="Calibri"/>
      <scheme val="minor"/>
    </font>
    <font>
      <b/>
      <sz val="15"/>
      <color theme="3"/>
      <name val="Calibri"/>
      <scheme val="minor"/>
    </font>
    <font>
      <b/>
      <sz val="13"/>
      <color theme="3"/>
      <name val="Calibri"/>
      <scheme val="minor"/>
    </font>
    <font>
      <b/>
      <sz val="11"/>
      <color theme="3"/>
      <name val="Calibri"/>
      <scheme val="minor"/>
    </font>
    <font>
      <sz val="11"/>
      <color rgb="FF000080"/>
      <name val="Calibri"/>
    </font>
    <font>
      <sz val="11"/>
      <color rgb="FFFA7D00"/>
      <name val="Calibri"/>
      <scheme val="minor"/>
    </font>
    <font>
      <sz val="11"/>
      <color rgb="FF9C6500"/>
      <name val="Calibri"/>
      <scheme val="minor"/>
    </font>
    <font>
      <sz val="12"/>
      <color auto="1"/>
      <name val="Arial"/>
    </font>
    <font>
      <b/>
      <sz val="11"/>
      <color rgb="FF3F3F3F"/>
      <name val="Calibri"/>
      <scheme val="minor"/>
    </font>
    <font>
      <b/>
      <sz val="18"/>
      <color theme="3"/>
      <name val="Cambria"/>
      <scheme val="major"/>
    </font>
    <font>
      <b/>
      <sz val="11"/>
      <color theme="1"/>
      <name val="Calibri"/>
      <scheme val="minor"/>
    </font>
    <font>
      <sz val="11"/>
      <color rgb="FFFF0000"/>
      <name val="Calibri"/>
      <scheme val="minor"/>
    </font>
    <font>
      <sz val="10"/>
      <color auto="1"/>
      <name val="Helv"/>
    </font>
    <font>
      <sz val="8"/>
      <color auto="1"/>
      <name val="Arial"/>
    </font>
    <font>
      <sz val="10"/>
      <color auto="1"/>
      <name val="Tahoma"/>
    </font>
    <font>
      <sz val="9"/>
      <color auto="1"/>
      <name val="Tahoma"/>
    </font>
    <font>
      <sz val="8"/>
      <color auto="1"/>
      <name val="Palatino"/>
    </font>
    <font>
      <u/>
      <sz val="10"/>
      <color rgb="FF800080"/>
      <name val="Arial Cyr"/>
    </font>
    <font>
      <u/>
      <sz val="10"/>
      <color rgb="FF0000FF"/>
      <name val="Arial Cyr"/>
    </font>
    <font>
      <sz val="8"/>
      <color auto="1"/>
      <name val="Helv"/>
    </font>
    <font>
      <sz val="11"/>
      <color auto="1"/>
      <name val="Tahoma"/>
    </font>
    <font>
      <u/>
      <sz val="9"/>
      <color rgb="FF333399"/>
      <name val="Tahoma"/>
    </font>
    <font>
      <b/>
      <u/>
      <sz val="11"/>
      <color rgb="FF0000FF"/>
      <name val="Arial"/>
    </font>
    <font>
      <u/>
      <sz val="9"/>
      <color rgb="FF0000FF"/>
      <name val="Tahoma"/>
    </font>
    <font>
      <u/>
      <sz val="9"/>
      <color rgb="FF000080"/>
      <name val="Tahoma"/>
    </font>
    <font>
      <b/>
      <u/>
      <sz val="9"/>
      <color rgb="FF0000FF"/>
      <name val="Tahoma"/>
    </font>
    <font>
      <b/>
      <sz val="14"/>
      <color auto="1"/>
      <name val="Franklin Gothic Medium"/>
    </font>
    <font>
      <b/>
      <sz val="9"/>
      <color auto="1"/>
      <name val="Tahoma"/>
    </font>
    <font>
      <sz val="11"/>
      <color rgb="FF000000"/>
      <name val="Calibri"/>
    </font>
    <font>
      <sz val="10"/>
      <color auto="1"/>
      <name val="Arial Cyr"/>
    </font>
    <font>
      <sz val="11"/>
      <color rgb="FF333333"/>
      <name val="Calibri"/>
    </font>
    <font>
      <sz val="8"/>
      <color auto="1"/>
      <name val="Verdana"/>
    </font>
    <font>
      <u/>
      <sz val="9"/>
      <color theme="11"/>
      <name val="Tahoma"/>
    </font>
    <font>
      <sz val="9"/>
      <color rgb="FFFFFFFF"/>
      <name val="Tahoma"/>
    </font>
    <font>
      <sz val="9"/>
      <color rgb="FFCC0000"/>
      <name val="Tahoma"/>
    </font>
    <font>
      <sz val="16"/>
      <color auto="1"/>
      <name val="Tahoma"/>
    </font>
    <font>
      <sz val="16"/>
      <color rgb="FFFFFFFF"/>
      <name val="Tahoma"/>
    </font>
    <font>
      <sz val="9"/>
      <color rgb="FFBCBCBC"/>
      <name val="Tahoma"/>
    </font>
    <font>
      <sz val="11"/>
      <color rgb="FFBCBCBC"/>
      <name val="Wingdings 2"/>
    </font>
    <font>
      <b/>
      <u/>
      <sz val="9"/>
      <color auto="1"/>
      <name val="Tahoma"/>
    </font>
    <font>
      <sz val="11"/>
      <color auto="1"/>
      <name val="Webdings2"/>
    </font>
    <font>
      <sz val="9"/>
      <color rgb="FF000080"/>
      <name val="Tahoma"/>
    </font>
    <font>
      <b/>
      <sz val="11"/>
      <color rgb="FF000000"/>
      <name val="Calibri"/>
    </font>
    <font>
      <sz val="11"/>
      <color auto="1"/>
      <name val="Wingdings 2"/>
    </font>
    <font>
      <b/>
      <sz val="9"/>
      <color rgb="FFFFFFFF"/>
      <name val="Tahoma"/>
    </font>
    <font>
      <b/>
      <u/>
      <sz val="9"/>
      <color rgb="FF000080"/>
      <name val="Tahoma"/>
    </font>
    <font>
      <sz val="8"/>
      <color auto="1"/>
      <name val="Tahoma"/>
    </font>
    <font>
      <sz val="9"/>
      <color theme="0"/>
      <name val="Tahoma"/>
    </font>
    <font>
      <sz val="1"/>
      <color theme="0"/>
      <name val="Tahoma"/>
    </font>
    <font>
      <b/>
      <sz val="1"/>
      <color theme="0"/>
      <name val="Calibri"/>
    </font>
    <font>
      <sz val="8"/>
      <color rgb="FFBCBCBC"/>
      <name val="Tahoma"/>
    </font>
    <font>
      <sz val="12"/>
      <color rgb="FF000000"/>
      <name val="Tahoma"/>
    </font>
    <font>
      <sz val="9"/>
      <color rgb="FFFF0000"/>
      <name val="Tahoma"/>
    </font>
    <font>
      <sz val="5"/>
      <color rgb="FFFF0000"/>
      <name val="Tahoma"/>
    </font>
    <font>
      <sz val="11"/>
      <color theme="0"/>
      <name val="Wingdings 2"/>
    </font>
    <font>
      <sz val="5"/>
      <color theme="0"/>
      <name val="Tahoma"/>
    </font>
    <font>
      <sz val="3"/>
      <color rgb="FFFFFFFF"/>
      <name val="Tahoma"/>
    </font>
    <font>
      <sz val="3"/>
      <color rgb="FFCC0000"/>
      <name val="Tahoma"/>
    </font>
    <font>
      <sz val="3"/>
      <color auto="1"/>
      <name val="Tahoma"/>
    </font>
    <font>
      <sz val="3"/>
      <color rgb="FF000000"/>
      <name val="Tahoma"/>
    </font>
    <font>
      <sz val="3"/>
      <color rgb="FF993300"/>
      <name val="Tahoma"/>
    </font>
    <font>
      <sz val="1"/>
      <color rgb="FFFFFFFF"/>
      <name val="Tahoma"/>
    </font>
    <font>
      <sz val="18"/>
      <color auto="1"/>
      <name val="Tahoma"/>
    </font>
    <font>
      <sz val="18"/>
      <color rgb="FF000000"/>
      <name val="Tahoma"/>
    </font>
    <font>
      <sz val="11"/>
      <color rgb="FF000000"/>
      <name val="Tahoma"/>
    </font>
    <font>
      <sz val="1"/>
      <color rgb="FF000000"/>
      <name val="Tahoma"/>
    </font>
    <font>
      <sz val="15"/>
      <color rgb="FF000000"/>
      <name val="Tahoma"/>
    </font>
    <font>
      <sz val="11"/>
      <color theme="0"/>
      <name val="Webdings2"/>
    </font>
    <font>
      <b/>
      <sz val="9"/>
      <color rgb="FF000080"/>
      <name val="Tahoma"/>
    </font>
    <font>
      <u/>
      <sz val="1"/>
      <color rgb="FF333399"/>
      <name val="Tahoma"/>
    </font>
    <font>
      <sz val="15"/>
      <color auto="1"/>
      <name val="Tahoma"/>
    </font>
    <font>
      <sz val="1"/>
      <color auto="1"/>
      <name val="Tahoma"/>
    </font>
    <font>
      <sz val="12"/>
      <color theme="0"/>
      <name val="Tahoma"/>
    </font>
    <font>
      <sz val="9"/>
      <color theme="1"/>
      <name val="Tahoma"/>
    </font>
    <font>
      <sz val="9"/>
      <color rgb="FF0066CC"/>
      <name val="Tahoma"/>
    </font>
    <font>
      <b/>
      <sz val="10"/>
      <color theme="1"/>
      <name val="Tahoma"/>
    </font>
    <font>
      <sz val="10"/>
      <color theme="1"/>
      <name val="Tahoma"/>
    </font>
    <font>
      <sz val="3"/>
      <color rgb="FFBCBCBC"/>
      <name val="Tahoma"/>
    </font>
    <font>
      <sz val="1"/>
      <color rgb="FFBCBCBC"/>
      <name val="Tahoma"/>
    </font>
    <font>
      <sz val="12"/>
      <color auto="1"/>
      <name val="Marlett"/>
    </font>
    <font>
      <sz val="9"/>
      <color rgb="FFBCBCBC"/>
      <name val="Wingdings 2"/>
    </font>
    <font>
      <sz val="12"/>
      <color auto="1"/>
      <name val="Tahoma"/>
    </font>
    <font>
      <sz val="15"/>
      <color theme="0"/>
      <name val="Tahoma"/>
    </font>
    <font>
      <sz val="1"/>
      <color rgb="FFFF0000"/>
      <name val="Tahoma"/>
    </font>
    <font>
      <b/>
      <sz val="11"/>
      <color theme="0"/>
      <name val="Calibri"/>
    </font>
    <font>
      <sz val="11"/>
      <color theme="0"/>
      <name val="Tahoma"/>
    </font>
    <font>
      <sz val="3"/>
      <color theme="0"/>
      <name val="Tahoma"/>
    </font>
    <font>
      <b/>
      <sz val="3"/>
      <color auto="1"/>
      <name val="Tahoma"/>
    </font>
    <font>
      <b/>
      <sz val="9"/>
      <color rgb="FF0070C0"/>
      <name val="Tahoma"/>
    </font>
    <font>
      <sz val="7"/>
      <color auto="1"/>
      <name val="Tahoma"/>
    </font>
    <font>
      <sz val="7"/>
      <color rgb="FFFFFFFF"/>
      <name val="Tahoma"/>
    </font>
    <font>
      <sz val="7"/>
      <color theme="0" tint="-0.5"/>
      <name val="Tahoma"/>
    </font>
    <font>
      <sz val="8"/>
      <color theme="0"/>
      <name val="Tahoma"/>
    </font>
    <font>
      <sz val="7"/>
      <color rgb="FF000000"/>
      <name val="Tahoma"/>
    </font>
    <font>
      <b/>
      <sz val="9"/>
      <color theme="0"/>
      <name val="Tahoma"/>
    </font>
    <font>
      <b/>
      <sz val="1"/>
      <color theme="0"/>
      <name val="Tahoma"/>
    </font>
    <font>
      <sz val="19"/>
      <color theme="0"/>
      <name val="Tahoma"/>
    </font>
    <font>
      <sz val="8"/>
      <color rgb="FFFFFFFF"/>
      <name val="Tahoma"/>
    </font>
    <font>
      <b/>
      <sz val="1"/>
      <color auto="1"/>
      <name val="Tahoma"/>
    </font>
    <font>
      <b/>
      <sz val="1"/>
      <color rgb="FF000080"/>
      <name val="Tahoma"/>
    </font>
    <font>
      <b/>
      <sz val="10"/>
      <color auto="1"/>
      <name val="Tahoma"/>
    </font>
    <font>
      <b/>
      <sz val="9"/>
      <color rgb="FF000000"/>
      <name val="Tahoma"/>
    </font>
    <font>
      <sz val="10"/>
      <color rgb="FF000000"/>
      <name val="Arial"/>
    </font>
    <font>
      <sz val="8"/>
      <color rgb="FF000080"/>
      <name val="Tahoma"/>
    </font>
    <font>
      <b/>
      <sz val="8"/>
      <color rgb="FFC0C0C0"/>
      <name val="Wingdings 2"/>
    </font>
    <font>
      <sz val="1"/>
      <color auto="1"/>
      <name val="Webdings2"/>
    </font>
    <font>
      <sz val="1"/>
      <color theme="0"/>
      <name val="Webdings2"/>
    </font>
    <font>
      <b/>
      <sz val="9"/>
      <color auto="1"/>
      <name val="Calibri"/>
    </font>
    <font>
      <sz val="1"/>
      <color rgb="FF000080"/>
      <name val="Tahoma"/>
    </font>
    <font>
      <sz val="9"/>
      <color theme="0"/>
      <name val="Webdings2"/>
    </font>
    <font>
      <sz val="1"/>
      <color theme="0"/>
      <name val="Wingdings 2"/>
    </font>
    <font>
      <sz val="18"/>
      <color theme="0"/>
      <name val="Tahoma"/>
    </font>
    <font>
      <sz val="9"/>
      <color auto="1"/>
      <name val="Wingdings 2"/>
    </font>
    <font>
      <sz val="9"/>
      <color rgb="FFFFFFFF"/>
      <name val="Wingdings 2"/>
    </font>
    <font>
      <b/>
      <u/>
      <sz val="11"/>
      <color rgb="FF0000FF"/>
      <name val="Tahoma"/>
    </font>
    <font>
      <sz val="11"/>
      <color rgb="FFFFFFFF"/>
      <name val="Tahoma"/>
    </font>
    <font>
      <u/>
      <sz val="20"/>
      <color rgb="FF003366"/>
      <name val="Tahoma"/>
    </font>
    <font>
      <b/>
      <sz val="10"/>
      <color rgb="FF000000"/>
      <name val="Tahoma"/>
    </font>
    <font>
      <sz val="11"/>
      <color rgb="FF000000"/>
      <name val="Marlett"/>
    </font>
    <font>
      <sz val="10"/>
      <color rgb="FF000000"/>
      <name val="Tahoma"/>
    </font>
    <font>
      <sz val="14"/>
      <color rgb="FFBCBCBC"/>
      <name val="Calibri"/>
    </font>
    <font>
      <u/>
      <sz val="9"/>
      <color auto="1"/>
      <name val="Tahoma"/>
    </font>
    <font>
      <u/>
      <sz val="9"/>
      <color theme="0"/>
      <name val="Tahoma"/>
    </font>
    <font>
      <u/>
      <sz val="1"/>
      <color theme="0"/>
      <name val="Tahoma"/>
    </font>
    <font>
      <u/>
      <sz val="9"/>
      <color rgb="FF000000"/>
      <name val="Tahoma"/>
    </font>
    <font>
      <u/>
      <sz val="8"/>
      <color auto="1"/>
      <name val="Tahoma"/>
    </font>
    <font>
      <u/>
      <sz val="1"/>
      <color rgb="FF000000"/>
      <name val="Tahoma"/>
    </font>
    <font>
      <u/>
      <sz val="9"/>
      <color theme="10"/>
      <name val="Tahoma"/>
    </font>
  </fonts>
  <fills count="56">
    <fill>
      <patternFill patternType="none"/>
    </fill>
    <fill>
      <patternFill patternType="gray125"/>
    </fill>
    <fill>
      <patternFill patternType="solid">
        <fgColor theme="4" tint="0.8"/>
      </patternFill>
    </fill>
    <fill>
      <patternFill patternType="solid">
        <fgColor theme="5" tint="0.8"/>
      </patternFill>
    </fill>
    <fill>
      <patternFill patternType="solid">
        <fgColor theme="6" tint="0.8"/>
      </patternFill>
    </fill>
    <fill>
      <patternFill patternType="solid">
        <fgColor theme="7" tint="0.8"/>
      </patternFill>
    </fill>
    <fill>
      <patternFill patternType="solid">
        <fgColor theme="8" tint="0.8"/>
      </patternFill>
    </fill>
    <fill>
      <patternFill patternType="solid">
        <fgColor theme="9" tint="0.8"/>
      </patternFill>
    </fill>
    <fill>
      <patternFill patternType="solid">
        <fgColor theme="4" tint="0.6"/>
      </patternFill>
    </fill>
    <fill>
      <patternFill patternType="solid">
        <fgColor theme="5" tint="0.6"/>
      </patternFill>
    </fill>
    <fill>
      <patternFill patternType="solid">
        <fgColor theme="6" tint="0.6"/>
      </patternFill>
    </fill>
    <fill>
      <patternFill patternType="solid">
        <fgColor theme="7" tint="0.6"/>
      </patternFill>
    </fill>
    <fill>
      <patternFill patternType="solid">
        <fgColor theme="8" tint="0.6"/>
      </patternFill>
    </fill>
    <fill>
      <patternFill patternType="solid">
        <fgColor theme="9" tint="0.6"/>
      </patternFill>
    </fill>
    <fill>
      <patternFill patternType="solid">
        <fgColor theme="4" tint="0.4"/>
      </patternFill>
    </fill>
    <fill>
      <patternFill patternType="solid">
        <fgColor theme="5" tint="0.4"/>
      </patternFill>
    </fill>
    <fill>
      <patternFill patternType="solid">
        <fgColor theme="6" tint="0.4"/>
      </patternFill>
    </fill>
    <fill>
      <patternFill patternType="solid">
        <fgColor theme="7" tint="0.4"/>
      </patternFill>
    </fill>
    <fill>
      <patternFill patternType="solid">
        <fgColor theme="8" tint="0.4"/>
      </patternFill>
    </fill>
    <fill>
      <patternFill patternType="solid">
        <fgColor theme="9" tint="0.4"/>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rgb="FFFFFFC0"/>
      </patternFill>
    </fill>
    <fill>
      <patternFill patternType="solid">
        <fgColor rgb="FFC0C0C0"/>
      </patternFill>
    </fill>
    <fill>
      <patternFill patternType="solid">
        <fgColor rgb="FFBCBCBC"/>
      </patternFill>
    </fill>
    <fill>
      <patternFill patternType="solid">
        <fgColor rgb="FFFFFFFF"/>
      </patternFill>
    </fill>
    <fill>
      <patternFill patternType="solid">
        <fgColor rgb="FF000000"/>
      </patternFill>
    </fill>
    <fill>
      <patternFill patternType="solid">
        <fgColor rgb="FFD7EAD3"/>
      </patternFill>
    </fill>
    <fill>
      <patternFill patternType="solid">
        <fgColor rgb="FFFFB7B7"/>
      </patternFill>
    </fill>
    <fill>
      <patternFill patternType="lightDown">
        <fgColor rgb="FFC0C0C0"/>
      </patternFill>
    </fill>
    <fill>
      <patternFill patternType="solid">
        <fgColor rgb="FFE3FAFD"/>
      </patternFill>
    </fill>
    <fill>
      <patternFill patternType="solid">
        <fgColor rgb="FFB7E4FF"/>
      </patternFill>
    </fill>
    <fill>
      <patternFill patternType="solid">
        <fgColor theme="0"/>
      </patternFill>
    </fill>
    <fill>
      <patternFill patternType="solid">
        <fgColor rgb="FF8DB4E2"/>
      </patternFill>
    </fill>
    <fill>
      <patternFill patternType="solid">
        <fgColor theme="2" tint="-0.1"/>
      </patternFill>
    </fill>
    <fill>
      <patternFill patternType="solid">
        <fgColor theme="9" tint="-0.25"/>
      </patternFill>
    </fill>
    <fill>
      <patternFill patternType="solid">
        <fgColor theme="0" tint="-0.15"/>
      </patternFill>
    </fill>
    <fill>
      <patternFill patternType="solid">
        <fgColor rgb="FF0066CC"/>
      </patternFill>
    </fill>
    <fill>
      <patternFill patternType="solid">
        <fgColor rgb="FFFFFF00"/>
      </patternFill>
    </fill>
    <fill>
      <patternFill patternType="solid">
        <fgColor rgb="FFFF9900"/>
      </patternFill>
    </fill>
    <fill>
      <patternFill patternType="solid">
        <fgColor rgb="FF808000"/>
      </patternFill>
    </fill>
    <fill>
      <patternFill patternType="solid">
        <fgColor rgb="FFCC99FF"/>
      </patternFill>
    </fill>
    <fill>
      <patternFill patternType="lightDown">
        <fgColor rgb="FFB7E4FF"/>
        <bgColor rgb="FFFFFFFF"/>
      </patternFill>
    </fill>
    <fill>
      <patternFill patternType="solid">
        <fgColor rgb="FFD3DBDB"/>
      </patternFill>
    </fill>
    <fill>
      <patternFill patternType="solid">
        <fgColor rgb="FFEAEBEE"/>
      </patternFill>
    </fill>
  </fills>
  <borders count="78">
    <border>
      <left/>
      <right/>
      <top/>
      <bottom/>
    </border>
    <border>
      <left style="thin">
        <color rgb="FF7F7F7F"/>
      </left>
      <right style="thin">
        <color rgb="FF7F7F7F"/>
      </right>
      <top style="thin">
        <color rgb="FF7F7F7F"/>
      </top>
      <bottom style="thin">
        <color rgb="FF7F7F7F"/>
      </bottom>
    </border>
    <border>
      <left style="double">
        <color rgb="FF3F3F3F"/>
      </left>
      <right style="double">
        <color rgb="FF3F3F3F"/>
      </right>
      <top style="double">
        <color rgb="FF3F3F3F"/>
      </top>
      <bottom style="double">
        <color rgb="FF3F3F3F"/>
      </bottom>
    </border>
    <border>
      <left/>
      <right/>
      <top/>
      <bottom style="thick">
        <color theme="4"/>
      </bottom>
    </border>
    <border>
      <left/>
      <right/>
      <top/>
      <bottom style="thick">
        <color theme="4" tint="0.5"/>
      </bottom>
    </border>
    <border>
      <left/>
      <right/>
      <top/>
      <bottom style="medium">
        <color theme="4" tint="0.4"/>
      </bottom>
    </border>
    <border>
      <left style="thin">
        <color rgb="FFBCBCBC"/>
      </left>
      <right style="thin">
        <color rgb="FFBCBCBC"/>
      </right>
      <top style="thin">
        <color rgb="FFBCBCBC"/>
      </top>
      <bottom style="thin">
        <color rgb="FFBCBCBC"/>
      </bottom>
    </border>
    <border>
      <left/>
      <right/>
      <top/>
      <bottom style="double">
        <color rgb="FFFF8001"/>
      </bottom>
    </border>
    <border>
      <left style="thin">
        <color rgb="FFB2B2B2"/>
      </left>
      <right style="thin">
        <color rgb="FFB2B2B2"/>
      </right>
      <top style="thin">
        <color rgb="FFB2B2B2"/>
      </top>
      <bottom style="thin">
        <color rgb="FFB2B2B2"/>
      </bottom>
    </border>
    <border>
      <left style="thin">
        <color rgb="FF3F3F3F"/>
      </left>
      <right style="thin">
        <color rgb="FF3F3F3F"/>
      </right>
      <top style="thin">
        <color rgb="FF3F3F3F"/>
      </top>
      <bottom style="thin">
        <color rgb="FF3F3F3F"/>
      </bottom>
    </border>
    <border>
      <left/>
      <right/>
      <top style="thin">
        <color theme="4"/>
      </top>
      <bottom style="double">
        <color theme="4"/>
      </bottom>
    </border>
    <border>
      <left style="thick">
        <color rgb="FFBCBCBC"/>
      </left>
      <right style="thick">
        <color rgb="FFBCBCBC"/>
      </right>
      <top style="thick">
        <color rgb="FFBCBCBC"/>
      </top>
      <bottom style="thick">
        <color rgb="FFBCBCBC"/>
      </bottom>
    </border>
    <border>
      <left style="thin">
        <color rgb="FF000000"/>
      </left>
      <right style="thin">
        <color rgb="FF000000"/>
      </right>
      <top style="thin">
        <color rgb="FF000000"/>
      </top>
      <bottom style="thin">
        <color rgb="FF000000"/>
      </bottom>
    </border>
    <border>
      <left style="thin">
        <color rgb="FFC0C0C0"/>
      </left>
      <right style="thin">
        <color rgb="FFC0C0C0"/>
      </right>
      <top style="thin">
        <color rgb="FFC0C0C0"/>
      </top>
      <bottom style="thin">
        <color rgb="FFC0C0C0"/>
      </bottom>
    </border>
    <border>
      <left/>
      <right style="thin">
        <color rgb="FFC0C0C0"/>
      </right>
      <top style="thin">
        <color rgb="FFC0C0C0"/>
      </top>
      <bottom style="thin">
        <color rgb="FFC0C0C0"/>
      </bottom>
    </border>
    <border>
      <left style="thin">
        <color rgb="FFC0C0C0"/>
      </left>
      <right/>
      <top style="thin">
        <color rgb="FFC0C0C0"/>
      </top>
      <bottom style="thin">
        <color rgb="FFC0C0C0"/>
      </bottom>
    </border>
    <border>
      <left/>
      <right/>
      <top style="thin">
        <color rgb="FFC0C0C0"/>
      </top>
      <bottom style="thin">
        <color rgb="FFC0C0C0"/>
      </bottom>
    </border>
    <border>
      <left style="thin">
        <color rgb="FFD3DBDB"/>
      </left>
      <right style="thin">
        <color rgb="FFD3DBDB"/>
      </right>
      <top style="thin">
        <color rgb="FFD3DBDB"/>
      </top>
      <bottom style="thin">
        <color rgb="FFD3DBDB"/>
      </bottom>
    </border>
    <border>
      <left style="thin">
        <color rgb="FFC0C0C0"/>
      </left>
      <right style="thin">
        <color rgb="FFC0C0C0"/>
      </right>
      <top style="thin">
        <color rgb="FFC0C0C0"/>
      </top>
      <bottom/>
    </border>
    <border>
      <left/>
      <right/>
      <top style="dotted">
        <color rgb="FF000000"/>
      </top>
      <bottom style="dotted">
        <color rgb="FF000000"/>
      </bottom>
    </border>
    <border>
      <left/>
      <right/>
      <top style="thin">
        <color rgb="FFC0C0C0"/>
      </top>
      <bottom/>
    </border>
    <border>
      <left/>
      <right style="thin">
        <color rgb="FFC0C0C0"/>
      </right>
      <top style="thin">
        <color rgb="FFC0C0C0"/>
      </top>
      <bottom/>
    </border>
    <border>
      <left/>
      <right/>
      <top style="thin">
        <color rgb="FFD3DBDB"/>
      </top>
      <bottom/>
    </border>
    <border>
      <left style="thin">
        <color rgb="FFC0C0C0"/>
      </left>
      <right/>
      <top/>
      <bottom/>
    </border>
    <border>
      <left style="thin">
        <color rgb="FFC0C0C0"/>
      </left>
      <right style="thin">
        <color rgb="FFC0C0C0"/>
      </right>
      <top/>
      <bottom style="thin">
        <color rgb="FFC0C0C0"/>
      </bottom>
    </border>
    <border>
      <left/>
      <right style="thin">
        <color rgb="FFC0C0C0"/>
      </right>
      <top/>
      <bottom/>
    </border>
    <border>
      <left style="thin">
        <color rgb="FFC0C0C0"/>
      </left>
      <right style="thin">
        <color rgb="FFC0C0C0"/>
      </right>
      <top style="thin">
        <color rgb="FFC0C0C0"/>
      </top>
      <bottom style="thin">
        <color rgb="FFBCBCBC"/>
      </bottom>
    </border>
    <border>
      <left style="hair">
        <color rgb="FFC0C0C0"/>
      </left>
      <right/>
      <top style="hair">
        <color rgb="FFC0C0C0"/>
      </top>
      <bottom style="hair">
        <color rgb="FFC0C0C0"/>
      </bottom>
    </border>
    <border>
      <left style="thin">
        <color rgb="FFC0C0C0"/>
      </left>
      <right/>
      <top/>
      <bottom style="thin">
        <color rgb="FFC0C0C0"/>
      </bottom>
    </border>
    <border>
      <left/>
      <right/>
      <top/>
      <bottom style="thin">
        <color rgb="FFC0C0C0"/>
      </bottom>
    </border>
    <border>
      <left style="thin">
        <color theme="0" tint="-0.25"/>
      </left>
      <right style="thin">
        <color rgb="FFC0C0C0"/>
      </right>
      <top style="thin">
        <color rgb="FFC0C0C0"/>
      </top>
      <bottom style="thin">
        <color rgb="FFC0C0C0"/>
      </bottom>
    </border>
    <border>
      <left/>
      <right style="thin">
        <color rgb="FFC0C0C0"/>
      </right>
      <top/>
      <bottom style="thin">
        <color rgb="FFC0C0C0"/>
      </bottom>
    </border>
    <border>
      <left style="thin">
        <color theme="0" tint="-0.25"/>
      </left>
      <right style="thin">
        <color theme="0" tint="-0.25"/>
      </right>
      <top style="thin">
        <color theme="0" tint="-0.25"/>
      </top>
      <bottom style="thin">
        <color theme="0" tint="-0.25"/>
      </bottom>
    </border>
    <border>
      <left style="thin">
        <color theme="0" tint="-0.25"/>
      </left>
      <right style="thin">
        <color theme="0" tint="-0.25"/>
      </right>
      <top/>
      <bottom style="thin">
        <color theme="0" tint="-0.25"/>
      </bottom>
    </border>
    <border>
      <left style="thin">
        <color theme="0" tint="-0.25"/>
      </left>
      <right/>
      <top style="thin">
        <color theme="0" tint="-0.25"/>
      </top>
      <bottom style="thin">
        <color theme="0" tint="-0.25"/>
      </bottom>
    </border>
    <border>
      <left style="thin">
        <color theme="0" tint="-0.25"/>
      </left>
      <right/>
      <top/>
      <bottom style="thin">
        <color theme="0" tint="-0.25"/>
      </bottom>
    </border>
    <border>
      <left style="thin">
        <color theme="0" tint="-0.25"/>
      </left>
      <right style="thin">
        <color theme="0" tint="-0.25"/>
      </right>
      <top style="thin">
        <color theme="0" tint="-0.25"/>
      </top>
      <bottom/>
    </border>
    <border>
      <left style="thin">
        <color rgb="FFC0C0C0"/>
      </left>
      <right style="thin">
        <color rgb="FFC0C0C0"/>
      </right>
      <top/>
      <bottom/>
    </border>
    <border>
      <left style="thin">
        <color rgb="FFC0C0C0"/>
      </left>
      <right/>
      <top style="thin">
        <color rgb="FFC0C0C0"/>
      </top>
      <bottom/>
    </border>
    <border>
      <left style="thin">
        <color rgb="FFBCBCBC"/>
      </left>
      <right/>
      <top/>
      <bottom/>
    </border>
    <border>
      <left/>
      <right/>
      <top/>
      <bottom style="thin">
        <color rgb="FFBCBCBC"/>
      </bottom>
    </border>
    <border>
      <left style="thin">
        <color theme="0" tint="-0.25"/>
      </left>
      <right style="thin">
        <color theme="0" tint="-0.25"/>
      </right>
      <top/>
      <bottom/>
    </border>
    <border>
      <left/>
      <right/>
      <top style="thin">
        <color rgb="FFBCBCBC"/>
      </top>
      <bottom style="thin">
        <color rgb="FFBCBCBC"/>
      </bottom>
    </border>
    <border>
      <left style="thin">
        <color rgb="FFC0C0C0"/>
      </left>
      <right/>
      <top style="thin">
        <color rgb="FFBCBCBC"/>
      </top>
      <bottom style="thin">
        <color rgb="FFC0C0C0"/>
      </bottom>
    </border>
    <border>
      <left/>
      <right/>
      <top style="thin">
        <color rgb="FFBCBCBC"/>
      </top>
      <bottom style="thin">
        <color rgb="FFC0C0C0"/>
      </bottom>
    </border>
    <border>
      <left/>
      <right/>
      <top style="thin">
        <color rgb="FFD3DBDB"/>
      </top>
      <bottom style="thin">
        <color rgb="FFD3DBDB"/>
      </bottom>
    </border>
    <border>
      <left style="thin">
        <color rgb="FFD3DBDB"/>
      </left>
      <right/>
      <top style="thin">
        <color rgb="FFD3DBDB"/>
      </top>
      <bottom style="thin">
        <color rgb="FFD3DBDB"/>
      </bottom>
    </border>
    <border>
      <left style="thin">
        <color theme="0" tint="-0.35"/>
      </left>
      <right style="thin">
        <color theme="0" tint="-0.35"/>
      </right>
      <top style="thin">
        <color theme="0" tint="-0.35"/>
      </top>
      <bottom style="thin">
        <color theme="0" tint="-0.35"/>
      </bottom>
    </border>
    <border>
      <left style="thin">
        <color rgb="FFBCBCBC"/>
      </left>
      <right/>
      <top style="medium">
        <color rgb="FFBCBCBC"/>
      </top>
      <bottom style="thin">
        <color rgb="FFC0C0C0"/>
      </bottom>
    </border>
    <border>
      <left style="thin">
        <color rgb="FFBCBCBC"/>
      </left>
      <right/>
      <top style="medium">
        <color rgb="FFBCBCBC"/>
      </top>
      <bottom/>
    </border>
    <border>
      <left/>
      <right/>
      <top style="medium">
        <color rgb="FFBCBCBC"/>
      </top>
      <bottom/>
    </border>
    <border>
      <left/>
      <right/>
      <top/>
      <bottom style="medium">
        <color rgb="FFC0C0C0"/>
      </bottom>
    </border>
    <border>
      <left/>
      <right/>
      <top style="thin">
        <color rgb="FFC0C0C0"/>
      </top>
      <bottom style="medium">
        <color rgb="FFC0C0C0"/>
      </bottom>
    </border>
    <border>
      <left/>
      <right style="thin">
        <color theme="0" tint="-0.25"/>
      </right>
      <top style="thin">
        <color rgb="FFC0C0C0"/>
      </top>
      <bottom style="thin">
        <color rgb="FFC0C0C0"/>
      </bottom>
    </border>
    <border>
      <left/>
      <right style="thin">
        <color theme="0" tint="-0.25"/>
      </right>
      <top style="thin">
        <color rgb="FFC0C0C0"/>
      </top>
      <bottom style="medium">
        <color rgb="FFC0C0C0"/>
      </bottom>
    </border>
    <border>
      <left/>
      <right/>
      <top style="medium">
        <color rgb="FFBCBCBC"/>
      </top>
      <bottom style="thin">
        <color rgb="FFBCBCBC"/>
      </bottom>
    </border>
    <border>
      <left/>
      <right style="thin">
        <color rgb="FFBCBCBC"/>
      </right>
      <top style="medium">
        <color rgb="FFBCBCBC"/>
      </top>
      <bottom style="thin">
        <color rgb="FFBCBCBC"/>
      </bottom>
    </border>
    <border>
      <left/>
      <right/>
      <top style="medium">
        <color rgb="FFC0C0C0"/>
      </top>
      <bottom style="thin">
        <color rgb="FFC0C0C0"/>
      </bottom>
    </border>
    <border>
      <left style="thin">
        <color rgb="FFC0C0C0"/>
      </left>
      <right/>
      <top style="thin">
        <color rgb="FFC0C0C0"/>
      </top>
      <bottom style="medium">
        <color rgb="FFC0C0C0"/>
      </bottom>
    </border>
    <border>
      <left style="thin">
        <color rgb="FFC0C0C0"/>
      </left>
      <right style="thin">
        <color rgb="FFC0C0C0"/>
      </right>
      <top style="thin">
        <color rgb="FFC0C0C0"/>
      </top>
      <bottom style="medium">
        <color rgb="FFC0C0C0"/>
      </bottom>
    </border>
    <border>
      <left style="thin">
        <color theme="0" tint="-0.25"/>
      </left>
      <right style="thin">
        <color rgb="FFC0C0C0"/>
      </right>
      <top style="thin">
        <color rgb="FFC0C0C0"/>
      </top>
      <bottom/>
    </border>
    <border>
      <left style="thin">
        <color theme="0" tint="-0.25"/>
      </left>
      <right/>
      <top style="thin">
        <color rgb="FFC0C0C0"/>
      </top>
      <bottom style="thin">
        <color rgb="FFC0C0C0"/>
      </bottom>
    </border>
    <border>
      <left style="thin">
        <color theme="0" tint="-0.25"/>
      </left>
      <right/>
      <top style="thin">
        <color rgb="FFC0C0C0"/>
      </top>
      <bottom/>
    </border>
    <border>
      <left style="thin">
        <color rgb="FFBCBCBC"/>
      </left>
      <right/>
      <top style="thin">
        <color rgb="FFBCBCBC"/>
      </top>
      <bottom/>
    </border>
    <border>
      <left/>
      <right/>
      <top style="thin">
        <color rgb="FFBCBCBC"/>
      </top>
      <bottom/>
    </border>
    <border>
      <left style="thin">
        <color rgb="FFBCBCBC"/>
      </left>
      <right/>
      <top/>
      <bottom style="thin">
        <color rgb="FFBCBCBC"/>
      </bottom>
    </border>
    <border>
      <left style="thin">
        <color rgb="FF999999"/>
      </left>
      <right/>
      <top style="thin">
        <color rgb="FF999999"/>
      </top>
      <bottom style="thin">
        <color rgb="FF999999"/>
      </bottom>
    </border>
    <border>
      <left/>
      <right/>
      <top style="thin">
        <color rgb="FF999999"/>
      </top>
      <bottom style="thin">
        <color rgb="FF999999"/>
      </bottom>
    </border>
    <border>
      <left/>
      <right style="thin">
        <color rgb="FF999999"/>
      </right>
      <top style="thin">
        <color rgb="FF999999"/>
      </top>
      <bottom style="thin">
        <color rgb="FF999999"/>
      </bottom>
    </border>
    <border>
      <left/>
      <right style="thin">
        <color rgb="FFBCBCBC"/>
      </right>
      <top/>
      <bottom/>
    </border>
    <border>
      <left/>
      <right style="thin">
        <color rgb="FFBCBCBC"/>
      </right>
      <top style="thin">
        <color rgb="FFBCBCBC"/>
      </top>
      <bottom/>
    </border>
    <border>
      <left style="thin">
        <color rgb="FFC0C0C0"/>
      </left>
      <right style="thin">
        <color rgb="FFC0C0C0"/>
      </right>
      <top style="thin">
        <color rgb="FFBCBCBC"/>
      </top>
      <bottom style="thin">
        <color rgb="FFBCBCBC"/>
      </bottom>
    </border>
    <border>
      <left style="thin">
        <color rgb="FFC0C0C0"/>
      </left>
      <right/>
      <top style="thin">
        <color rgb="FFBCBCBC"/>
      </top>
      <bottom style="thin">
        <color rgb="FFBCBCBC"/>
      </bottom>
    </border>
    <border>
      <left/>
      <right style="thin">
        <color rgb="FFC0C0C0"/>
      </right>
      <top style="thin">
        <color rgb="FFBCBCBC"/>
      </top>
      <bottom style="thin">
        <color rgb="FFBCBCBC"/>
      </bottom>
    </border>
    <border>
      <left style="thin">
        <color rgb="FFBCBCBC"/>
      </left>
      <right/>
      <top style="thin">
        <color rgb="FFBCBCBC"/>
      </top>
      <bottom style="thin">
        <color rgb="FFBCBCBC"/>
      </bottom>
    </border>
    <border>
      <left/>
      <right style="thin">
        <color rgb="FFBCBCBC"/>
      </right>
      <top style="thin">
        <color rgb="FFBCBCBC"/>
      </top>
      <bottom style="thin">
        <color rgb="FFBCBCBC"/>
      </bottom>
    </border>
    <border>
      <left style="thin">
        <color rgb="FFBCBCBC"/>
      </left>
      <right/>
      <top style="thin">
        <color rgb="FFBCBCBC"/>
      </top>
      <bottom style="thin">
        <color rgb="FFC0C0C0"/>
      </bottom>
    </border>
    <border>
      <left/>
      <right style="thin">
        <color rgb="FFC0C0C0"/>
      </right>
      <top style="thin">
        <color rgb="FFC0C0C0"/>
      </top>
      <bottom style="medium">
        <color rgb="FFC0C0C0"/>
      </bottom>
    </border>
  </borders>
  <cellStyleXfs count="84">
    <xf numFmtId="49" fontId="0" fillId="0" borderId="0" applyFont="1" applyFill="0" applyBorder="0" applyNumberFormat="1">
      <alignment vertical="top"/>
    </xf>
    <xf numFmtId="0" fontId="1" fillId="2" borderId="0" applyFont="1" applyFill="1" applyBorder="0">
      <alignment vertical="top"/>
    </xf>
    <xf numFmtId="0" fontId="1" fillId="3" borderId="0" applyFont="1" applyFill="1" applyBorder="0">
      <alignment vertical="top"/>
    </xf>
    <xf numFmtId="0" fontId="1" fillId="4" borderId="0" applyFont="1" applyFill="1" applyBorder="0">
      <alignment vertical="top"/>
    </xf>
    <xf numFmtId="0" fontId="1" fillId="5" borderId="0" applyFont="1" applyFill="1" applyBorder="0">
      <alignment vertical="top"/>
    </xf>
    <xf numFmtId="0" fontId="1" fillId="6" borderId="0" applyFont="1" applyFill="1" applyBorder="0">
      <alignment vertical="top"/>
    </xf>
    <xf numFmtId="0" fontId="1" fillId="7" borderId="0" applyFont="1" applyFill="1" applyBorder="0">
      <alignment vertical="top"/>
    </xf>
    <xf numFmtId="0" fontId="1" fillId="8" borderId="0" applyFont="1" applyFill="1" applyBorder="0">
      <alignment vertical="top"/>
    </xf>
    <xf numFmtId="0" fontId="1" fillId="9" borderId="0" applyFont="1" applyFill="1" applyBorder="0">
      <alignment vertical="top"/>
    </xf>
    <xf numFmtId="0" fontId="1" fillId="10" borderId="0" applyFont="1" applyFill="1" applyBorder="0">
      <alignment vertical="top"/>
    </xf>
    <xf numFmtId="0" fontId="1" fillId="11" borderId="0" applyFont="1" applyFill="1" applyBorder="0">
      <alignment vertical="top"/>
    </xf>
    <xf numFmtId="0" fontId="1" fillId="12" borderId="0" applyFont="1" applyFill="1" applyBorder="0">
      <alignment vertical="top"/>
    </xf>
    <xf numFmtId="0" fontId="1" fillId="13" borderId="0" applyFont="1" applyFill="1" applyBorder="0">
      <alignment vertical="top"/>
    </xf>
    <xf numFmtId="0" fontId="2" fillId="14" borderId="0" applyFont="1" applyFill="1" applyBorder="0">
      <alignment vertical="top"/>
    </xf>
    <xf numFmtId="0" fontId="2" fillId="15" borderId="0" applyFont="1" applyFill="1" applyBorder="0">
      <alignment vertical="top"/>
    </xf>
    <xf numFmtId="0" fontId="2" fillId="16" borderId="0" applyFont="1" applyFill="1" applyBorder="0">
      <alignment vertical="top"/>
    </xf>
    <xf numFmtId="0" fontId="2" fillId="17" borderId="0" applyFont="1" applyFill="1" applyBorder="0">
      <alignment vertical="top"/>
    </xf>
    <xf numFmtId="0" fontId="2" fillId="18" borderId="0" applyFont="1" applyFill="1" applyBorder="0">
      <alignment vertical="top"/>
    </xf>
    <xf numFmtId="0" fontId="2" fillId="19" borderId="0" applyFont="1" applyFill="1" applyBorder="0">
      <alignment vertical="top"/>
    </xf>
    <xf numFmtId="0" fontId="2" fillId="20" borderId="0" applyFont="1" applyFill="1" applyBorder="0">
      <alignment vertical="top"/>
    </xf>
    <xf numFmtId="0" fontId="2" fillId="21" borderId="0" applyFont="1" applyFill="1" applyBorder="0">
      <alignment vertical="top"/>
    </xf>
    <xf numFmtId="0" fontId="2" fillId="22" borderId="0" applyFont="1" applyFill="1" applyBorder="0">
      <alignment vertical="top"/>
    </xf>
    <xf numFmtId="0" fontId="2" fillId="23" borderId="0" applyFont="1" applyFill="1" applyBorder="0">
      <alignment vertical="top"/>
    </xf>
    <xf numFmtId="0" fontId="2" fillId="24" borderId="0" applyFont="1" applyFill="1" applyBorder="0">
      <alignment vertical="top"/>
    </xf>
    <xf numFmtId="0" fontId="2" fillId="25" borderId="0" applyFont="1" applyFill="1" applyBorder="0">
      <alignment vertical="top"/>
    </xf>
    <xf numFmtId="0" fontId="3" fillId="26" borderId="0" applyFont="1" applyFill="1" applyBorder="0">
      <alignment vertical="top"/>
    </xf>
    <xf numFmtId="0" fontId="4" fillId="27" borderId="1" applyFont="1" applyFill="1" applyBorder="1">
      <alignment vertical="top"/>
    </xf>
    <xf numFmtId="0" fontId="5" fillId="28" borderId="2" applyFont="1" applyFill="1" applyBorder="1">
      <alignment vertical="top"/>
    </xf>
    <xf numFmtId="241" fontId="6" fillId="0" borderId="0" applyFont="0" applyFill="0" applyBorder="0" applyNumberFormat="1">
      <alignment vertical="top"/>
    </xf>
    <xf numFmtId="242" fontId="6" fillId="0" borderId="0" applyFont="0" applyFill="0" applyBorder="0" applyNumberFormat="1">
      <alignment vertical="top"/>
    </xf>
    <xf numFmtId="243" fontId="6" fillId="0" borderId="0" applyFont="0" applyFill="0" applyBorder="0" applyNumberFormat="1">
      <alignment vertical="top"/>
    </xf>
    <xf numFmtId="244" fontId="6" fillId="0" borderId="0" applyFont="0" applyFill="0" applyBorder="0" applyNumberFormat="1">
      <alignment vertical="top"/>
    </xf>
    <xf numFmtId="0" fontId="7" fillId="0" borderId="0" applyFont="1" applyFill="0" applyBorder="0">
      <alignment vertical="top"/>
    </xf>
    <xf numFmtId="0" fontId="8" fillId="29" borderId="0" applyFont="1" applyFill="1" applyBorder="0">
      <alignment vertical="top"/>
    </xf>
    <xf numFmtId="0" fontId="9" fillId="0" borderId="3" applyFont="1" applyFill="0" applyBorder="1">
      <alignment vertical="top"/>
    </xf>
    <xf numFmtId="0" fontId="10" fillId="0" borderId="4" applyFont="1" applyFill="0" applyBorder="1">
      <alignment vertical="top"/>
    </xf>
    <xf numFmtId="0" fontId="11" fillId="0" borderId="5" applyFont="1" applyFill="0" applyBorder="1">
      <alignment vertical="top"/>
    </xf>
    <xf numFmtId="0" fontId="11" fillId="0" borderId="0" applyFont="1" applyFill="0" applyBorder="0">
      <alignment vertical="top"/>
    </xf>
    <xf numFmtId="0" fontId="12" fillId="30" borderId="6" applyFont="1" applyFill="1" applyBorder="1">
      <alignment vertical="top"/>
    </xf>
    <xf numFmtId="0" fontId="13" fillId="0" borderId="7" applyFont="1" applyFill="0" applyBorder="1">
      <alignment vertical="top"/>
    </xf>
    <xf numFmtId="0" fontId="14" fillId="31" borderId="0" applyFont="1" applyFill="1" applyBorder="0">
      <alignment vertical="top"/>
    </xf>
    <xf numFmtId="0" fontId="15" fillId="0" borderId="0" applyFont="1" applyFill="0" applyBorder="0">
      <alignment vertical="top"/>
    </xf>
    <xf numFmtId="0" fontId="6" fillId="32" borderId="8" applyFont="0" applyFill="1" applyBorder="1">
      <alignment vertical="top"/>
    </xf>
    <xf numFmtId="0" fontId="16" fillId="27" borderId="9" applyFont="1" applyFill="1" applyBorder="1">
      <alignment vertical="top"/>
    </xf>
    <xf numFmtId="9" fontId="6" fillId="0" borderId="0" applyFont="0" applyFill="0" applyBorder="0" applyNumberFormat="1">
      <alignment vertical="top"/>
    </xf>
    <xf numFmtId="0" fontId="17" fillId="0" borderId="0" applyFont="1" applyFill="0" applyBorder="0">
      <alignment vertical="top"/>
    </xf>
    <xf numFmtId="0" fontId="18" fillId="0" borderId="10" applyFont="1" applyFill="0" applyBorder="1">
      <alignment vertical="top"/>
    </xf>
    <xf numFmtId="0" fontId="19" fillId="0" borderId="0" applyFont="1" applyFill="0" applyBorder="0">
      <alignment vertical="top"/>
    </xf>
    <xf numFmtId="0" fontId="20" fillId="0" borderId="0" applyFont="1" applyFill="0" applyBorder="0"/>
    <xf numFmtId="245" fontId="20" fillId="0" borderId="0" applyFont="1" applyFill="0" applyBorder="0" applyNumberFormat="1"/>
    <xf numFmtId="38" fontId="21" fillId="0" borderId="0" applyFont="1" applyFill="0" applyBorder="0" applyNumberFormat="1">
      <alignment vertical="top"/>
    </xf>
    <xf numFmtId="0" fontId="22" fillId="0" borderId="6" applyFont="1" applyFill="0" applyBorder="1">
      <alignment vertical="top"/>
      <protection locked="0"/>
    </xf>
    <xf numFmtId="246" fontId="23" fillId="33" borderId="0" applyFont="1" applyFill="1" applyBorder="0" applyNumberFormat="1">
      <protection locked="0"/>
    </xf>
    <xf numFmtId="0" fontId="24" fillId="0" borderId="0" applyFont="1" applyFill="0" applyBorder="0">
      <alignment vertical="center"/>
    </xf>
    <xf numFmtId="247" fontId="23" fillId="33" borderId="0" applyFont="1" applyFill="1" applyBorder="0" applyNumberFormat="1">
      <protection locked="0"/>
    </xf>
    <xf numFmtId="248" fontId="23" fillId="33" borderId="0" applyFont="1" applyFill="1" applyBorder="0" applyNumberFormat="1">
      <protection locked="0"/>
    </xf>
    <xf numFmtId="0" fontId="25" fillId="0" borderId="0" applyFont="1" applyFill="0" applyBorder="0">
      <alignment vertical="top"/>
    </xf>
    <xf numFmtId="0" fontId="22" fillId="34" borderId="6" applyFont="1" applyFill="1" applyBorder="1">
      <alignment vertical="top"/>
    </xf>
    <xf numFmtId="0" fontId="26" fillId="0" borderId="0" applyFont="1" applyFill="0" applyBorder="0">
      <alignment vertical="top"/>
    </xf>
    <xf numFmtId="0" fontId="27" fillId="0" borderId="0" applyFont="1" applyFill="0" applyBorder="0"/>
    <xf numFmtId="0" fontId="28" fillId="35" borderId="11" applyFont="1" applyFill="1" applyBorder="1">
      <alignment horizontal="center" vertical="center"/>
    </xf>
    <xf numFmtId="0" fontId="12" fillId="30" borderId="6" applyFont="1" applyFill="1" applyBorder="1">
      <alignment vertical="top"/>
    </xf>
    <xf numFmtId="0" fontId="29" fillId="0" borderId="0" applyFont="1" applyFill="0" applyBorder="0">
      <alignment vertical="top"/>
    </xf>
    <xf numFmtId="0" fontId="30" fillId="0" borderId="0" applyFont="1" applyFill="0" applyBorder="0">
      <alignment vertical="top"/>
    </xf>
    <xf numFmtId="0" fontId="31" fillId="0" borderId="0" applyFont="1" applyFill="0" applyBorder="0">
      <alignment vertical="top"/>
    </xf>
    <xf numFmtId="0" fontId="32" fillId="0" borderId="0" applyFont="1" applyFill="0" applyBorder="0">
      <alignment vertical="top"/>
    </xf>
    <xf numFmtId="0" fontId="33" fillId="0" borderId="0" applyFont="1" applyFill="0" applyBorder="0">
      <alignment vertical="top"/>
    </xf>
    <xf numFmtId="0" fontId="6" fillId="36" borderId="6" applyFont="0" applyFill="1" applyBorder="1">
      <alignment vertical="top"/>
    </xf>
    <xf numFmtId="0" fontId="34" fillId="0" borderId="0" applyFont="1" applyFill="0" applyBorder="0">
      <alignment horizontal="center" vertical="center" wrapText="1"/>
    </xf>
    <xf numFmtId="0" fontId="35" fillId="0" borderId="0" applyFont="1" applyFill="0" applyBorder="0">
      <alignment horizontal="center" vertical="center" wrapText="1"/>
    </xf>
    <xf numFmtId="4" fontId="23" fillId="33" borderId="0" applyFont="1" applyFill="1" applyBorder="0" applyNumberFormat="1">
      <alignment horizontal="right"/>
    </xf>
    <xf numFmtId="49" fontId="23" fillId="0" borderId="0" applyFont="1" applyFill="0" applyBorder="0" applyNumberFormat="1">
      <alignment vertical="top"/>
    </xf>
    <xf numFmtId="0" fontId="1" fillId="0" borderId="0" applyFont="1" applyFill="0" applyBorder="0"/>
    <xf numFmtId="0" fontId="36" fillId="0" borderId="0" applyFont="1" applyFill="0" applyBorder="0"/>
    <xf numFmtId="49" fontId="0" fillId="0" borderId="0" applyFont="1" applyFill="0" applyBorder="0" applyNumberFormat="1">
      <alignment vertical="top"/>
    </xf>
    <xf numFmtId="0" fontId="37" fillId="0" borderId="0" applyFont="1" applyFill="0" applyBorder="0"/>
    <xf numFmtId="0" fontId="0" fillId="37" borderId="0" applyFont="1" applyFill="1" applyBorder="0">
      <alignment vertical="top"/>
    </xf>
    <xf numFmtId="49" fontId="0" fillId="36" borderId="0" applyFont="1" applyFill="1" applyBorder="0" applyNumberFormat="1">
      <alignment vertical="top"/>
    </xf>
    <xf numFmtId="49" fontId="23" fillId="37" borderId="0" applyFont="1" applyFill="1" applyBorder="0" applyNumberFormat="1">
      <alignment vertical="top"/>
    </xf>
    <xf numFmtId="0" fontId="38" fillId="0" borderId="0" applyFont="1" applyFill="0" applyBorder="0"/>
    <xf numFmtId="0" fontId="23" fillId="0" borderId="0" applyFont="1" applyFill="0" applyBorder="0">
      <alignment horizontal="left" vertical="center"/>
    </xf>
    <xf numFmtId="0" fontId="39" fillId="0" borderId="0" applyFont="1" applyFill="0" applyBorder="0"/>
    <xf numFmtId="0" fontId="40" fillId="0" borderId="0" applyFont="1" applyFill="0" applyBorder="0">
      <alignment vertical="top"/>
    </xf>
    <xf numFmtId="4" fontId="23" fillId="38" borderId="0" applyFont="1" applyFill="1" applyBorder="0" applyNumberFormat="1">
      <alignment horizontal="right"/>
    </xf>
  </cellStyleXfs>
  <cellXfs count="11406">
    <xf numFmtId="49" fontId="0" fillId="0" borderId="0" xfId="0" applyFont="1" applyNumberFormat="1">
      <alignment vertical="top"/>
    </xf>
    <xf numFmtId="0" fontId="1" fillId="2" borderId="0" xfId="1" applyFont="1" applyFill="1">
      <alignment vertical="top"/>
    </xf>
    <xf numFmtId="0" fontId="1" fillId="3" borderId="0" xfId="2" applyFont="1" applyFill="1">
      <alignment vertical="top"/>
    </xf>
    <xf numFmtId="0" fontId="1" fillId="4" borderId="0" xfId="3" applyFont="1" applyFill="1">
      <alignment vertical="top"/>
    </xf>
    <xf numFmtId="0" fontId="1" fillId="5" borderId="0" xfId="4" applyFont="1" applyFill="1">
      <alignment vertical="top"/>
    </xf>
    <xf numFmtId="0" fontId="1" fillId="6" borderId="0" xfId="5" applyFont="1" applyFill="1">
      <alignment vertical="top"/>
    </xf>
    <xf numFmtId="0" fontId="1" fillId="7" borderId="0" xfId="6" applyFont="1" applyFill="1">
      <alignment vertical="top"/>
    </xf>
    <xf numFmtId="0" fontId="1" fillId="8" borderId="0" xfId="7" applyFont="1" applyFill="1">
      <alignment vertical="top"/>
    </xf>
    <xf numFmtId="0" fontId="1" fillId="9" borderId="0" xfId="8" applyFont="1" applyFill="1">
      <alignment vertical="top"/>
    </xf>
    <xf numFmtId="0" fontId="1" fillId="10" borderId="0" xfId="9" applyFont="1" applyFill="1">
      <alignment vertical="top"/>
    </xf>
    <xf numFmtId="0" fontId="1" fillId="11" borderId="0" xfId="10" applyFont="1" applyFill="1">
      <alignment vertical="top"/>
    </xf>
    <xf numFmtId="0" fontId="1" fillId="12" borderId="0" xfId="11" applyFont="1" applyFill="1">
      <alignment vertical="top"/>
    </xf>
    <xf numFmtId="0" fontId="1" fillId="13" borderId="0" xfId="12" applyFont="1" applyFill="1">
      <alignment vertical="top"/>
    </xf>
    <xf numFmtId="0" fontId="2" fillId="14" borderId="0" xfId="13" applyFont="1" applyFill="1">
      <alignment vertical="top"/>
    </xf>
    <xf numFmtId="0" fontId="2" fillId="15" borderId="0" xfId="14" applyFont="1" applyFill="1">
      <alignment vertical="top"/>
    </xf>
    <xf numFmtId="0" fontId="2" fillId="16" borderId="0" xfId="15" applyFont="1" applyFill="1">
      <alignment vertical="top"/>
    </xf>
    <xf numFmtId="0" fontId="2" fillId="17" borderId="0" xfId="16" applyFont="1" applyFill="1">
      <alignment vertical="top"/>
    </xf>
    <xf numFmtId="0" fontId="2" fillId="18" borderId="0" xfId="17" applyFont="1" applyFill="1">
      <alignment vertical="top"/>
    </xf>
    <xf numFmtId="0" fontId="2" fillId="19" borderId="0" xfId="18" applyFont="1" applyFill="1">
      <alignment vertical="top"/>
    </xf>
    <xf numFmtId="0" fontId="2" fillId="20" borderId="0" xfId="19" applyFont="1" applyFill="1">
      <alignment vertical="top"/>
    </xf>
    <xf numFmtId="0" fontId="2" fillId="21" borderId="0" xfId="20" applyFont="1" applyFill="1">
      <alignment vertical="top"/>
    </xf>
    <xf numFmtId="0" fontId="2" fillId="22" borderId="0" xfId="21" applyFont="1" applyFill="1">
      <alignment vertical="top"/>
    </xf>
    <xf numFmtId="0" fontId="2" fillId="23" borderId="0" xfId="22" applyFont="1" applyFill="1">
      <alignment vertical="top"/>
    </xf>
    <xf numFmtId="0" fontId="2" fillId="24" borderId="0" xfId="23" applyFont="1" applyFill="1">
      <alignment vertical="top"/>
    </xf>
    <xf numFmtId="0" fontId="2" fillId="25" borderId="0" xfId="24" applyFont="1" applyFill="1">
      <alignment vertical="top"/>
    </xf>
    <xf numFmtId="0" fontId="3" fillId="26" borderId="0" xfId="25" applyFont="1" applyFill="1">
      <alignment vertical="top"/>
    </xf>
    <xf numFmtId="0" fontId="4" fillId="27" borderId="1" xfId="26" applyFont="1" applyFill="1" applyBorder="1">
      <alignment vertical="top"/>
    </xf>
    <xf numFmtId="0" fontId="5" fillId="28" borderId="2" xfId="27" applyFont="1" applyFill="1" applyBorder="1">
      <alignment vertical="top"/>
    </xf>
    <xf numFmtId="241" fontId="6" fillId="0" borderId="0" xfId="28" applyFont="0" applyNumberFormat="1">
      <alignment vertical="top"/>
    </xf>
    <xf numFmtId="242" fontId="6" fillId="0" borderId="0" xfId="29" applyFont="0" applyNumberFormat="1">
      <alignment vertical="top"/>
    </xf>
    <xf numFmtId="243" fontId="6" fillId="0" borderId="0" xfId="30" applyFont="0" applyNumberFormat="1">
      <alignment vertical="top"/>
    </xf>
    <xf numFmtId="244" fontId="6" fillId="0" borderId="0" xfId="31" applyFont="0" applyNumberFormat="1">
      <alignment vertical="top"/>
    </xf>
    <xf numFmtId="0" fontId="7" fillId="0" borderId="0" xfId="32" applyFont="1">
      <alignment vertical="top"/>
    </xf>
    <xf numFmtId="0" fontId="8" fillId="29" borderId="0" xfId="33" applyFont="1" applyFill="1">
      <alignment vertical="top"/>
    </xf>
    <xf numFmtId="0" fontId="9" fillId="0" borderId="3" xfId="34" applyFont="1" applyBorder="1">
      <alignment vertical="top"/>
    </xf>
    <xf numFmtId="0" fontId="10" fillId="0" borderId="4" xfId="35" applyFont="1" applyBorder="1">
      <alignment vertical="top"/>
    </xf>
    <xf numFmtId="0" fontId="11" fillId="0" borderId="5" xfId="36" applyFont="1" applyBorder="1">
      <alignment vertical="top"/>
    </xf>
    <xf numFmtId="0" fontId="11" fillId="0" borderId="0" xfId="37" applyFont="1">
      <alignment vertical="top"/>
    </xf>
    <xf numFmtId="0" fontId="12" fillId="30" borderId="6" xfId="38" applyFont="1" applyFill="1" applyBorder="1">
      <alignment vertical="top"/>
    </xf>
    <xf numFmtId="0" fontId="13" fillId="0" borderId="7" xfId="39" applyFont="1" applyBorder="1">
      <alignment vertical="top"/>
    </xf>
    <xf numFmtId="0" fontId="14" fillId="31" borderId="0" xfId="40" applyFont="1" applyFill="1">
      <alignment vertical="top"/>
    </xf>
    <xf numFmtId="0" fontId="15" fillId="0" borderId="0" xfId="41" applyFont="1">
      <alignment vertical="top"/>
    </xf>
    <xf numFmtId="0" fontId="6" fillId="32" borderId="8" xfId="42" applyFont="0" applyFill="1" applyBorder="1">
      <alignment vertical="top"/>
    </xf>
    <xf numFmtId="0" fontId="16" fillId="27" borderId="9" xfId="43" applyFont="1" applyFill="1" applyBorder="1">
      <alignment vertical="top"/>
    </xf>
    <xf numFmtId="9" fontId="6" fillId="0" borderId="0" xfId="44" applyFont="0" applyNumberFormat="1">
      <alignment vertical="top"/>
    </xf>
    <xf numFmtId="0" fontId="17" fillId="0" borderId="0" xfId="45" applyFont="1">
      <alignment vertical="top"/>
    </xf>
    <xf numFmtId="0" fontId="18" fillId="0" borderId="10" xfId="46" applyFont="1" applyBorder="1">
      <alignment vertical="top"/>
    </xf>
    <xf numFmtId="0" fontId="19" fillId="0" borderId="0" xfId="47" applyFont="1">
      <alignment vertical="top"/>
    </xf>
    <xf numFmtId="0" fontId="20" fillId="0" borderId="0" xfId="48" applyFont="1"/>
    <xf numFmtId="245" fontId="20" fillId="0" borderId="0" xfId="49" applyFont="1" applyNumberFormat="1"/>
    <xf numFmtId="38" fontId="21" fillId="0" borderId="0" xfId="50" applyFont="1" applyNumberFormat="1">
      <alignment vertical="top"/>
    </xf>
    <xf numFmtId="0" fontId="22" fillId="0" borderId="6" xfId="51" applyFont="1" applyBorder="1">
      <alignment vertical="top"/>
      <protection locked="0"/>
    </xf>
    <xf numFmtId="246" fontId="23" fillId="33" borderId="0" xfId="52" applyFont="1" applyFill="1" applyNumberFormat="1">
      <protection locked="0"/>
    </xf>
    <xf numFmtId="0" fontId="24" fillId="0" borderId="0" xfId="53" applyFont="1">
      <alignment vertical="center"/>
    </xf>
    <xf numFmtId="247" fontId="23" fillId="33" borderId="0" xfId="54" applyFont="1" applyFill="1" applyNumberFormat="1">
      <protection locked="0"/>
    </xf>
    <xf numFmtId="248" fontId="23" fillId="33" borderId="0" xfId="55" applyFont="1" applyFill="1" applyNumberFormat="1">
      <protection locked="0"/>
    </xf>
    <xf numFmtId="0" fontId="25" fillId="0" borderId="0" xfId="56" applyFont="1">
      <alignment vertical="top"/>
    </xf>
    <xf numFmtId="0" fontId="22" fillId="34" borderId="6" xfId="57" applyFont="1" applyFill="1" applyBorder="1">
      <alignment vertical="top"/>
    </xf>
    <xf numFmtId="0" fontId="26" fillId="0" borderId="0" xfId="58" applyFont="1">
      <alignment vertical="top"/>
    </xf>
    <xf numFmtId="0" fontId="27" fillId="0" borderId="0" xfId="59" applyFont="1"/>
    <xf numFmtId="0" fontId="28" fillId="35" borderId="11" xfId="60" applyFont="1" applyFill="1" applyBorder="1">
      <alignment horizontal="center" vertical="center"/>
    </xf>
    <xf numFmtId="0" fontId="12" fillId="30" borderId="6" xfId="61" applyFont="1" applyFill="1" applyBorder="1">
      <alignment vertical="top"/>
    </xf>
    <xf numFmtId="0" fontId="29" fillId="0" borderId="0" xfId="62" applyFont="1">
      <alignment vertical="top"/>
    </xf>
    <xf numFmtId="0" fontId="30" fillId="0" borderId="0" xfId="63" applyFont="1">
      <alignment vertical="top"/>
    </xf>
    <xf numFmtId="0" fontId="31" fillId="0" borderId="0" xfId="64" applyFont="1">
      <alignment vertical="top"/>
    </xf>
    <xf numFmtId="0" fontId="32" fillId="0" borderId="0" xfId="65" applyFont="1">
      <alignment vertical="top"/>
    </xf>
    <xf numFmtId="0" fontId="33" fillId="0" borderId="0" xfId="66" applyFont="1">
      <alignment vertical="top"/>
    </xf>
    <xf numFmtId="0" fontId="6" fillId="36" borderId="6" xfId="67" applyFont="0" applyFill="1" applyBorder="1">
      <alignment vertical="top"/>
    </xf>
    <xf numFmtId="0" fontId="34" fillId="0" borderId="0" xfId="68" applyFont="1">
      <alignment horizontal="center" vertical="center" wrapText="1"/>
    </xf>
    <xf numFmtId="0" fontId="35" fillId="0" borderId="0" xfId="69" applyFont="1">
      <alignment horizontal="center" vertical="center" wrapText="1"/>
    </xf>
    <xf numFmtId="4" fontId="23" fillId="33" borderId="0" xfId="70" applyFont="1" applyFill="1" applyNumberFormat="1">
      <alignment horizontal="right"/>
    </xf>
    <xf numFmtId="49" fontId="23" fillId="0" borderId="0" xfId="71" applyFont="1" applyNumberFormat="1">
      <alignment vertical="top"/>
    </xf>
    <xf numFmtId="0" fontId="1" fillId="0" borderId="0" xfId="72" applyFont="1"/>
    <xf numFmtId="0" fontId="36" fillId="0" borderId="0" xfId="73" applyFont="1"/>
    <xf numFmtId="49" fontId="0" fillId="0" borderId="0" xfId="74" applyFont="1" applyNumberFormat="1">
      <alignment vertical="top"/>
    </xf>
    <xf numFmtId="0" fontId="37" fillId="0" borderId="0" xfId="75" applyFont="1"/>
    <xf numFmtId="0" fontId="0" fillId="37" borderId="0" xfId="76" applyFont="1" applyFill="1">
      <alignment vertical="top"/>
    </xf>
    <xf numFmtId="49" fontId="0" fillId="36" borderId="0" xfId="77" applyFont="1" applyFill="1" applyNumberFormat="1">
      <alignment vertical="top"/>
    </xf>
    <xf numFmtId="49" fontId="23" fillId="37" borderId="0" xfId="78" applyFont="1" applyFill="1" applyNumberFormat="1">
      <alignment vertical="top"/>
    </xf>
    <xf numFmtId="0" fontId="38" fillId="0" borderId="0" xfId="79" applyFont="1"/>
    <xf numFmtId="0" fontId="23" fillId="0" borderId="0" xfId="80" applyFont="1">
      <alignment horizontal="left" vertical="center"/>
    </xf>
    <xf numFmtId="0" fontId="39" fillId="0" borderId="0" xfId="81" applyFont="1"/>
    <xf numFmtId="0" fontId="40" fillId="0" borderId="0" xfId="82" applyFont="1">
      <alignment vertical="top"/>
    </xf>
    <xf numFmtId="4" fontId="23" fillId="38" borderId="0" xfId="83" applyFont="1" applyFill="1" applyNumberFormat="1">
      <alignment horizontal="right"/>
    </xf>
    <xf numFmtId="49" fontId="0" fillId="0" borderId="0" xfId="0" applyFont="1" applyNumberFormat="1">
      <alignment vertical="top"/>
    </xf>
    <xf numFmtId="241" fontId="36" fillId="0" borderId="0" xfId="28" applyFont="1" applyNumberFormat="1">
      <alignment vertical="top"/>
    </xf>
    <xf numFmtId="242" fontId="36" fillId="0" borderId="0" xfId="29" applyFont="1" applyNumberFormat="1">
      <alignment vertical="top"/>
    </xf>
    <xf numFmtId="243" fontId="36" fillId="0" borderId="0" xfId="30" applyFont="1" applyNumberFormat="1">
      <alignment vertical="top"/>
    </xf>
    <xf numFmtId="244" fontId="36" fillId="0" borderId="0" xfId="31" applyFont="1" applyNumberFormat="1">
      <alignment vertical="top"/>
    </xf>
    <xf numFmtId="0" fontId="36" fillId="32" borderId="8" xfId="42" applyFont="1" applyFill="1" applyBorder="1">
      <alignment vertical="top"/>
    </xf>
    <xf numFmtId="9" fontId="36" fillId="0" borderId="0" xfId="44" applyFont="1" applyNumberFormat="1">
      <alignment vertical="top"/>
    </xf>
    <xf numFmtId="0" fontId="12" fillId="30" borderId="6" xfId="0" applyFont="1" applyFill="1" applyBorder="1">
      <alignment vertical="top"/>
    </xf>
    <xf numFmtId="0" fontId="36" fillId="36" borderId="6" xfId="0" applyFont="1" applyFill="1" applyBorder="1">
      <alignment vertical="top"/>
    </xf>
    <xf numFmtId="49" fontId="0" fillId="0" borderId="0" xfId="0" applyFont="1" applyNumberFormat="1">
      <alignment vertical="top"/>
    </xf>
    <xf numFmtId="49" fontId="0" fillId="0" borderId="0" xfId="0" applyFont="1" applyNumberFormat="1">
      <alignment vertical="top"/>
    </xf>
    <xf numFmtId="0" fontId="1" fillId="2" borderId="0" xfId="1" applyFont="1" applyFill="1">
      <alignment vertical="top"/>
    </xf>
    <xf numFmtId="0" fontId="1" fillId="3" borderId="0" xfId="2" applyFont="1" applyFill="1">
      <alignment vertical="top"/>
    </xf>
    <xf numFmtId="0" fontId="1" fillId="4" borderId="0" xfId="3" applyFont="1" applyFill="1">
      <alignment vertical="top"/>
    </xf>
    <xf numFmtId="0" fontId="1" fillId="5" borderId="0" xfId="4" applyFont="1" applyFill="1">
      <alignment vertical="top"/>
    </xf>
    <xf numFmtId="0" fontId="1" fillId="6" borderId="0" xfId="5" applyFont="1" applyFill="1">
      <alignment vertical="top"/>
    </xf>
    <xf numFmtId="0" fontId="1" fillId="7" borderId="0" xfId="6" applyFont="1" applyFill="1">
      <alignment vertical="top"/>
    </xf>
    <xf numFmtId="0" fontId="1" fillId="8" borderId="0" xfId="7" applyFont="1" applyFill="1">
      <alignment vertical="top"/>
    </xf>
    <xf numFmtId="0" fontId="1" fillId="9" borderId="0" xfId="8" applyFont="1" applyFill="1">
      <alignment vertical="top"/>
    </xf>
    <xf numFmtId="0" fontId="1" fillId="10" borderId="0" xfId="9" applyFont="1" applyFill="1">
      <alignment vertical="top"/>
    </xf>
    <xf numFmtId="0" fontId="1" fillId="11" borderId="0" xfId="10" applyFont="1" applyFill="1">
      <alignment vertical="top"/>
    </xf>
    <xf numFmtId="0" fontId="1" fillId="12" borderId="0" xfId="11" applyFont="1" applyFill="1">
      <alignment vertical="top"/>
    </xf>
    <xf numFmtId="0" fontId="1" fillId="13" borderId="0" xfId="12" applyFont="1" applyFill="1">
      <alignment vertical="top"/>
    </xf>
    <xf numFmtId="0" fontId="2" fillId="14" borderId="0" xfId="13" applyFont="1" applyFill="1">
      <alignment vertical="top"/>
    </xf>
    <xf numFmtId="0" fontId="2" fillId="15" borderId="0" xfId="14" applyFont="1" applyFill="1">
      <alignment vertical="top"/>
    </xf>
    <xf numFmtId="0" fontId="2" fillId="16" borderId="0" xfId="15" applyFont="1" applyFill="1">
      <alignment vertical="top"/>
    </xf>
    <xf numFmtId="0" fontId="2" fillId="17" borderId="0" xfId="16" applyFont="1" applyFill="1">
      <alignment vertical="top"/>
    </xf>
    <xf numFmtId="0" fontId="2" fillId="18" borderId="0" xfId="17" applyFont="1" applyFill="1">
      <alignment vertical="top"/>
    </xf>
    <xf numFmtId="0" fontId="2" fillId="19" borderId="0" xfId="18" applyFont="1" applyFill="1">
      <alignment vertical="top"/>
    </xf>
    <xf numFmtId="0" fontId="2" fillId="20" borderId="0" xfId="19" applyFont="1" applyFill="1">
      <alignment vertical="top"/>
    </xf>
    <xf numFmtId="0" fontId="2" fillId="21" borderId="0" xfId="20" applyFont="1" applyFill="1">
      <alignment vertical="top"/>
    </xf>
    <xf numFmtId="0" fontId="2" fillId="22" borderId="0" xfId="21" applyFont="1" applyFill="1">
      <alignment vertical="top"/>
    </xf>
    <xf numFmtId="0" fontId="2" fillId="23" borderId="0" xfId="22" applyFont="1" applyFill="1">
      <alignment vertical="top"/>
    </xf>
    <xf numFmtId="0" fontId="2" fillId="24" borderId="0" xfId="23" applyFont="1" applyFill="1">
      <alignment vertical="top"/>
    </xf>
    <xf numFmtId="0" fontId="2" fillId="25" borderId="0" xfId="24" applyFont="1" applyFill="1">
      <alignment vertical="top"/>
    </xf>
    <xf numFmtId="0" fontId="3" fillId="26" borderId="0" xfId="25" applyFont="1" applyFill="1">
      <alignment vertical="top"/>
    </xf>
    <xf numFmtId="0" fontId="4" fillId="27" borderId="1" xfId="26" applyFont="1" applyFill="1" applyBorder="1">
      <alignment vertical="top"/>
    </xf>
    <xf numFmtId="0" fontId="5" fillId="28" borderId="2" xfId="27" applyFont="1" applyFill="1" applyBorder="1">
      <alignment vertical="top"/>
    </xf>
    <xf numFmtId="241" fontId="36" fillId="0" borderId="0" xfId="28" applyFont="1" applyNumberFormat="1">
      <alignment vertical="top"/>
    </xf>
    <xf numFmtId="242" fontId="36" fillId="0" borderId="0" xfId="29" applyFont="1" applyNumberFormat="1">
      <alignment vertical="top"/>
    </xf>
    <xf numFmtId="243" fontId="36" fillId="0" borderId="0" xfId="30" applyFont="1" applyNumberFormat="1">
      <alignment vertical="top"/>
    </xf>
    <xf numFmtId="244" fontId="36" fillId="0" borderId="0" xfId="31" applyFont="1" applyNumberFormat="1">
      <alignment vertical="top"/>
    </xf>
    <xf numFmtId="0" fontId="7" fillId="0" borderId="0" xfId="32" applyFont="1">
      <alignment vertical="top"/>
    </xf>
    <xf numFmtId="0" fontId="8" fillId="29" borderId="0" xfId="33" applyFont="1" applyFill="1">
      <alignment vertical="top"/>
    </xf>
    <xf numFmtId="0" fontId="9" fillId="0" borderId="3" xfId="34" applyFont="1" applyBorder="1">
      <alignment vertical="top"/>
    </xf>
    <xf numFmtId="0" fontId="10" fillId="0" borderId="4" xfId="35" applyFont="1" applyBorder="1">
      <alignment vertical="top"/>
    </xf>
    <xf numFmtId="0" fontId="11" fillId="0" borderId="5" xfId="36" applyFont="1" applyBorder="1">
      <alignment vertical="top"/>
    </xf>
    <xf numFmtId="0" fontId="11" fillId="0" borderId="0" xfId="37" applyFont="1">
      <alignment vertical="top"/>
    </xf>
    <xf numFmtId="0" fontId="12" fillId="30" borderId="6" xfId="38" applyFont="1" applyFill="1" applyBorder="1">
      <alignment vertical="top"/>
    </xf>
    <xf numFmtId="0" fontId="13" fillId="0" borderId="7" xfId="39" applyFont="1" applyBorder="1">
      <alignment vertical="top"/>
    </xf>
    <xf numFmtId="0" fontId="14" fillId="31" borderId="0" xfId="40" applyFont="1" applyFill="1">
      <alignment vertical="top"/>
    </xf>
    <xf numFmtId="0" fontId="15" fillId="0" borderId="0" xfId="0" applyFont="1">
      <alignment vertical="top"/>
    </xf>
    <xf numFmtId="0" fontId="36" fillId="32" borderId="8" xfId="42" applyFont="1" applyFill="1" applyBorder="1">
      <alignment vertical="top"/>
    </xf>
    <xf numFmtId="0" fontId="16" fillId="27" borderId="9" xfId="43" applyFont="1" applyFill="1" applyBorder="1">
      <alignment vertical="top"/>
    </xf>
    <xf numFmtId="9" fontId="36" fillId="0" borderId="0" xfId="44" applyFont="1" applyNumberFormat="1">
      <alignment vertical="top"/>
    </xf>
    <xf numFmtId="0" fontId="17" fillId="0" borderId="0" xfId="45" applyFont="1">
      <alignment vertical="top"/>
    </xf>
    <xf numFmtId="0" fontId="18" fillId="0" borderId="10" xfId="46" applyFont="1" applyBorder="1">
      <alignment vertical="top"/>
    </xf>
    <xf numFmtId="0" fontId="19" fillId="0" borderId="0" xfId="47" applyFont="1">
      <alignment vertical="top"/>
    </xf>
    <xf numFmtId="0" fontId="20" fillId="0" borderId="0" xfId="0" applyFont="1"/>
    <xf numFmtId="0" fontId="22" fillId="0" borderId="6" xfId="0" applyFont="1" applyBorder="1">
      <alignment vertical="top"/>
      <protection locked="0"/>
    </xf>
    <xf numFmtId="0" fontId="24" fillId="0" borderId="0" xfId="0" applyFont="1">
      <alignment vertical="center"/>
    </xf>
    <xf numFmtId="0" fontId="25" fillId="0" borderId="0" xfId="0" applyFont="1">
      <alignment vertical="top"/>
    </xf>
    <xf numFmtId="0" fontId="22" fillId="34" borderId="6" xfId="0" applyFont="1" applyFill="1" applyBorder="1">
      <alignment vertical="top"/>
    </xf>
    <xf numFmtId="0" fontId="26" fillId="0" borderId="0" xfId="58" applyFont="1">
      <alignment vertical="top"/>
    </xf>
    <xf numFmtId="0" fontId="27" fillId="0" borderId="0" xfId="0" applyFont="1"/>
    <xf numFmtId="0" fontId="28" fillId="35" borderId="11" xfId="0" applyFont="1" applyFill="1" applyBorder="1">
      <alignment horizontal="center" vertical="center"/>
    </xf>
    <xf numFmtId="0" fontId="12" fillId="30" borderId="6" xfId="0" applyFont="1" applyFill="1" applyBorder="1">
      <alignment vertical="top"/>
    </xf>
    <xf numFmtId="0" fontId="29" fillId="0" borderId="0" xfId="0" applyFont="1">
      <alignment vertical="top"/>
    </xf>
    <xf numFmtId="0" fontId="30" fillId="0" borderId="0" xfId="0" applyFont="1">
      <alignment vertical="top"/>
    </xf>
    <xf numFmtId="0" fontId="31" fillId="0" borderId="0" xfId="0" applyFont="1">
      <alignment vertical="top"/>
    </xf>
    <xf numFmtId="0" fontId="32" fillId="0" borderId="0" xfId="0" applyFont="1">
      <alignment vertical="top"/>
    </xf>
    <xf numFmtId="0" fontId="33" fillId="0" borderId="0" xfId="0" applyFont="1">
      <alignment vertical="top"/>
    </xf>
    <xf numFmtId="0" fontId="36" fillId="36" borderId="6" xfId="0" applyFont="1" applyFill="1" applyBorder="1">
      <alignment vertical="top"/>
    </xf>
    <xf numFmtId="0" fontId="34" fillId="0" borderId="0" xfId="0" applyFont="1">
      <alignment horizontal="center" vertical="center" wrapText="1"/>
    </xf>
    <xf numFmtId="0" fontId="35" fillId="0" borderId="0" xfId="0" applyFont="1">
      <alignment horizontal="center" vertical="center" wrapText="1"/>
    </xf>
    <xf numFmtId="0" fontId="1" fillId="0" borderId="0" xfId="0" applyFont="1"/>
    <xf numFmtId="0" fontId="36" fillId="0" borderId="0" xfId="0" applyFont="1"/>
    <xf numFmtId="49" fontId="0" fillId="0" borderId="0" xfId="0" applyFont="1" applyNumberFormat="1">
      <alignment vertical="top"/>
    </xf>
    <xf numFmtId="0" fontId="37" fillId="0" borderId="0" xfId="0" applyFont="1"/>
    <xf numFmtId="0" fontId="0" fillId="37" borderId="0" xfId="0" applyFont="1" applyFill="1">
      <alignment vertical="top"/>
    </xf>
    <xf numFmtId="0" fontId="38" fillId="0" borderId="0" xfId="0" applyFont="1"/>
    <xf numFmtId="0" fontId="23" fillId="0" borderId="0" xfId="80" applyFont="1">
      <alignment horizontal="left" vertical="center"/>
    </xf>
    <xf numFmtId="0" fontId="39" fillId="0" borderId="0" xfId="81" applyFont="1"/>
    <xf numFmtId="0" fontId="40" fillId="0" borderId="0" xfId="0" applyFont="1">
      <alignment vertical="top"/>
    </xf>
    <xf numFmtId="49" fontId="0" fillId="0" borderId="0" xfId="0" applyFont="1" applyNumberFormat="1">
      <alignment vertical="top"/>
    </xf>
    <xf numFmtId="0" fontId="1" fillId="2" borderId="0" xfId="1" applyFont="1" applyFill="1">
      <alignment vertical="top"/>
    </xf>
    <xf numFmtId="0" fontId="1" fillId="3" borderId="0" xfId="2" applyFont="1" applyFill="1">
      <alignment vertical="top"/>
    </xf>
    <xf numFmtId="0" fontId="1" fillId="4" borderId="0" xfId="3" applyFont="1" applyFill="1">
      <alignment vertical="top"/>
    </xf>
    <xf numFmtId="0" fontId="1" fillId="5" borderId="0" xfId="4" applyFont="1" applyFill="1">
      <alignment vertical="top"/>
    </xf>
    <xf numFmtId="0" fontId="1" fillId="6" borderId="0" xfId="5" applyFont="1" applyFill="1">
      <alignment vertical="top"/>
    </xf>
    <xf numFmtId="0" fontId="1" fillId="7" borderId="0" xfId="6" applyFont="1" applyFill="1">
      <alignment vertical="top"/>
    </xf>
    <xf numFmtId="0" fontId="1" fillId="8" borderId="0" xfId="7" applyFont="1" applyFill="1">
      <alignment vertical="top"/>
    </xf>
    <xf numFmtId="0" fontId="1" fillId="9" borderId="0" xfId="8" applyFont="1" applyFill="1">
      <alignment vertical="top"/>
    </xf>
    <xf numFmtId="0" fontId="1" fillId="10" borderId="0" xfId="9" applyFont="1" applyFill="1">
      <alignment vertical="top"/>
    </xf>
    <xf numFmtId="0" fontId="1" fillId="11" borderId="0" xfId="10" applyFont="1" applyFill="1">
      <alignment vertical="top"/>
    </xf>
    <xf numFmtId="0" fontId="1" fillId="12" borderId="0" xfId="11" applyFont="1" applyFill="1">
      <alignment vertical="top"/>
    </xf>
    <xf numFmtId="0" fontId="1" fillId="13" borderId="0" xfId="12" applyFont="1" applyFill="1">
      <alignment vertical="top"/>
    </xf>
    <xf numFmtId="0" fontId="2" fillId="14" borderId="0" xfId="13" applyFont="1" applyFill="1">
      <alignment vertical="top"/>
    </xf>
    <xf numFmtId="0" fontId="2" fillId="15" borderId="0" xfId="14" applyFont="1" applyFill="1">
      <alignment vertical="top"/>
    </xf>
    <xf numFmtId="0" fontId="2" fillId="16" borderId="0" xfId="15" applyFont="1" applyFill="1">
      <alignment vertical="top"/>
    </xf>
    <xf numFmtId="0" fontId="2" fillId="17" borderId="0" xfId="16" applyFont="1" applyFill="1">
      <alignment vertical="top"/>
    </xf>
    <xf numFmtId="0" fontId="2" fillId="18" borderId="0" xfId="17" applyFont="1" applyFill="1">
      <alignment vertical="top"/>
    </xf>
    <xf numFmtId="0" fontId="2" fillId="19" borderId="0" xfId="18" applyFont="1" applyFill="1">
      <alignment vertical="top"/>
    </xf>
    <xf numFmtId="0" fontId="2" fillId="20" borderId="0" xfId="19" applyFont="1" applyFill="1">
      <alignment vertical="top"/>
    </xf>
    <xf numFmtId="0" fontId="2" fillId="21" borderId="0" xfId="20" applyFont="1" applyFill="1">
      <alignment vertical="top"/>
    </xf>
    <xf numFmtId="0" fontId="2" fillId="22" borderId="0" xfId="21" applyFont="1" applyFill="1">
      <alignment vertical="top"/>
    </xf>
    <xf numFmtId="0" fontId="2" fillId="23" borderId="0" xfId="22" applyFont="1" applyFill="1">
      <alignment vertical="top"/>
    </xf>
    <xf numFmtId="0" fontId="2" fillId="24" borderId="0" xfId="23" applyFont="1" applyFill="1">
      <alignment vertical="top"/>
    </xf>
    <xf numFmtId="0" fontId="2" fillId="25" borderId="0" xfId="24" applyFont="1" applyFill="1">
      <alignment vertical="top"/>
    </xf>
    <xf numFmtId="0" fontId="3" fillId="26" borderId="0" xfId="25" applyFont="1" applyFill="1">
      <alignment vertical="top"/>
    </xf>
    <xf numFmtId="0" fontId="4" fillId="27" borderId="1" xfId="26" applyFont="1" applyFill="1" applyBorder="1">
      <alignment vertical="top"/>
    </xf>
    <xf numFmtId="0" fontId="5" fillId="28" borderId="2" xfId="27" applyFont="1" applyFill="1" applyBorder="1">
      <alignment vertical="top"/>
    </xf>
    <xf numFmtId="241" fontId="36" fillId="0" borderId="0" xfId="28" applyFont="1" applyNumberFormat="1">
      <alignment vertical="top"/>
    </xf>
    <xf numFmtId="242" fontId="36" fillId="0" borderId="0" xfId="29" applyFont="1" applyNumberFormat="1">
      <alignment vertical="top"/>
    </xf>
    <xf numFmtId="243" fontId="36" fillId="0" borderId="0" xfId="30" applyFont="1" applyNumberFormat="1">
      <alignment vertical="top"/>
    </xf>
    <xf numFmtId="244" fontId="36" fillId="0" borderId="0" xfId="31" applyFont="1" applyNumberFormat="1">
      <alignment vertical="top"/>
    </xf>
    <xf numFmtId="0" fontId="7" fillId="0" borderId="0" xfId="32" applyFont="1">
      <alignment vertical="top"/>
    </xf>
    <xf numFmtId="0" fontId="8" fillId="29" borderId="0" xfId="33" applyFont="1" applyFill="1">
      <alignment vertical="top"/>
    </xf>
    <xf numFmtId="0" fontId="9" fillId="0" borderId="3" xfId="34" applyFont="1" applyBorder="1">
      <alignment vertical="top"/>
    </xf>
    <xf numFmtId="0" fontId="10" fillId="0" borderId="4" xfId="35" applyFont="1" applyBorder="1">
      <alignment vertical="top"/>
    </xf>
    <xf numFmtId="0" fontId="11" fillId="0" borderId="5" xfId="36" applyFont="1" applyBorder="1">
      <alignment vertical="top"/>
    </xf>
    <xf numFmtId="0" fontId="11" fillId="0" borderId="0" xfId="37" applyFont="1">
      <alignment vertical="top"/>
    </xf>
    <xf numFmtId="0" fontId="12" fillId="30" borderId="6" xfId="38" applyFont="1" applyFill="1" applyBorder="1">
      <alignment vertical="top"/>
    </xf>
    <xf numFmtId="0" fontId="13" fillId="0" borderId="7" xfId="39" applyFont="1" applyBorder="1">
      <alignment vertical="top"/>
    </xf>
    <xf numFmtId="0" fontId="14" fillId="31" borderId="0" xfId="40" applyFont="1" applyFill="1">
      <alignment vertical="top"/>
    </xf>
    <xf numFmtId="0" fontId="36" fillId="32" borderId="8" xfId="42" applyFont="1" applyFill="1" applyBorder="1">
      <alignment vertical="top"/>
    </xf>
    <xf numFmtId="0" fontId="16" fillId="27" borderId="9" xfId="43" applyFont="1" applyFill="1" applyBorder="1">
      <alignment vertical="top"/>
    </xf>
    <xf numFmtId="9" fontId="36" fillId="0" borderId="0" xfId="44" applyFont="1" applyNumberFormat="1">
      <alignment vertical="top"/>
    </xf>
    <xf numFmtId="0" fontId="17" fillId="0" borderId="0" xfId="45" applyFont="1">
      <alignment vertical="top"/>
    </xf>
    <xf numFmtId="0" fontId="18" fillId="0" borderId="10" xfId="46" applyFont="1" applyBorder="1">
      <alignment vertical="top"/>
    </xf>
    <xf numFmtId="0" fontId="19" fillId="0" borderId="0" xfId="47" applyFont="1">
      <alignment vertical="top"/>
    </xf>
    <xf numFmtId="0" fontId="20" fillId="0" borderId="0" xfId="0" applyFont="1"/>
    <xf numFmtId="245" fontId="20" fillId="0" borderId="0" xfId="0" applyFont="1" applyNumberFormat="1"/>
    <xf numFmtId="0" fontId="20" fillId="0" borderId="0" xfId="0" applyFont="1"/>
    <xf numFmtId="38" fontId="21" fillId="0" borderId="0" xfId="0" applyFont="1" applyNumberFormat="1">
      <alignment vertical="top"/>
    </xf>
    <xf numFmtId="0" fontId="22" fillId="0" borderId="6" xfId="0" applyFont="1" applyBorder="1">
      <alignment vertical="top"/>
      <protection locked="0"/>
    </xf>
    <xf numFmtId="0" fontId="22" fillId="0" borderId="6" xfId="0" applyFont="1" applyBorder="1">
      <alignment vertical="top"/>
      <protection locked="0"/>
    </xf>
    <xf numFmtId="246" fontId="23" fillId="33" borderId="0" xfId="0" applyFont="1" applyFill="1" applyNumberFormat="1">
      <protection locked="0"/>
    </xf>
    <xf numFmtId="0" fontId="24" fillId="0" borderId="0" xfId="0" applyFont="1">
      <alignment vertical="center"/>
    </xf>
    <xf numFmtId="0" fontId="24" fillId="0" borderId="0" xfId="0" applyFont="1">
      <alignment vertical="center"/>
    </xf>
    <xf numFmtId="247" fontId="23" fillId="33" borderId="0" xfId="0" applyFont="1" applyFill="1" applyNumberFormat="1">
      <protection locked="0"/>
    </xf>
    <xf numFmtId="248" fontId="23" fillId="33" borderId="0" xfId="0" applyFont="1" applyFill="1" applyNumberFormat="1">
      <protection locked="0"/>
    </xf>
    <xf numFmtId="0" fontId="25" fillId="0" borderId="0" xfId="0" applyFont="1">
      <alignment vertical="top"/>
    </xf>
    <xf numFmtId="0" fontId="25" fillId="0" borderId="0" xfId="0" applyFont="1">
      <alignment vertical="top"/>
    </xf>
    <xf numFmtId="0" fontId="22" fillId="34" borderId="6" xfId="0" applyFont="1" applyFill="1" applyBorder="1">
      <alignment vertical="top"/>
    </xf>
    <xf numFmtId="0" fontId="22" fillId="34" borderId="6" xfId="0" applyFont="1" applyFill="1" applyBorder="1">
      <alignment vertical="top"/>
    </xf>
    <xf numFmtId="0" fontId="26" fillId="0" borderId="0" xfId="58" applyFont="1">
      <alignment vertical="top"/>
    </xf>
    <xf numFmtId="0" fontId="15" fillId="0" borderId="0" xfId="0" applyFont="1">
      <alignment vertical="top"/>
    </xf>
    <xf numFmtId="0" fontId="27" fillId="0" borderId="0" xfId="0" applyFont="1"/>
    <xf numFmtId="0" fontId="27" fillId="0" borderId="0" xfId="0" applyFont="1"/>
    <xf numFmtId="0" fontId="28" fillId="35" borderId="11" xfId="0" applyFont="1" applyFill="1" applyBorder="1">
      <alignment horizontal="center" vertical="center"/>
    </xf>
    <xf numFmtId="0" fontId="12" fillId="30" borderId="6" xfId="0" applyFont="1" applyFill="1" applyBorder="1">
      <alignment vertical="top"/>
    </xf>
    <xf numFmtId="0" fontId="12" fillId="30" borderId="6" xfId="0" applyFont="1" applyFill="1" applyBorder="1">
      <alignment vertical="top"/>
    </xf>
    <xf numFmtId="0" fontId="29" fillId="0" borderId="0" xfId="0" applyFont="1">
      <alignment vertical="top"/>
    </xf>
    <xf numFmtId="0" fontId="30" fillId="0" borderId="0" xfId="0" applyFont="1">
      <alignment vertical="top"/>
    </xf>
    <xf numFmtId="0" fontId="31" fillId="0" borderId="0" xfId="0" applyFont="1">
      <alignment vertical="top"/>
    </xf>
    <xf numFmtId="0" fontId="31" fillId="0" borderId="0" xfId="0" applyFont="1">
      <alignment vertical="top"/>
    </xf>
    <xf numFmtId="0" fontId="32" fillId="0" borderId="0" xfId="0" applyFont="1">
      <alignment vertical="top"/>
    </xf>
    <xf numFmtId="0" fontId="32" fillId="0" borderId="0" xfId="0" applyFont="1">
      <alignment vertical="top"/>
    </xf>
    <xf numFmtId="0" fontId="30" fillId="0" borderId="0" xfId="0" applyFont="1">
      <alignment vertical="top"/>
    </xf>
    <xf numFmtId="0" fontId="29" fillId="0" borderId="0" xfId="0" applyFont="1">
      <alignment vertical="top"/>
    </xf>
    <xf numFmtId="0" fontId="33" fillId="0" borderId="0" xfId="0" applyFont="1">
      <alignment vertical="top"/>
    </xf>
    <xf numFmtId="0" fontId="33" fillId="0" borderId="0" xfId="0" applyFont="1">
      <alignment vertical="top"/>
    </xf>
    <xf numFmtId="0" fontId="36" fillId="36" borderId="6" xfId="0" applyFont="1" applyFill="1" applyBorder="1">
      <alignment vertical="top"/>
    </xf>
    <xf numFmtId="0" fontId="36" fillId="36" borderId="6" xfId="0" applyFont="1" applyFill="1" applyBorder="1">
      <alignment vertical="top"/>
    </xf>
    <xf numFmtId="0" fontId="34" fillId="0" borderId="0" xfId="0" applyFont="1">
      <alignment horizontal="center" vertical="center" wrapText="1"/>
    </xf>
    <xf numFmtId="0" fontId="35" fillId="0" borderId="0" xfId="0" applyFont="1">
      <alignment horizontal="center" vertical="center" wrapText="1"/>
    </xf>
    <xf numFmtId="0" fontId="1" fillId="0" borderId="0" xfId="0" applyFont="1"/>
    <xf numFmtId="0" fontId="1" fillId="0" borderId="0" xfId="0" applyFont="1"/>
    <xf numFmtId="0" fontId="36" fillId="0" borderId="0" xfId="0" applyFont="1"/>
    <xf numFmtId="0" fontId="36" fillId="0" borderId="0" xfId="0" applyFont="1"/>
    <xf numFmtId="49" fontId="0" fillId="0" borderId="0" xfId="0" applyFont="1" applyNumberFormat="1">
      <alignment vertical="top"/>
    </xf>
    <xf numFmtId="0" fontId="37" fillId="0" borderId="0" xfId="0" applyFont="1"/>
    <xf numFmtId="0" fontId="37" fillId="0" borderId="0" xfId="0" applyFont="1"/>
    <xf numFmtId="0" fontId="0" fillId="37" borderId="0" xfId="0" applyFont="1" applyFill="1">
      <alignment vertical="top"/>
    </xf>
    <xf numFmtId="0" fontId="0" fillId="37" borderId="0" xfId="0" applyFont="1" applyFill="1">
      <alignment vertical="top"/>
    </xf>
    <xf numFmtId="0" fontId="38" fillId="0" borderId="0" xfId="0" applyFont="1"/>
    <xf numFmtId="0" fontId="38" fillId="0" borderId="0" xfId="0" applyFont="1"/>
    <xf numFmtId="0" fontId="23" fillId="0" borderId="0" xfId="80" applyFont="1">
      <alignment horizontal="left" vertical="center"/>
    </xf>
    <xf numFmtId="0" fontId="39" fillId="0" borderId="0" xfId="81" applyFont="1"/>
    <xf numFmtId="0" fontId="40" fillId="0" borderId="0" xfId="0" applyFont="1">
      <alignment vertical="top"/>
    </xf>
    <xf numFmtId="0" fontId="40" fillId="0" borderId="0" xfId="0" applyFont="1">
      <alignment vertical="top"/>
    </xf>
    <xf numFmtId="0" fontId="23" fillId="0" borderId="0" xfId="0" applyFont="1">
      <alignment vertical="top" wrapText="1"/>
    </xf>
    <xf numFmtId="49" fontId="0" fillId="0" borderId="0" xfId="0" applyFont="1" applyNumberFormat="1">
      <alignment vertical="top"/>
    </xf>
    <xf numFmtId="49" fontId="23" fillId="38" borderId="12" xfId="0" applyFont="1" applyFill="1" applyBorder="1" applyNumberFormat="1">
      <alignment horizontal="center" vertical="top"/>
    </xf>
    <xf numFmtId="49" fontId="0" fillId="0" borderId="0" xfId="0" applyFont="1" applyNumberFormat="1">
      <alignment vertical="top"/>
    </xf>
    <xf numFmtId="0" fontId="23" fillId="0" borderId="0" xfId="0" applyFont="1"/>
    <xf numFmtId="0" fontId="23" fillId="36" borderId="0" xfId="0" applyFont="1" applyFill="1"/>
    <xf numFmtId="0" fontId="41" fillId="0" borderId="0" xfId="80" applyFont="1">
      <alignment vertical="center" wrapText="1"/>
    </xf>
    <xf numFmtId="0" fontId="42" fillId="0" borderId="0" xfId="80" applyFont="1">
      <alignment vertical="center" wrapText="1"/>
    </xf>
    <xf numFmtId="0" fontId="23" fillId="36" borderId="0" xfId="80" applyFont="1" applyFill="1">
      <alignment vertical="center" wrapText="1"/>
    </xf>
    <xf numFmtId="0" fontId="23" fillId="0" borderId="0" xfId="80" applyFont="1">
      <alignment vertical="center" wrapText="1"/>
    </xf>
    <xf numFmtId="0" fontId="43" fillId="36" borderId="0" xfId="80" applyFont="1" applyFill="1">
      <alignment vertical="center" wrapText="1"/>
    </xf>
    <xf numFmtId="0" fontId="23" fillId="36" borderId="0" xfId="80" applyFont="1" applyFill="1">
      <alignment horizontal="right" vertical="center" wrapText="1" indent="1"/>
    </xf>
    <xf numFmtId="0" fontId="23" fillId="36" borderId="0" xfId="80" applyFont="1" applyFill="1">
      <alignment horizontal="center" vertical="center" wrapText="1"/>
    </xf>
    <xf numFmtId="0" fontId="42" fillId="0" borderId="0" xfId="80" applyFont="1">
      <alignment horizontal="center" vertical="center" wrapText="1"/>
    </xf>
    <xf numFmtId="0" fontId="44" fillId="36" borderId="0" xfId="80" applyFont="1" applyFill="1">
      <alignment horizontal="center" vertical="center" wrapText="1"/>
    </xf>
    <xf numFmtId="0" fontId="23" fillId="0" borderId="0" xfId="80" applyFont="1">
      <alignment vertical="center"/>
    </xf>
    <xf numFmtId="49" fontId="23" fillId="36" borderId="0" xfId="80" applyFont="1" applyFill="1" applyNumberFormat="1">
      <alignment horizontal="right" vertical="center" wrapText="1" indent="1"/>
    </xf>
    <xf numFmtId="49" fontId="43" fillId="36" borderId="0" xfId="80" applyFont="1" applyFill="1" applyNumberFormat="1">
      <alignment horizontal="center" vertical="center" wrapText="1"/>
    </xf>
    <xf numFmtId="49" fontId="0" fillId="39" borderId="0" xfId="0" applyFont="1" applyFill="1" applyNumberFormat="1">
      <alignment vertical="top"/>
    </xf>
    <xf numFmtId="0" fontId="23" fillId="0" borderId="0" xfId="0" applyFont="1">
      <alignment vertical="center" wrapText="1"/>
    </xf>
    <xf numFmtId="0" fontId="23" fillId="36" borderId="0" xfId="0" applyFont="1" applyFill="1">
      <alignment vertical="center" wrapText="1"/>
    </xf>
    <xf numFmtId="0" fontId="23" fillId="36" borderId="0" xfId="0" applyFont="1" applyFill="1">
      <alignment horizontal="right" vertical="center" wrapText="1"/>
    </xf>
    <xf numFmtId="49" fontId="0" fillId="36" borderId="0" xfId="80" applyFont="1" applyFill="1" applyNumberFormat="1">
      <alignment horizontal="right" vertical="center" wrapText="1" indent="1"/>
    </xf>
    <xf numFmtId="49" fontId="45" fillId="36" borderId="0" xfId="0" applyFont="1" applyFill="1" applyNumberFormat="1">
      <alignment horizontal="center" vertical="center" wrapText="1"/>
    </xf>
    <xf numFmtId="49" fontId="0" fillId="0" borderId="0" xfId="0" applyFont="1" applyNumberFormat="1">
      <alignment vertical="top"/>
    </xf>
    <xf numFmtId="49" fontId="0" fillId="0" borderId="0" xfId="0" applyFont="1" applyNumberFormat="1">
      <alignment vertical="top"/>
    </xf>
    <xf numFmtId="0" fontId="46" fillId="36" borderId="0" xfId="0" applyFont="1" applyFill="1">
      <alignment horizontal="center" vertical="center" wrapText="1"/>
    </xf>
    <xf numFmtId="0" fontId="46" fillId="36" borderId="0" xfId="0" applyFont="1" applyFill="1">
      <alignment horizontal="center"/>
    </xf>
    <xf numFmtId="0" fontId="46" fillId="0" borderId="0" xfId="0" applyFont="1">
      <alignment horizontal="center" vertical="center"/>
    </xf>
    <xf numFmtId="0" fontId="46" fillId="36" borderId="0" xfId="0" applyFont="1" applyFill="1">
      <alignment horizontal="center" vertical="center"/>
    </xf>
    <xf numFmtId="49" fontId="47" fillId="0" borderId="6" xfId="0" applyFont="1" applyBorder="1" applyNumberFormat="1">
      <alignment vertical="top" wrapText="1"/>
    </xf>
    <xf numFmtId="0" fontId="0" fillId="0" borderId="6" xfId="0" applyFont="1" applyBorder="1">
      <alignment vertical="top" wrapText="1"/>
    </xf>
    <xf numFmtId="0" fontId="37" fillId="0" borderId="0" xfId="0" applyFont="1"/>
    <xf numFmtId="0" fontId="23" fillId="36" borderId="0" xfId="0" applyFont="1" applyFill="1">
      <alignment horizontal="center" vertical="center" wrapText="1"/>
    </xf>
    <xf numFmtId="0" fontId="48" fillId="36" borderId="0" xfId="0" applyFont="1" applyFill="1">
      <alignment vertical="center" wrapText="1"/>
    </xf>
    <xf numFmtId="0" fontId="48" fillId="0" borderId="0" xfId="0" applyFont="1">
      <alignment vertical="center" wrapText="1"/>
    </xf>
    <xf numFmtId="0" fontId="41" fillId="0" borderId="0" xfId="80" applyFont="1">
      <alignment horizontal="left" vertical="center" wrapText="1"/>
    </xf>
    <xf numFmtId="49" fontId="41" fillId="0" borderId="0" xfId="80" applyFont="1" applyNumberFormat="1">
      <alignment horizontal="left" vertical="center" wrapText="1"/>
    </xf>
    <xf numFmtId="0" fontId="0" fillId="0" borderId="0" xfId="0" applyFont="1">
      <alignment vertical="top"/>
    </xf>
    <xf numFmtId="49" fontId="0" fillId="0" borderId="0" xfId="0" applyFont="1" applyNumberFormat="1">
      <alignment horizontal="left" vertical="top"/>
    </xf>
    <xf numFmtId="49" fontId="23" fillId="0" borderId="0" xfId="0" applyFont="1" applyNumberFormat="1">
      <alignment vertical="center" wrapText="1"/>
    </xf>
    <xf numFmtId="49" fontId="23" fillId="0" borderId="0" xfId="0" applyFont="1" applyNumberFormat="1">
      <alignment vertical="top"/>
    </xf>
    <xf numFmtId="0" fontId="23" fillId="0" borderId="0" xfId="0" applyFont="1">
      <alignment vertical="center" wrapText="1"/>
    </xf>
    <xf numFmtId="0" fontId="0" fillId="0" borderId="0" xfId="0" applyFont="1">
      <alignment vertical="center"/>
    </xf>
    <xf numFmtId="0" fontId="23" fillId="36" borderId="13" xfId="0" applyFont="1" applyFill="1" applyBorder="1">
      <alignment horizontal="center" vertical="center" wrapText="1"/>
    </xf>
    <xf numFmtId="49" fontId="23" fillId="33" borderId="13" xfId="0" applyFont="1" applyFill="1" applyBorder="1" applyNumberFormat="1">
      <alignment horizontal="left" vertical="center" wrapText="1"/>
      <protection locked="0"/>
    </xf>
    <xf numFmtId="49" fontId="49" fillId="40" borderId="14" xfId="0" applyFont="1" applyFill="1" applyBorder="1" applyNumberFormat="1">
      <alignment horizontal="left" vertical="center"/>
    </xf>
    <xf numFmtId="0" fontId="0" fillId="0" borderId="13" xfId="0" applyFont="1" applyBorder="1">
      <alignment horizontal="center" vertical="center" wrapText="1"/>
    </xf>
    <xf numFmtId="0" fontId="23" fillId="40" borderId="15" xfId="0" applyFont="1" applyFill="1" applyBorder="1">
      <alignment vertical="center" wrapText="1"/>
    </xf>
    <xf numFmtId="0" fontId="23" fillId="0" borderId="13" xfId="0" applyFont="1" applyBorder="1">
      <alignment horizontal="center" vertical="center" wrapText="1"/>
    </xf>
    <xf numFmtId="0" fontId="50" fillId="0" borderId="0" xfId="0" applyFont="1">
      <alignment vertical="center"/>
    </xf>
    <xf numFmtId="49" fontId="23" fillId="0" borderId="13" xfId="0" applyFont="1" applyBorder="1" applyNumberFormat="1">
      <alignment horizontal="center" vertical="center" wrapText="1"/>
    </xf>
    <xf numFmtId="0" fontId="23" fillId="36" borderId="13" xfId="0" applyFont="1" applyFill="1" applyBorder="1">
      <alignment horizontal="center" vertical="center"/>
    </xf>
    <xf numFmtId="49" fontId="23" fillId="33" borderId="13" xfId="0" applyFont="1" applyFill="1" applyBorder="1" applyNumberFormat="1">
      <alignment horizontal="left" vertical="center" wrapText="1"/>
      <protection locked="0"/>
    </xf>
    <xf numFmtId="0" fontId="41" fillId="0" borderId="0" xfId="0" applyFont="1">
      <alignment vertical="center" wrapText="1"/>
    </xf>
    <xf numFmtId="0" fontId="51" fillId="0" borderId="0" xfId="0" applyFont="1">
      <alignment vertical="center" wrapText="1"/>
    </xf>
    <xf numFmtId="49" fontId="23" fillId="0" borderId="0" xfId="0" applyFont="1" applyNumberFormat="1">
      <alignment vertical="top"/>
    </xf>
    <xf numFmtId="49" fontId="41" fillId="0" borderId="0" xfId="0" applyFont="1" applyNumberFormat="1">
      <alignment vertical="top"/>
    </xf>
    <xf numFmtId="49" fontId="23" fillId="0" borderId="0" xfId="0" applyFont="1" applyNumberFormat="1">
      <alignment vertical="top"/>
    </xf>
    <xf numFmtId="49" fontId="46" fillId="0" borderId="0" xfId="0" applyFont="1" applyNumberFormat="1">
      <alignment horizontal="center" vertical="center"/>
    </xf>
    <xf numFmtId="49" fontId="23" fillId="0" borderId="0" xfId="0" applyFont="1" applyNumberFormat="1">
      <alignment vertical="top"/>
    </xf>
    <xf numFmtId="0" fontId="23" fillId="36" borderId="0" xfId="0" applyFont="1" applyFill="1"/>
    <xf numFmtId="0" fontId="52" fillId="36" borderId="0" xfId="0" applyFont="1" applyFill="1">
      <alignment horizontal="center" vertical="center" wrapText="1"/>
    </xf>
    <xf numFmtId="0" fontId="41" fillId="36" borderId="0" xfId="0" applyFont="1" applyFill="1"/>
    <xf numFmtId="49" fontId="23" fillId="0" borderId="0" xfId="0" applyFont="1" applyNumberFormat="1">
      <alignment vertical="top"/>
    </xf>
    <xf numFmtId="49" fontId="46" fillId="0" borderId="0" xfId="0" applyFont="1" applyNumberFormat="1">
      <alignment horizontal="center" vertical="center" wrapText="1"/>
    </xf>
    <xf numFmtId="0" fontId="23" fillId="36" borderId="13" xfId="0" applyFont="1" applyFill="1" applyBorder="1">
      <alignment horizontal="center" vertical="center" wrapText="1"/>
    </xf>
    <xf numFmtId="49" fontId="23" fillId="0" borderId="13" xfId="0" applyFont="1" applyBorder="1" applyNumberFormat="1">
      <alignment horizontal="center" vertical="center" wrapText="1"/>
    </xf>
    <xf numFmtId="49" fontId="53" fillId="40" borderId="16" xfId="0" applyFont="1" applyFill="1" applyBorder="1" applyNumberFormat="1">
      <alignment horizontal="center" vertical="top"/>
    </xf>
    <xf numFmtId="49" fontId="49" fillId="40" borderId="16" xfId="0" applyFont="1" applyFill="1" applyBorder="1" applyNumberFormat="1">
      <alignment horizontal="left" vertical="center"/>
    </xf>
    <xf numFmtId="49" fontId="23" fillId="0" borderId="0" xfId="0" applyFont="1" applyNumberFormat="1">
      <alignment horizontal="center" vertical="top"/>
    </xf>
    <xf numFmtId="0" fontId="50" fillId="0" borderId="0" xfId="0" applyFont="1">
      <alignment vertical="center"/>
    </xf>
    <xf numFmtId="0" fontId="0" fillId="0" borderId="0" xfId="0" applyFont="1">
      <alignment vertical="center"/>
    </xf>
    <xf numFmtId="0" fontId="0" fillId="0" borderId="0" xfId="80" applyFont="1">
      <alignment horizontal="center" vertical="center" wrapText="1"/>
    </xf>
    <xf numFmtId="49" fontId="23" fillId="0" borderId="0" xfId="80" applyFont="1" applyNumberFormat="1">
      <alignment horizontal="center" vertical="center" wrapText="1"/>
    </xf>
    <xf numFmtId="49" fontId="23" fillId="0" borderId="0" xfId="0" applyFont="1" applyNumberFormat="1">
      <alignment vertical="center" wrapText="1"/>
    </xf>
    <xf numFmtId="0" fontId="46" fillId="36" borderId="0" xfId="0" applyFont="1" applyFill="1">
      <alignment horizontal="center" vertical="center" wrapText="1"/>
    </xf>
    <xf numFmtId="49" fontId="54" fillId="0" borderId="0" xfId="0" applyFont="1" applyNumberFormat="1">
      <alignment horizontal="right" vertical="top"/>
    </xf>
    <xf numFmtId="49" fontId="54" fillId="0" borderId="0" xfId="0" applyFont="1" applyNumberFormat="1">
      <alignment vertical="top"/>
    </xf>
    <xf numFmtId="0" fontId="23" fillId="0" borderId="0" xfId="0" applyFont="1">
      <alignment horizontal="center" vertical="center" wrapText="1"/>
    </xf>
    <xf numFmtId="49" fontId="23" fillId="0" borderId="0" xfId="0" applyFont="1" applyNumberFormat="1">
      <alignment vertical="top"/>
    </xf>
    <xf numFmtId="0" fontId="0" fillId="0" borderId="0" xfId="0" applyFont="1">
      <alignment vertical="center"/>
    </xf>
    <xf numFmtId="0" fontId="22" fillId="0" borderId="0" xfId="0" applyFont="1">
      <alignment vertical="center" wrapText="1"/>
    </xf>
    <xf numFmtId="49" fontId="23" fillId="0" borderId="17" xfId="0" applyFont="1" applyBorder="1" applyNumberFormat="1">
      <alignment vertical="top"/>
    </xf>
    <xf numFmtId="0" fontId="37" fillId="0" borderId="0" xfId="0" applyFont="1"/>
    <xf numFmtId="49" fontId="55" fillId="0" borderId="0" xfId="0" applyFont="1" applyNumberFormat="1">
      <alignment vertical="top"/>
    </xf>
    <xf numFmtId="0" fontId="55" fillId="0" borderId="0" xfId="0" applyFont="1">
      <alignment vertical="center" wrapText="1"/>
    </xf>
    <xf numFmtId="49" fontId="0" fillId="36" borderId="13" xfId="0" applyFont="1" applyFill="1" applyBorder="1" applyNumberFormat="1">
      <alignment horizontal="center" vertical="center" wrapText="1"/>
    </xf>
    <xf numFmtId="0" fontId="41" fillId="0" borderId="0" xfId="80" applyFont="1">
      <alignment horizontal="left" vertical="center" wrapText="1"/>
    </xf>
    <xf numFmtId="49" fontId="23" fillId="0" borderId="13" xfId="0" applyFont="1" applyBorder="1" applyNumberFormat="1">
      <alignment horizontal="left" vertical="center" wrapText="1"/>
    </xf>
    <xf numFmtId="0" fontId="23" fillId="36" borderId="18" xfId="0" applyFont="1" applyFill="1" applyBorder="1">
      <alignment horizontal="center" vertical="center"/>
    </xf>
    <xf numFmtId="0" fontId="23" fillId="0" borderId="13" xfId="0" applyFont="1" applyBorder="1">
      <alignment vertical="center" wrapText="1"/>
    </xf>
    <xf numFmtId="0" fontId="56" fillId="0" borderId="0" xfId="0" applyFont="1">
      <alignment vertical="center" wrapText="1"/>
    </xf>
    <xf numFmtId="49" fontId="0" fillId="0" borderId="0" xfId="0" applyFont="1" applyNumberFormat="1">
      <alignment vertical="center"/>
    </xf>
    <xf numFmtId="49" fontId="0" fillId="0" borderId="0" xfId="0" applyFont="1" applyNumberFormat="1">
      <alignment vertical="top"/>
    </xf>
    <xf numFmtId="0" fontId="56" fillId="0" borderId="0" xfId="0" applyFont="1">
      <alignment vertical="center"/>
    </xf>
    <xf numFmtId="0" fontId="57" fillId="0" borderId="0" xfId="0" applyFont="1">
      <alignment vertical="center"/>
    </xf>
    <xf numFmtId="0" fontId="56" fillId="0" borderId="0" xfId="0" applyFont="1">
      <alignment vertical="center"/>
    </xf>
    <xf numFmtId="0" fontId="56" fillId="0" borderId="0" xfId="0" applyFont="1">
      <alignment vertical="center"/>
    </xf>
    <xf numFmtId="0" fontId="0" fillId="0" borderId="0" xfId="0" applyFont="1">
      <alignment vertical="top" wrapText="1"/>
    </xf>
    <xf numFmtId="49" fontId="23" fillId="0" borderId="13" xfId="0" applyFont="1" applyBorder="1" applyNumberFormat="1">
      <alignment horizontal="center" vertical="center" wrapText="1"/>
    </xf>
    <xf numFmtId="0" fontId="22" fillId="0" borderId="19" xfId="0" applyFont="1" applyBorder="1">
      <alignment vertical="top" wrapText="1"/>
    </xf>
    <xf numFmtId="49" fontId="0" fillId="0" borderId="13" xfId="0" applyFont="1" applyBorder="1" applyNumberFormat="1">
      <alignment vertical="top" wrapText="1"/>
    </xf>
    <xf numFmtId="0" fontId="0" fillId="0" borderId="13" xfId="0" applyFont="1" applyBorder="1">
      <alignment vertical="top" wrapText="1"/>
    </xf>
    <xf numFmtId="0" fontId="1" fillId="0" borderId="0" xfId="0" applyFont="1"/>
    <xf numFmtId="0" fontId="0" fillId="0" borderId="0" xfId="0" applyFont="1"/>
    <xf numFmtId="0" fontId="46" fillId="0" borderId="0" xfId="0" applyFont="1">
      <alignment horizontal="center" vertical="center" wrapText="1"/>
    </xf>
    <xf numFmtId="0" fontId="46" fillId="0" borderId="0" xfId="0" applyFont="1">
      <alignment horizontal="center" vertical="center" wrapText="1"/>
    </xf>
    <xf numFmtId="0" fontId="23" fillId="0" borderId="0" xfId="0" applyFont="1">
      <alignment horizontal="right" vertical="center" wrapText="1"/>
    </xf>
    <xf numFmtId="4" fontId="23" fillId="0" borderId="0" xfId="0" applyFont="1" applyNumberFormat="1">
      <alignment horizontal="right" vertical="center" wrapText="1"/>
    </xf>
    <xf numFmtId="0" fontId="23" fillId="0" borderId="0" xfId="0" applyFont="1">
      <alignment horizontal="left" vertical="center" wrapText="1" indent="1"/>
    </xf>
    <xf numFmtId="49" fontId="23" fillId="0" borderId="0" xfId="0" applyFont="1" applyNumberFormat="1">
      <alignment vertical="top"/>
    </xf>
    <xf numFmtId="4" fontId="23" fillId="0" borderId="0" xfId="0" applyFont="1" applyNumberFormat="1">
      <alignment horizontal="center" vertical="center" wrapText="1"/>
    </xf>
    <xf numFmtId="0" fontId="55" fillId="0" borderId="0" xfId="0" applyFont="1">
      <alignment vertical="center"/>
    </xf>
    <xf numFmtId="249" fontId="23" fillId="0" borderId="13" xfId="0" applyFont="1" applyBorder="1" applyNumberFormat="1">
      <alignment horizontal="center" vertical="center" wrapText="1"/>
    </xf>
    <xf numFmtId="49" fontId="55" fillId="40" borderId="20" xfId="0" applyFont="1" applyFill="1" applyBorder="1" applyNumberFormat="1">
      <alignment horizontal="left" vertical="center" wrapText="1"/>
    </xf>
    <xf numFmtId="49" fontId="0" fillId="40" borderId="16" xfId="0" applyFont="1" applyFill="1" applyBorder="1" applyNumberFormat="1">
      <alignment horizontal="left" vertical="center"/>
    </xf>
    <xf numFmtId="49" fontId="55" fillId="40" borderId="21" xfId="0" applyFont="1" applyFill="1" applyBorder="1" applyNumberFormat="1">
      <alignment horizontal="left" vertical="center" wrapText="1"/>
    </xf>
    <xf numFmtId="0" fontId="45" fillId="0" borderId="0" xfId="0" applyFont="1">
      <alignment horizontal="center" vertical="center" wrapText="1"/>
    </xf>
    <xf numFmtId="49" fontId="35" fillId="40" borderId="16" xfId="0" applyFont="1" applyFill="1" applyBorder="1" applyNumberFormat="1">
      <alignment horizontal="right" vertical="center" wrapText="1"/>
    </xf>
    <xf numFmtId="49" fontId="23" fillId="40" borderId="16" xfId="0" applyFont="1" applyFill="1" applyBorder="1" applyNumberFormat="1">
      <alignment horizontal="right" vertical="center" wrapText="1"/>
    </xf>
    <xf numFmtId="49" fontId="23" fillId="40" borderId="14" xfId="0" applyFont="1" applyFill="1" applyBorder="1" applyNumberFormat="1">
      <alignment horizontal="right" vertical="center" wrapText="1"/>
    </xf>
    <xf numFmtId="0" fontId="23" fillId="0" borderId="22" xfId="0" applyFont="1" applyBorder="1">
      <alignment vertical="center" wrapText="1"/>
    </xf>
    <xf numFmtId="0" fontId="54" fillId="0" borderId="0" xfId="0" applyFont="1">
      <alignment vertical="center" wrapText="1"/>
    </xf>
    <xf numFmtId="0" fontId="58" fillId="0" borderId="0" xfId="0" applyFont="1">
      <alignment horizontal="center" vertical="center" wrapText="1"/>
    </xf>
    <xf numFmtId="49" fontId="59" fillId="39" borderId="0" xfId="0" applyFont="1" applyFill="1" applyNumberFormat="1">
      <alignment vertical="top"/>
    </xf>
    <xf numFmtId="49" fontId="59" fillId="0" borderId="0" xfId="0" applyFont="1" applyNumberFormat="1">
      <alignment vertical="top"/>
    </xf>
    <xf numFmtId="0" fontId="55" fillId="0" borderId="0" xfId="0" applyFont="1">
      <alignment vertical="center"/>
    </xf>
    <xf numFmtId="49" fontId="0" fillId="40" borderId="16" xfId="0" applyFont="1" applyFill="1" applyBorder="1" applyNumberFormat="1">
      <alignment horizontal="right" vertical="center" wrapText="1"/>
    </xf>
    <xf numFmtId="49" fontId="0" fillId="0" borderId="0" xfId="0" applyFont="1" applyNumberFormat="1">
      <alignment vertical="top"/>
    </xf>
    <xf numFmtId="0" fontId="35" fillId="0" borderId="6" xfId="0" applyFont="1" applyBorder="1">
      <alignment vertical="center" wrapText="1"/>
    </xf>
    <xf numFmtId="0" fontId="22" fillId="0" borderId="0" xfId="80" applyFont="1">
      <alignment vertical="top" wrapText="1"/>
    </xf>
    <xf numFmtId="0" fontId="23" fillId="0" borderId="6" xfId="0" applyFont="1" applyBorder="1">
      <alignment vertical="center" wrapText="1"/>
    </xf>
    <xf numFmtId="49" fontId="23" fillId="0" borderId="0" xfId="0" applyFont="1" applyNumberFormat="1">
      <alignment vertical="top"/>
    </xf>
    <xf numFmtId="0" fontId="23" fillId="36" borderId="0" xfId="0" applyFont="1" applyFill="1">
      <alignment horizontal="right" vertical="center"/>
    </xf>
    <xf numFmtId="0" fontId="0" fillId="0" borderId="13" xfId="0" applyFont="1" applyBorder="1">
      <alignment horizontal="left" vertical="center" wrapText="1" indent="1"/>
    </xf>
    <xf numFmtId="0" fontId="0" fillId="41" borderId="13" xfId="0" applyFont="1" applyFill="1" applyBorder="1">
      <alignment horizontal="left" vertical="center" wrapText="1" indent="2"/>
      <protection locked="0"/>
    </xf>
    <xf numFmtId="49" fontId="56" fillId="0" borderId="0" xfId="0" applyFont="1" applyNumberFormat="1">
      <alignment vertical="top"/>
    </xf>
    <xf numFmtId="0" fontId="0" fillId="0" borderId="13" xfId="0" applyFont="1" applyBorder="1">
      <alignment vertical="center" wrapText="1"/>
    </xf>
    <xf numFmtId="0" fontId="0" fillId="0" borderId="13" xfId="0" applyFont="1" applyBorder="1">
      <alignment horizontal="center" vertical="center" wrapText="1"/>
    </xf>
    <xf numFmtId="0" fontId="0" fillId="41" borderId="13" xfId="0" applyFont="1" applyFill="1" applyBorder="1">
      <alignment horizontal="left" vertical="center" wrapText="1" indent="1"/>
      <protection locked="0"/>
    </xf>
    <xf numFmtId="49" fontId="49" fillId="40" borderId="16" xfId="0" applyFont="1" applyFill="1" applyBorder="1" applyNumberFormat="1">
      <alignment horizontal="left" vertical="center" indent="3"/>
    </xf>
    <xf numFmtId="49" fontId="53" fillId="40" borderId="14" xfId="0" applyFont="1" applyFill="1" applyBorder="1" applyNumberFormat="1">
      <alignment horizontal="center" vertical="top"/>
    </xf>
    <xf numFmtId="0" fontId="22" fillId="0" borderId="0" xfId="0" applyFont="1">
      <alignment horizontal="right" vertical="top" wrapText="1"/>
    </xf>
    <xf numFmtId="49" fontId="49" fillId="40" borderId="16" xfId="0" applyFont="1" applyFill="1" applyBorder="1" applyNumberFormat="1">
      <alignment horizontal="left" vertical="center" indent="1"/>
    </xf>
    <xf numFmtId="49" fontId="49" fillId="40" borderId="16" xfId="0" applyFont="1" applyFill="1" applyBorder="1" applyNumberFormat="1">
      <alignment horizontal="left" vertical="center" indent="2"/>
    </xf>
    <xf numFmtId="0" fontId="0" fillId="0" borderId="13" xfId="0" applyFont="1" applyBorder="1">
      <alignment horizontal="left" vertical="center" wrapText="1" indent="1"/>
    </xf>
    <xf numFmtId="0" fontId="0" fillId="0" borderId="13" xfId="0" applyFont="1" applyBorder="1">
      <alignment horizontal="left" vertical="center" wrapText="1" indent="2"/>
    </xf>
    <xf numFmtId="49" fontId="23" fillId="42" borderId="13" xfId="0" applyFont="1" applyFill="1" applyBorder="1" applyNumberFormat="1">
      <alignment horizontal="left" vertical="center" wrapText="1"/>
    </xf>
    <xf numFmtId="0" fontId="23" fillId="0" borderId="13" xfId="0" applyFont="1" applyBorder="1">
      <alignment vertical="top" wrapText="1"/>
    </xf>
    <xf numFmtId="49" fontId="23" fillId="33" borderId="13" xfId="0" applyFont="1" applyFill="1" applyBorder="1" applyNumberFormat="1">
      <alignment horizontal="left" vertical="center" wrapText="1"/>
      <protection locked="0"/>
    </xf>
    <xf numFmtId="0" fontId="46" fillId="0" borderId="0" xfId="0" applyFont="1">
      <alignment horizontal="center" vertical="center" wrapText="1"/>
    </xf>
    <xf numFmtId="49" fontId="0" fillId="0" borderId="18" xfId="0" applyFont="1" applyBorder="1" applyNumberFormat="1">
      <alignment vertical="top"/>
    </xf>
    <xf numFmtId="0" fontId="56" fillId="0" borderId="0" xfId="0" applyFont="1">
      <alignment vertical="center"/>
    </xf>
    <xf numFmtId="0" fontId="36" fillId="0" borderId="0" xfId="0" applyFont="1">
      <alignment vertical="center"/>
    </xf>
    <xf numFmtId="49" fontId="29" fillId="41" borderId="13" xfId="0" applyFont="1" applyFill="1" applyBorder="1" applyNumberFormat="1">
      <alignment horizontal="left" vertical="center" wrapText="1"/>
      <protection locked="0"/>
    </xf>
    <xf numFmtId="49" fontId="53" fillId="40" borderId="14" xfId="0" applyFont="1" applyFill="1" applyBorder="1" applyNumberFormat="1">
      <alignment horizontal="center" vertical="top"/>
    </xf>
    <xf numFmtId="0" fontId="0" fillId="38" borderId="13" xfId="80" applyFont="1" applyFill="1" applyBorder="1">
      <alignment horizontal="left" vertical="center" wrapText="1" indent="1"/>
    </xf>
    <xf numFmtId="49" fontId="23" fillId="41" borderId="13" xfId="80" applyFont="1" applyFill="1" applyBorder="1" applyNumberFormat="1">
      <alignment horizontal="left" vertical="center" wrapText="1" indent="1"/>
      <protection locked="0"/>
    </xf>
    <xf numFmtId="49" fontId="23" fillId="38" borderId="13" xfId="80" applyFont="1" applyFill="1" applyBorder="1" applyNumberFormat="1">
      <alignment horizontal="left" vertical="center" wrapText="1" indent="1"/>
    </xf>
    <xf numFmtId="49" fontId="23" fillId="0" borderId="13" xfId="80" applyFont="1" applyBorder="1" applyNumberFormat="1">
      <alignment horizontal="left" vertical="center" wrapText="1" indent="1"/>
    </xf>
    <xf numFmtId="0" fontId="23" fillId="0" borderId="13" xfId="0" applyFont="1" applyBorder="1">
      <alignment horizontal="center" vertical="center" wrapText="1"/>
    </xf>
    <xf numFmtId="0" fontId="22" fillId="0" borderId="0" xfId="0" applyFont="1">
      <alignment vertical="center" wrapText="1"/>
    </xf>
    <xf numFmtId="0" fontId="56" fillId="0" borderId="0" xfId="0" applyFont="1">
      <alignment horizontal="center" vertical="center" wrapText="1"/>
    </xf>
    <xf numFmtId="0" fontId="0" fillId="0" borderId="13" xfId="0" applyFont="1" applyBorder="1">
      <alignment horizontal="left" vertical="center" wrapText="1"/>
    </xf>
    <xf numFmtId="49" fontId="45" fillId="0" borderId="16" xfId="0" applyFont="1" applyBorder="1" applyNumberFormat="1">
      <alignment horizontal="center" vertical="center" wrapText="1"/>
    </xf>
    <xf numFmtId="0" fontId="60" fillId="0" borderId="0" xfId="0" applyFont="1">
      <alignment vertical="center"/>
    </xf>
    <xf numFmtId="0" fontId="61" fillId="0" borderId="0" xfId="0" applyFont="1">
      <alignment vertical="center"/>
    </xf>
    <xf numFmtId="0" fontId="56" fillId="0" borderId="0" xfId="0" applyFont="1">
      <alignment vertical="center"/>
    </xf>
    <xf numFmtId="0" fontId="56" fillId="0" borderId="0" xfId="0" applyFont="1">
      <alignment horizontal="left" vertical="center" wrapText="1" indent="1"/>
    </xf>
    <xf numFmtId="0" fontId="55" fillId="0" borderId="0" xfId="0" applyFont="1">
      <alignment horizontal="left" vertical="center" wrapText="1" indent="1"/>
    </xf>
    <xf numFmtId="0" fontId="62" fillId="0" borderId="0" xfId="0" applyFont="1">
      <alignment horizontal="left" vertical="center" wrapText="1" indent="1"/>
    </xf>
    <xf numFmtId="0" fontId="63" fillId="0" borderId="0" xfId="0" applyFont="1">
      <alignment horizontal="left" vertical="center" indent="1"/>
    </xf>
    <xf numFmtId="0" fontId="62" fillId="0" borderId="0" xfId="0" applyFont="1">
      <alignment vertical="center" wrapText="1"/>
    </xf>
    <xf numFmtId="0" fontId="64" fillId="0" borderId="0" xfId="80" applyFont="1">
      <alignment horizontal="left" vertical="center" wrapText="1"/>
    </xf>
    <xf numFmtId="0" fontId="65" fillId="0" borderId="0" xfId="80" applyFont="1">
      <alignment vertical="center" wrapText="1"/>
    </xf>
    <xf numFmtId="0" fontId="66" fillId="36" borderId="0" xfId="80" applyFont="1" applyFill="1">
      <alignment vertical="center" wrapText="1"/>
    </xf>
    <xf numFmtId="0" fontId="67" fillId="36" borderId="0" xfId="80" applyFont="1" applyFill="1">
      <alignment horizontal="right" vertical="center" wrapText="1" indent="1"/>
    </xf>
    <xf numFmtId="0" fontId="66" fillId="0" borderId="0" xfId="80" applyFont="1">
      <alignment vertical="center" wrapText="1"/>
    </xf>
    <xf numFmtId="0" fontId="66" fillId="36" borderId="0" xfId="80" applyFont="1" applyFill="1">
      <alignment horizontal="right" vertical="center" wrapText="1" indent="1"/>
    </xf>
    <xf numFmtId="0" fontId="68" fillId="36" borderId="0" xfId="80" applyFont="1" applyFill="1">
      <alignment horizontal="center" vertical="center" wrapText="1"/>
    </xf>
    <xf numFmtId="0" fontId="64" fillId="36" borderId="0" xfId="80" applyFont="1" applyFill="1">
      <alignment horizontal="center" vertical="center" wrapText="1"/>
    </xf>
    <xf numFmtId="0" fontId="66" fillId="36" borderId="0" xfId="80" applyFont="1" applyFill="1">
      <alignment horizontal="left" vertical="center" wrapText="1" indent="1"/>
    </xf>
    <xf numFmtId="0" fontId="69" fillId="0" borderId="0" xfId="80" applyFont="1">
      <alignment horizontal="left" vertical="center" wrapText="1"/>
    </xf>
    <xf numFmtId="0" fontId="69" fillId="0" borderId="0" xfId="80" applyFont="1">
      <alignment vertical="center" wrapText="1"/>
    </xf>
    <xf numFmtId="0" fontId="66" fillId="0" borderId="0" xfId="80" applyFont="1">
      <alignment vertical="center" wrapText="1"/>
    </xf>
    <xf numFmtId="0" fontId="66" fillId="0" borderId="0" xfId="80" applyFont="1">
      <alignment horizontal="right" vertical="center"/>
    </xf>
    <xf numFmtId="49" fontId="23" fillId="0" borderId="0" xfId="0" applyFont="1" applyNumberFormat="1">
      <alignment vertical="center" wrapText="1"/>
    </xf>
    <xf numFmtId="0" fontId="0" fillId="0" borderId="0" xfId="0" applyFont="1">
      <alignment horizontal="left" vertical="center" indent="1"/>
    </xf>
    <xf numFmtId="0" fontId="56" fillId="0" borderId="0" xfId="0" applyFont="1">
      <alignment horizontal="left" vertical="center" indent="1"/>
    </xf>
    <xf numFmtId="0" fontId="56" fillId="0" borderId="0" xfId="0" applyFont="1">
      <alignment horizontal="left" vertical="center" indent="1"/>
    </xf>
    <xf numFmtId="0" fontId="56" fillId="0" borderId="23" xfId="0" applyFont="1" applyBorder="1">
      <alignment vertical="center"/>
    </xf>
    <xf numFmtId="0" fontId="23" fillId="0" borderId="13" xfId="0" applyFont="1" applyBorder="1">
      <alignment horizontal="center" vertical="center" wrapText="1"/>
    </xf>
    <xf numFmtId="0" fontId="0" fillId="0" borderId="13" xfId="0" applyFont="1" applyBorder="1">
      <alignment horizontal="center" vertical="center"/>
    </xf>
    <xf numFmtId="49" fontId="0" fillId="0" borderId="13" xfId="0" applyFont="1" applyBorder="1" applyNumberFormat="1">
      <alignment horizontal="center" vertical="center"/>
    </xf>
    <xf numFmtId="49" fontId="0" fillId="0" borderId="13" xfId="0" applyFont="1" applyBorder="1" applyNumberFormat="1">
      <alignment horizontal="left" vertical="center"/>
    </xf>
    <xf numFmtId="49" fontId="23" fillId="0" borderId="0" xfId="0" applyFont="1" applyNumberFormat="1">
      <alignment vertical="top"/>
    </xf>
    <xf numFmtId="0" fontId="23" fillId="0" borderId="0" xfId="0" applyFont="1">
      <alignment horizontal="left" vertical="center" wrapText="1" indent="2"/>
    </xf>
    <xf numFmtId="0" fontId="23" fillId="0" borderId="13" xfId="0" applyFont="1" applyBorder="1">
      <alignment vertical="top" wrapText="1"/>
    </xf>
    <xf numFmtId="0" fontId="0" fillId="41" borderId="13" xfId="0" applyFont="1" applyFill="1" applyBorder="1">
      <alignment horizontal="left" vertical="center" wrapText="1"/>
      <protection locked="0"/>
    </xf>
    <xf numFmtId="0" fontId="23" fillId="0" borderId="13" xfId="0" applyFont="1" applyBorder="1">
      <alignment horizontal="left" vertical="top" wrapText="1"/>
    </xf>
    <xf numFmtId="0" fontId="23" fillId="0" borderId="13" xfId="0" applyFont="1" applyBorder="1">
      <alignment horizontal="left" vertical="center" wrapText="1"/>
    </xf>
    <xf numFmtId="0" fontId="23" fillId="0" borderId="13" xfId="0" applyFont="1" applyBorder="1">
      <alignment horizontal="center" vertical="center" wrapText="1"/>
    </xf>
    <xf numFmtId="49" fontId="23" fillId="0" borderId="18" xfId="0" applyFont="1" applyBorder="1" applyNumberFormat="1">
      <alignment horizontal="left" vertical="center" wrapText="1"/>
    </xf>
    <xf numFmtId="49" fontId="35" fillId="40" borderId="15" xfId="0" applyFont="1" applyFill="1" applyBorder="1" applyNumberFormat="1">
      <alignment horizontal="center" vertical="center"/>
    </xf>
    <xf numFmtId="49" fontId="49" fillId="40" borderId="14" xfId="0" applyFont="1" applyFill="1" applyBorder="1" applyNumberFormat="1">
      <alignment horizontal="left" vertical="center"/>
    </xf>
    <xf numFmtId="0" fontId="23" fillId="0" borderId="0" xfId="0" applyFont="1"/>
    <xf numFmtId="0" fontId="70" fillId="0" borderId="0" xfId="0" applyFont="1">
      <alignment vertical="center" wrapText="1"/>
    </xf>
    <xf numFmtId="0" fontId="70" fillId="0" borderId="0" xfId="0" applyFont="1">
      <alignment vertical="center" wrapText="1"/>
    </xf>
    <xf numFmtId="0" fontId="70" fillId="0" borderId="0" xfId="0" applyFont="1"/>
    <xf numFmtId="49" fontId="71" fillId="0" borderId="0" xfId="0" applyFont="1" applyNumberFormat="1">
      <alignment vertical="top"/>
    </xf>
    <xf numFmtId="49" fontId="72" fillId="0" borderId="0" xfId="0" applyFont="1" applyNumberFormat="1">
      <alignment vertical="top"/>
    </xf>
    <xf numFmtId="0" fontId="23" fillId="0" borderId="0" xfId="80" applyFont="1">
      <alignment horizontal="center" vertical="center" wrapText="1"/>
    </xf>
    <xf numFmtId="49" fontId="23" fillId="41" borderId="13" xfId="0" applyFont="1" applyFill="1" applyBorder="1" applyNumberFormat="1">
      <alignment horizontal="left" vertical="center" wrapText="1" indent="1"/>
      <protection locked="0"/>
    </xf>
    <xf numFmtId="0" fontId="56" fillId="0" borderId="0" xfId="0" applyFont="1">
      <alignment vertical="top"/>
    </xf>
    <xf numFmtId="49" fontId="56" fillId="0" borderId="0" xfId="0" applyFont="1" applyNumberFormat="1">
      <alignment vertical="top"/>
    </xf>
    <xf numFmtId="0" fontId="0" fillId="0" borderId="0" xfId="0" applyFont="1">
      <alignment vertical="top"/>
    </xf>
    <xf numFmtId="49" fontId="23" fillId="0" borderId="13" xfId="0" applyFont="1" applyBorder="1" applyNumberFormat="1">
      <alignment horizontal="right" vertical="center"/>
    </xf>
    <xf numFmtId="0" fontId="73" fillId="0" borderId="0" xfId="0" applyFont="1">
      <alignment vertical="center"/>
    </xf>
    <xf numFmtId="0" fontId="56" fillId="0" borderId="0" xfId="0" applyFont="1">
      <alignment vertical="center"/>
    </xf>
    <xf numFmtId="0" fontId="22" fillId="0" borderId="0" xfId="0" applyFont="1">
      <alignment horizontal="center" vertical="center" wrapText="1"/>
    </xf>
    <xf numFmtId="0" fontId="0" fillId="0" borderId="0" xfId="0" applyFont="1">
      <alignment horizontal="center" vertical="center"/>
    </xf>
    <xf numFmtId="0" fontId="56" fillId="0" borderId="0" xfId="0" applyFont="1">
      <alignment vertical="center" wrapText="1"/>
    </xf>
    <xf numFmtId="0" fontId="23" fillId="0" borderId="13" xfId="0" applyFont="1" applyBorder="1">
      <alignment horizontal="left" vertical="center" wrapText="1"/>
    </xf>
    <xf numFmtId="0" fontId="74" fillId="0" borderId="0" xfId="0" applyFont="1">
      <alignment vertical="center"/>
    </xf>
    <xf numFmtId="49" fontId="45" fillId="36" borderId="0" xfId="0" applyFont="1" applyFill="1" applyNumberFormat="1">
      <alignment horizontal="center" vertical="center" wrapText="1"/>
    </xf>
    <xf numFmtId="0" fontId="0" fillId="0" borderId="0" xfId="0" applyFont="1">
      <alignment vertical="center"/>
    </xf>
    <xf numFmtId="0" fontId="23" fillId="0" borderId="13" xfId="0" applyFont="1" applyBorder="1">
      <alignment horizontal="center" vertical="center" wrapText="1"/>
    </xf>
    <xf numFmtId="49" fontId="23" fillId="0" borderId="13" xfId="0" applyFont="1" applyBorder="1" applyNumberFormat="1">
      <alignment horizontal="center" vertical="center" wrapText="1"/>
    </xf>
    <xf numFmtId="0" fontId="23" fillId="36" borderId="13" xfId="0" applyFont="1" applyFill="1" applyBorder="1">
      <alignment horizontal="left" vertical="center" wrapText="1" indent="4"/>
    </xf>
    <xf numFmtId="0" fontId="23" fillId="36" borderId="13" xfId="0" applyFont="1" applyFill="1" applyBorder="1">
      <alignment horizontal="left" vertical="center" wrapText="1" indent="5"/>
    </xf>
    <xf numFmtId="49" fontId="49" fillId="40" borderId="16" xfId="0" applyFont="1" applyFill="1" applyBorder="1" applyNumberFormat="1">
      <alignment horizontal="left" vertical="center" indent="5"/>
    </xf>
    <xf numFmtId="49" fontId="49" fillId="40" borderId="16" xfId="0" applyFont="1" applyFill="1" applyBorder="1" applyNumberFormat="1">
      <alignment horizontal="left" vertical="center" indent="6"/>
    </xf>
    <xf numFmtId="0" fontId="23" fillId="0" borderId="13" xfId="0" applyFont="1" applyBorder="1">
      <alignment vertical="center" wrapText="1"/>
    </xf>
    <xf numFmtId="0" fontId="22" fillId="0" borderId="0" xfId="0" applyFont="1">
      <alignment vertical="center" wrapText="1"/>
    </xf>
    <xf numFmtId="0" fontId="75" fillId="36" borderId="0" xfId="0" applyFont="1" applyFill="1">
      <alignment vertical="center" wrapText="1"/>
    </xf>
    <xf numFmtId="49" fontId="23" fillId="0" borderId="13" xfId="0" applyFont="1" applyBorder="1" applyNumberFormat="1">
      <alignment horizontal="center" vertical="center" wrapText="1"/>
    </xf>
    <xf numFmtId="49" fontId="0" fillId="0" borderId="0" xfId="0" applyFont="1" applyNumberFormat="1">
      <alignment vertical="top"/>
    </xf>
    <xf numFmtId="49" fontId="49" fillId="40" borderId="15" xfId="0" applyFont="1" applyFill="1" applyBorder="1" applyNumberFormat="1">
      <alignment horizontal="left" vertical="center" indent="1"/>
    </xf>
    <xf numFmtId="0" fontId="0" fillId="36" borderId="13" xfId="80" applyFont="1" applyFill="1" applyBorder="1">
      <alignment horizontal="right" vertical="center" wrapText="1" indent="1"/>
    </xf>
    <xf numFmtId="49" fontId="0" fillId="0" borderId="13" xfId="0" applyFont="1" applyBorder="1" applyNumberFormat="1">
      <alignment horizontal="left" vertical="center"/>
    </xf>
    <xf numFmtId="0" fontId="23" fillId="0" borderId="13" xfId="0" applyFont="1" applyBorder="1">
      <alignment vertical="top" wrapText="1"/>
    </xf>
    <xf numFmtId="0" fontId="23" fillId="0" borderId="13" xfId="0" applyFont="1" applyBorder="1">
      <alignment vertical="center" wrapText="1"/>
    </xf>
    <xf numFmtId="0" fontId="73" fillId="0" borderId="0" xfId="0" applyFont="1">
      <alignment vertical="center"/>
    </xf>
    <xf numFmtId="0" fontId="23" fillId="0" borderId="13" xfId="0" applyFont="1" applyBorder="1">
      <alignment horizontal="left" vertical="center" wrapText="1" indent="6"/>
    </xf>
    <xf numFmtId="0" fontId="23" fillId="0" borderId="18" xfId="0" applyFont="1" applyBorder="1">
      <alignment vertical="center" wrapText="1"/>
    </xf>
    <xf numFmtId="0" fontId="23" fillId="0" borderId="24" xfId="0" applyFont="1" applyBorder="1">
      <alignment vertical="center" wrapText="1"/>
    </xf>
    <xf numFmtId="49" fontId="0" fillId="40" borderId="14" xfId="0" applyFont="1" applyFill="1" applyBorder="1" applyNumberFormat="1">
      <alignment horizontal="center" vertical="center" wrapText="1"/>
    </xf>
    <xf numFmtId="0" fontId="0" fillId="0" borderId="15" xfId="0" applyFont="1" applyBorder="1">
      <alignment vertical="center"/>
    </xf>
    <xf numFmtId="247" fontId="0" fillId="41" borderId="13" xfId="0" applyFont="1" applyFill="1" applyBorder="1" applyNumberFormat="1">
      <alignment horizontal="right" vertical="center"/>
      <protection locked="0"/>
    </xf>
    <xf numFmtId="0" fontId="0" fillId="36" borderId="15" xfId="80" applyFont="1" applyFill="1" applyBorder="1">
      <alignment horizontal="right" vertical="center" wrapText="1" indent="1"/>
    </xf>
    <xf numFmtId="49" fontId="41" fillId="0" borderId="0" xfId="0" applyFont="1" applyNumberFormat="1">
      <alignment vertical="top"/>
    </xf>
    <xf numFmtId="0" fontId="48" fillId="36" borderId="0" xfId="0" applyFont="1" applyFill="1">
      <alignment vertical="center" wrapText="1"/>
    </xf>
    <xf numFmtId="49" fontId="76" fillId="40" borderId="15" xfId="0" applyFont="1" applyFill="1" applyBorder="1" applyNumberFormat="1">
      <alignment horizontal="center" vertical="center"/>
    </xf>
    <xf numFmtId="0" fontId="23" fillId="36" borderId="13" xfId="0" applyFont="1" applyFill="1" applyBorder="1">
      <alignment horizontal="left" vertical="center" wrapText="1" indent="1"/>
    </xf>
    <xf numFmtId="0" fontId="23" fillId="36" borderId="13" xfId="0" applyFont="1" applyFill="1" applyBorder="1">
      <alignment horizontal="left" vertical="center" wrapText="1" indent="2"/>
    </xf>
    <xf numFmtId="0" fontId="23" fillId="36" borderId="13" xfId="0" applyFont="1" applyFill="1" applyBorder="1">
      <alignment horizontal="left" vertical="center" wrapText="1" indent="3"/>
    </xf>
    <xf numFmtId="0" fontId="23" fillId="0" borderId="13" xfId="0" applyFont="1" applyBorder="1">
      <alignment horizontal="left" vertical="center" wrapText="1" indent="4"/>
    </xf>
    <xf numFmtId="49" fontId="49" fillId="40" borderId="15" xfId="0" applyFont="1" applyFill="1" applyBorder="1" applyNumberFormat="1">
      <alignment vertical="center" wrapText="1"/>
    </xf>
    <xf numFmtId="49" fontId="49" fillId="40" borderId="16" xfId="0" applyFont="1" applyFill="1" applyBorder="1" applyNumberFormat="1">
      <alignment vertical="center"/>
    </xf>
    <xf numFmtId="49" fontId="49" fillId="40" borderId="16" xfId="0" applyFont="1" applyFill="1" applyBorder="1" applyNumberFormat="1">
      <alignment vertical="center" wrapText="1"/>
    </xf>
    <xf numFmtId="0" fontId="23" fillId="0" borderId="13" xfId="0" applyFont="1" applyBorder="1">
      <alignment vertical="center" wrapText="1"/>
    </xf>
    <xf numFmtId="49" fontId="23" fillId="0" borderId="13" xfId="0" applyFont="1" applyBorder="1" applyNumberFormat="1">
      <alignment vertical="center" wrapText="1"/>
    </xf>
    <xf numFmtId="0" fontId="23" fillId="0" borderId="0" xfId="0" applyFont="1">
      <alignment vertical="top" wrapText="1"/>
    </xf>
    <xf numFmtId="49" fontId="49" fillId="40" borderId="15" xfId="0" applyFont="1" applyFill="1" applyBorder="1" applyNumberFormat="1">
      <alignment horizontal="left" vertical="center"/>
    </xf>
    <xf numFmtId="49" fontId="0" fillId="0" borderId="13" xfId="0" applyFont="1" applyBorder="1" applyNumberFormat="1">
      <alignment vertical="center" wrapText="1"/>
    </xf>
    <xf numFmtId="0" fontId="0" fillId="40" borderId="16" xfId="0" applyFont="1" applyFill="1" applyBorder="1">
      <alignment vertical="center"/>
    </xf>
    <xf numFmtId="49" fontId="0" fillId="0" borderId="0" xfId="0" applyFont="1" applyNumberFormat="1">
      <alignment vertical="top"/>
    </xf>
    <xf numFmtId="0" fontId="0" fillId="0" borderId="0" xfId="0" applyFont="1">
      <alignment vertical="center"/>
    </xf>
    <xf numFmtId="0" fontId="49" fillId="40" borderId="15" xfId="0" applyFont="1" applyFill="1" applyBorder="1">
      <alignment horizontal="left" vertical="center"/>
    </xf>
    <xf numFmtId="0" fontId="49" fillId="40" borderId="16" xfId="0" applyFont="1" applyFill="1" applyBorder="1">
      <alignment horizontal="left" vertical="center"/>
    </xf>
    <xf numFmtId="0" fontId="49" fillId="40" borderId="14" xfId="0" applyFont="1" applyFill="1" applyBorder="1">
      <alignment horizontal="left" vertical="center"/>
    </xf>
    <xf numFmtId="0" fontId="0" fillId="0" borderId="0" xfId="0" applyFont="1">
      <alignment vertical="center"/>
    </xf>
    <xf numFmtId="49" fontId="0" fillId="0" borderId="0" xfId="0" applyFont="1" applyNumberFormat="1">
      <alignment vertical="center"/>
    </xf>
    <xf numFmtId="0" fontId="0" fillId="0" borderId="0" xfId="80" applyFont="1">
      <alignment horizontal="right" vertical="center" wrapText="1" indent="1"/>
    </xf>
    <xf numFmtId="0" fontId="35" fillId="36" borderId="0" xfId="0" applyFont="1" applyFill="1">
      <alignment horizontal="center" vertical="center" wrapText="1"/>
    </xf>
    <xf numFmtId="49" fontId="76" fillId="40" borderId="16" xfId="0" applyFont="1" applyFill="1" applyBorder="1" applyNumberFormat="1">
      <alignment horizontal="left" vertical="center"/>
    </xf>
    <xf numFmtId="0" fontId="23" fillId="0" borderId="0" xfId="0" applyFont="1">
      <alignment vertical="center" wrapText="1"/>
    </xf>
    <xf numFmtId="49" fontId="23" fillId="40" borderId="14" xfId="0" applyFont="1" applyFill="1" applyBorder="1" applyNumberFormat="1">
      <alignment horizontal="center" vertical="center" wrapText="1"/>
    </xf>
    <xf numFmtId="4" fontId="23" fillId="0" borderId="13" xfId="0" applyFont="1" applyBorder="1" applyNumberFormat="1">
      <alignment horizontal="right" vertical="center" wrapText="1"/>
    </xf>
    <xf numFmtId="49" fontId="0" fillId="40" borderId="16" xfId="0" applyFont="1" applyFill="1" applyBorder="1" applyNumberFormat="1">
      <alignment horizontal="center" vertical="center" wrapText="1"/>
    </xf>
    <xf numFmtId="0" fontId="23" fillId="0" borderId="0" xfId="0" applyFont="1">
      <alignment vertical="center" wrapText="1"/>
    </xf>
    <xf numFmtId="0" fontId="23" fillId="0" borderId="0" xfId="0" applyFont="1">
      <alignment vertical="center" wrapText="1"/>
    </xf>
    <xf numFmtId="4" fontId="56" fillId="0" borderId="13" xfId="0" applyFont="1" applyBorder="1" applyNumberFormat="1">
      <alignment horizontal="center" vertical="center" wrapText="1"/>
    </xf>
    <xf numFmtId="0" fontId="0" fillId="0" borderId="0" xfId="0" applyFont="1">
      <alignment vertical="center"/>
    </xf>
    <xf numFmtId="0" fontId="0" fillId="0" borderId="13" xfId="0" applyFont="1" applyBorder="1">
      <alignment horizontal="left" vertical="center" wrapText="1" indent="1"/>
    </xf>
    <xf numFmtId="49" fontId="77" fillId="0" borderId="15" xfId="0" applyFont="1" applyBorder="1" applyNumberFormat="1">
      <alignment horizontal="left" vertical="center" wrapText="1"/>
    </xf>
    <xf numFmtId="0" fontId="73" fillId="0" borderId="13" xfId="0" applyFont="1" applyBorder="1">
      <alignment horizontal="left" vertical="center" wrapText="1" indent="2"/>
    </xf>
    <xf numFmtId="49" fontId="73" fillId="0" borderId="13" xfId="0" applyFont="1" applyBorder="1" applyNumberFormat="1">
      <alignment horizontal="center" vertical="center" wrapText="1"/>
    </xf>
    <xf numFmtId="0" fontId="78" fillId="0" borderId="0" xfId="0" applyFont="1">
      <alignment vertical="center" wrapText="1"/>
    </xf>
    <xf numFmtId="0" fontId="23" fillId="0" borderId="0" xfId="0" applyFont="1">
      <alignment vertical="top"/>
    </xf>
    <xf numFmtId="0" fontId="23" fillId="0" borderId="0" xfId="0" applyFont="1">
      <alignment horizontal="right" vertical="top" wrapText="1"/>
    </xf>
    <xf numFmtId="0" fontId="23" fillId="0" borderId="18" xfId="0" applyFont="1" applyBorder="1">
      <alignment vertical="center" wrapText="1"/>
    </xf>
    <xf numFmtId="49" fontId="53" fillId="40" borderId="16" xfId="0" applyFont="1" applyFill="1" applyBorder="1" applyNumberFormat="1">
      <alignment horizontal="center" vertical="top"/>
    </xf>
    <xf numFmtId="0" fontId="23" fillId="0" borderId="24" xfId="0" applyFont="1" applyBorder="1">
      <alignment vertical="top" wrapText="1"/>
    </xf>
    <xf numFmtId="0" fontId="0" fillId="0" borderId="0" xfId="0" applyFont="1">
      <alignment horizontal="left" vertical="top" wrapText="1"/>
    </xf>
    <xf numFmtId="0" fontId="23" fillId="0" borderId="18" xfId="0" applyFont="1" applyBorder="1">
      <alignment vertical="top" wrapText="1"/>
    </xf>
    <xf numFmtId="0" fontId="23" fillId="0" borderId="0" xfId="0" applyFont="1">
      <alignment vertical="center" wrapText="1"/>
    </xf>
    <xf numFmtId="49" fontId="23" fillId="0" borderId="0" xfId="0" applyFont="1" applyNumberFormat="1">
      <alignment vertical="top"/>
    </xf>
    <xf numFmtId="0" fontId="48" fillId="0" borderId="0" xfId="0" applyFont="1">
      <alignment vertical="center" wrapText="1"/>
    </xf>
    <xf numFmtId="0" fontId="23" fillId="0" borderId="13" xfId="0" applyFont="1" applyBorder="1">
      <alignment vertical="center" wrapText="1"/>
    </xf>
    <xf numFmtId="49" fontId="23" fillId="0" borderId="0" xfId="0" applyFont="1" applyNumberFormat="1">
      <alignment horizontal="center" vertical="center" wrapText="1"/>
    </xf>
    <xf numFmtId="0" fontId="23" fillId="40" borderId="15" xfId="0" applyFont="1" applyFill="1" applyBorder="1">
      <alignment vertical="center" wrapText="1"/>
    </xf>
    <xf numFmtId="0" fontId="23" fillId="41" borderId="13" xfId="80" applyFont="1" applyFill="1" applyBorder="1">
      <alignment horizontal="left" vertical="center" wrapText="1" indent="1"/>
      <protection locked="0"/>
    </xf>
    <xf numFmtId="49" fontId="49" fillId="40" borderId="16" xfId="0" applyFont="1" applyFill="1" applyBorder="1" applyNumberFormat="1">
      <alignment horizontal="left" vertical="center" indent="2"/>
    </xf>
    <xf numFmtId="0" fontId="56" fillId="0" borderId="0" xfId="0" applyFont="1">
      <alignment vertical="center"/>
    </xf>
    <xf numFmtId="0" fontId="79" fillId="0" borderId="0" xfId="0" applyFont="1">
      <alignment vertical="center" wrapText="1"/>
    </xf>
    <xf numFmtId="0" fontId="51" fillId="36" borderId="0" xfId="0" applyFont="1" applyFill="1">
      <alignment horizontal="center" vertical="center" wrapText="1"/>
    </xf>
    <xf numFmtId="0" fontId="23" fillId="0" borderId="25" xfId="0" applyFont="1" applyBorder="1">
      <alignment vertical="center" wrapText="1"/>
    </xf>
    <xf numFmtId="0" fontId="46" fillId="0" borderId="0" xfId="0" applyFont="1">
      <alignment vertical="center" wrapText="1"/>
    </xf>
    <xf numFmtId="49" fontId="23" fillId="0" borderId="25" xfId="0" applyFont="1" applyBorder="1" applyNumberFormat="1">
      <alignment vertical="top"/>
    </xf>
    <xf numFmtId="0" fontId="56" fillId="0" borderId="25" xfId="0" applyFont="1" applyBorder="1">
      <alignment horizontal="center" vertical="center" wrapText="1"/>
    </xf>
    <xf numFmtId="0" fontId="56" fillId="0" borderId="25" xfId="0" applyFont="1" applyBorder="1">
      <alignment vertical="center" wrapText="1"/>
    </xf>
    <xf numFmtId="49" fontId="41" fillId="0" borderId="0" xfId="0" applyFont="1" applyNumberFormat="1">
      <alignment vertical="top"/>
    </xf>
    <xf numFmtId="49" fontId="0" fillId="0" borderId="25" xfId="0" applyFont="1" applyBorder="1" applyNumberFormat="1">
      <alignment vertical="top"/>
    </xf>
    <xf numFmtId="49" fontId="23" fillId="0" borderId="0" xfId="0" applyFont="1" applyNumberFormat="1">
      <alignment vertical="top"/>
    </xf>
    <xf numFmtId="49" fontId="23" fillId="0" borderId="0" xfId="0" applyFont="1" applyNumberFormat="1">
      <alignment vertical="center" wrapText="1"/>
    </xf>
    <xf numFmtId="0" fontId="46" fillId="36" borderId="0" xfId="0" applyFont="1" applyFill="1">
      <alignment vertical="center" wrapText="1"/>
    </xf>
    <xf numFmtId="0" fontId="41" fillId="0" borderId="0" xfId="0" applyFont="1">
      <alignment horizontal="center" vertical="center" wrapText="1"/>
    </xf>
    <xf numFmtId="0" fontId="41" fillId="0" borderId="0" xfId="0" applyFont="1">
      <alignment vertical="center" wrapText="1"/>
    </xf>
    <xf numFmtId="0" fontId="23" fillId="36" borderId="0" xfId="0" applyFont="1" applyFill="1">
      <alignment vertical="center" wrapText="1"/>
    </xf>
    <xf numFmtId="49" fontId="23" fillId="0" borderId="0" xfId="0" applyFont="1" applyNumberFormat="1">
      <alignment vertical="center" wrapText="1"/>
    </xf>
    <xf numFmtId="49" fontId="49" fillId="40" borderId="16" xfId="0" applyFont="1" applyFill="1" applyBorder="1" applyNumberFormat="1">
      <alignment horizontal="left" vertical="center" indent="2"/>
    </xf>
    <xf numFmtId="49" fontId="49" fillId="40" borderId="16" xfId="0" applyFont="1" applyFill="1" applyBorder="1" applyNumberFormat="1">
      <alignment horizontal="left" vertical="center" indent="4"/>
    </xf>
    <xf numFmtId="49" fontId="23" fillId="0" borderId="0" xfId="0" applyFont="1" applyNumberFormat="1">
      <alignment vertical="center"/>
    </xf>
    <xf numFmtId="49" fontId="0" fillId="40" borderId="16" xfId="0" applyFont="1" applyFill="1" applyBorder="1" applyNumberFormat="1">
      <alignment horizontal="center" vertical="center" wrapText="1"/>
    </xf>
    <xf numFmtId="49" fontId="23" fillId="40" borderId="16" xfId="0" applyFont="1" applyFill="1" applyBorder="1" applyNumberFormat="1">
      <alignment horizontal="center" vertical="center" wrapText="1"/>
    </xf>
    <xf numFmtId="0" fontId="56" fillId="0" borderId="0" xfId="0" applyFont="1">
      <alignment vertical="center"/>
    </xf>
    <xf numFmtId="0" fontId="23" fillId="0" borderId="0" xfId="0" applyFont="1">
      <alignment vertical="top" wrapText="1"/>
    </xf>
    <xf numFmtId="49" fontId="23" fillId="0" borderId="13" xfId="0" applyFont="1" applyBorder="1" applyNumberFormat="1">
      <alignment horizontal="right" vertical="top"/>
    </xf>
    <xf numFmtId="49" fontId="23" fillId="0" borderId="18" xfId="0" applyFont="1" applyBorder="1" applyNumberFormat="1">
      <alignment horizontal="right" vertical="top"/>
    </xf>
    <xf numFmtId="49" fontId="49" fillId="40" borderId="16" xfId="0" applyFont="1" applyFill="1" applyBorder="1" applyNumberFormat="1">
      <alignment horizontal="left" vertical="center" indent="3"/>
    </xf>
    <xf numFmtId="49" fontId="0" fillId="0" borderId="0" xfId="0" applyFont="1" applyNumberFormat="1">
      <alignment vertical="top"/>
    </xf>
    <xf numFmtId="0" fontId="23" fillId="0" borderId="0" xfId="0" applyFont="1">
      <alignment vertical="center" wrapText="1"/>
    </xf>
    <xf numFmtId="49" fontId="41" fillId="0" borderId="0" xfId="0" applyFont="1" applyNumberFormat="1">
      <alignment vertical="top"/>
    </xf>
    <xf numFmtId="49" fontId="48" fillId="0" borderId="0" xfId="0" applyFont="1" applyNumberFormat="1">
      <alignment vertical="top"/>
    </xf>
    <xf numFmtId="0" fontId="48" fillId="36" borderId="0" xfId="0" applyFont="1" applyFill="1">
      <alignment vertical="center" wrapText="1"/>
    </xf>
    <xf numFmtId="49" fontId="23" fillId="0" borderId="0" xfId="0" applyFont="1" applyNumberFormat="1">
      <alignment vertical="top"/>
    </xf>
    <xf numFmtId="49" fontId="23" fillId="41" borderId="13" xfId="0" applyFont="1" applyFill="1" applyBorder="1" applyNumberFormat="1">
      <alignment horizontal="left" vertical="center" wrapText="1" indent="4"/>
      <protection locked="0"/>
    </xf>
    <xf numFmtId="49" fontId="23" fillId="41" borderId="13" xfId="0" applyFont="1" applyFill="1" applyBorder="1" applyNumberFormat="1">
      <alignment horizontal="left" vertical="center" wrapText="1"/>
      <protection locked="0"/>
    </xf>
    <xf numFmtId="49" fontId="23" fillId="33" borderId="13" xfId="0" applyFont="1" applyFill="1" applyBorder="1" applyNumberFormat="1">
      <alignment horizontal="left" vertical="center" wrapText="1"/>
      <protection locked="0"/>
    </xf>
    <xf numFmtId="4" fontId="0" fillId="41" borderId="13" xfId="0" applyFont="1" applyFill="1" applyBorder="1" applyNumberFormat="1">
      <alignment horizontal="right" vertical="center" wrapText="1"/>
      <protection locked="0"/>
    </xf>
    <xf numFmtId="49" fontId="56" fillId="0" borderId="0" xfId="0" applyFont="1" applyNumberFormat="1">
      <alignment vertical="top"/>
    </xf>
    <xf numFmtId="49" fontId="56" fillId="0" borderId="0" xfId="0" applyFont="1" applyNumberFormat="1">
      <alignment vertical="center" wrapText="1"/>
    </xf>
    <xf numFmtId="49" fontId="56" fillId="0" borderId="0" xfId="0" applyFont="1" applyNumberFormat="1">
      <alignment vertical="top"/>
    </xf>
    <xf numFmtId="49" fontId="56" fillId="0" borderId="0" xfId="0" applyFont="1" applyNumberFormat="1">
      <alignment vertical="center"/>
    </xf>
    <xf numFmtId="49" fontId="23" fillId="41" borderId="13" xfId="0" applyFont="1" applyFill="1" applyBorder="1" applyNumberFormat="1">
      <alignment horizontal="left" vertical="center" wrapText="1"/>
      <protection locked="0"/>
    </xf>
    <xf numFmtId="49" fontId="29" fillId="41" borderId="13" xfId="0" applyFont="1" applyFill="1" applyBorder="1" applyNumberFormat="1">
      <alignment horizontal="left" vertical="center" wrapText="1"/>
      <protection locked="0"/>
    </xf>
    <xf numFmtId="49" fontId="0" fillId="0" borderId="26" xfId="0" applyFont="1" applyBorder="1" applyNumberFormat="1">
      <alignment horizontal="center" vertical="center"/>
    </xf>
    <xf numFmtId="247" fontId="23" fillId="0" borderId="13" xfId="0" applyFont="1" applyBorder="1" applyNumberFormat="1">
      <alignment horizontal="right" vertical="center" wrapText="1"/>
    </xf>
    <xf numFmtId="49" fontId="29" fillId="41" borderId="15" xfId="0" applyFont="1" applyFill="1" applyBorder="1" applyNumberFormat="1">
      <alignment horizontal="left" vertical="center" wrapText="1"/>
      <protection locked="0"/>
    </xf>
    <xf numFmtId="0" fontId="23" fillId="36" borderId="13" xfId="0" applyFont="1" applyFill="1" applyBorder="1">
      <alignment horizontal="center" vertical="center" wrapText="1"/>
    </xf>
    <xf numFmtId="0" fontId="46" fillId="36" borderId="0" xfId="0" applyFont="1" applyFill="1">
      <alignment horizontal="center" vertical="center" wrapText="1"/>
    </xf>
    <xf numFmtId="0" fontId="23" fillId="0" borderId="24" xfId="0" applyFont="1" applyBorder="1">
      <alignment horizontal="left" vertical="center" wrapText="1"/>
    </xf>
    <xf numFmtId="0" fontId="0" fillId="0" borderId="13" xfId="0" applyFont="1" applyBorder="1">
      <alignment horizontal="left" vertical="center" wrapText="1"/>
    </xf>
    <xf numFmtId="0" fontId="23" fillId="36" borderId="0" xfId="0" applyFont="1" applyFill="1">
      <alignment horizontal="center" vertical="center" wrapText="1"/>
    </xf>
    <xf numFmtId="0" fontId="35" fillId="0" borderId="0" xfId="80" applyFont="1">
      <alignment vertical="top" wrapText="1"/>
    </xf>
    <xf numFmtId="0" fontId="23" fillId="36" borderId="27" xfId="80" applyFont="1" applyFill="1" applyBorder="1">
      <alignment horizontal="right" vertical="center" wrapText="1" indent="1"/>
    </xf>
    <xf numFmtId="0" fontId="0" fillId="36" borderId="27" xfId="80" applyFont="1" applyFill="1" applyBorder="1">
      <alignment horizontal="right" vertical="center" wrapText="1" indent="1"/>
    </xf>
    <xf numFmtId="0" fontId="23" fillId="0" borderId="0" xfId="80" applyFont="1">
      <alignment horizontal="left" vertical="center" wrapText="1" indent="4"/>
    </xf>
    <xf numFmtId="0" fontId="23" fillId="36" borderId="0" xfId="80" applyFont="1" applyFill="1">
      <alignment horizontal="center" vertical="center" wrapText="1"/>
    </xf>
    <xf numFmtId="49" fontId="49" fillId="40" borderId="16" xfId="0" applyFont="1" applyFill="1" applyBorder="1" applyNumberFormat="1">
      <alignment horizontal="left" vertical="center"/>
    </xf>
    <xf numFmtId="0" fontId="23" fillId="0" borderId="20" xfId="0" applyFont="1" applyBorder="1">
      <alignment vertical="center" wrapText="1"/>
    </xf>
    <xf numFmtId="0" fontId="23" fillId="0" borderId="0" xfId="0" applyFont="1">
      <alignment horizontal="left" vertical="center" wrapText="1" indent="1"/>
    </xf>
    <xf numFmtId="0" fontId="78" fillId="0" borderId="0" xfId="0" applyFont="1">
      <alignment vertical="center" wrapText="1"/>
    </xf>
    <xf numFmtId="49" fontId="0" fillId="36" borderId="15" xfId="0" applyFont="1" applyFill="1" applyBorder="1" applyNumberFormat="1">
      <alignment horizontal="center" vertical="center" wrapText="1"/>
    </xf>
    <xf numFmtId="49" fontId="0" fillId="36" borderId="18" xfId="0" applyFont="1" applyFill="1" applyBorder="1" applyNumberFormat="1">
      <alignment horizontal="center" vertical="center" wrapText="1"/>
    </xf>
    <xf numFmtId="0" fontId="23" fillId="40" borderId="28" xfId="0" applyFont="1" applyFill="1" applyBorder="1">
      <alignment vertical="center" wrapText="1"/>
    </xf>
    <xf numFmtId="49" fontId="49" fillId="40" borderId="29" xfId="0" applyFont="1" applyFill="1" applyBorder="1" applyNumberFormat="1">
      <alignment horizontal="left" vertical="center" indent="1"/>
    </xf>
    <xf numFmtId="49" fontId="49" fillId="40" borderId="29" xfId="0" applyFont="1" applyFill="1" applyBorder="1" applyNumberFormat="1">
      <alignment horizontal="left" vertical="center" indent="2"/>
    </xf>
    <xf numFmtId="49" fontId="29" fillId="33" borderId="13" xfId="0" applyFont="1" applyFill="1" applyBorder="1" applyNumberFormat="1">
      <alignment horizontal="left" vertical="center" wrapText="1"/>
      <protection locked="0"/>
    </xf>
    <xf numFmtId="4" fontId="0" fillId="41" borderId="13" xfId="0" applyFont="1" applyFill="1" applyBorder="1" applyNumberFormat="1">
      <alignment horizontal="right" vertical="center" wrapText="1"/>
      <protection locked="0"/>
    </xf>
    <xf numFmtId="49" fontId="23" fillId="0" borderId="20" xfId="0" applyFont="1" applyBorder="1" applyNumberFormat="1">
      <alignment vertical="top"/>
    </xf>
    <xf numFmtId="49" fontId="76" fillId="40" borderId="14" xfId="0" applyFont="1" applyFill="1" applyBorder="1" applyNumberFormat="1">
      <alignment horizontal="left" vertical="center" indent="1"/>
    </xf>
    <xf numFmtId="49" fontId="76" fillId="40" borderId="16" xfId="0" applyFont="1" applyFill="1" applyBorder="1" applyNumberFormat="1">
      <alignment horizontal="left" vertical="center" indent="1"/>
    </xf>
    <xf numFmtId="49" fontId="35" fillId="40" borderId="15" xfId="0" applyFont="1" applyFill="1" applyBorder="1" applyNumberFormat="1">
      <alignment horizontal="center" vertical="center"/>
    </xf>
    <xf numFmtId="49" fontId="76" fillId="40" borderId="16" xfId="0" applyFont="1" applyFill="1" applyBorder="1" applyNumberFormat="1">
      <alignment vertical="center"/>
    </xf>
    <xf numFmtId="0" fontId="0" fillId="34" borderId="13" xfId="0" applyFont="1" applyFill="1" applyBorder="1">
      <alignment horizontal="right" vertical="center"/>
    </xf>
    <xf numFmtId="0" fontId="42" fillId="0" borderId="0" xfId="80" applyFont="1">
      <alignment vertical="center" wrapText="1"/>
    </xf>
    <xf numFmtId="0" fontId="23" fillId="0" borderId="0" xfId="80" applyFont="1">
      <alignment vertical="center" wrapText="1"/>
    </xf>
    <xf numFmtId="0" fontId="43" fillId="36" borderId="0" xfId="80" applyFont="1" applyFill="1">
      <alignment vertical="center" wrapText="1"/>
    </xf>
    <xf numFmtId="0" fontId="41" fillId="0" borderId="0" xfId="80" applyFont="1">
      <alignment horizontal="center" vertical="center" wrapText="1"/>
    </xf>
    <xf numFmtId="0" fontId="0" fillId="0" borderId="0" xfId="0" applyFont="1">
      <alignment vertical="center" wrapText="1"/>
    </xf>
    <xf numFmtId="0" fontId="41" fillId="0" borderId="0" xfId="80" applyFont="1">
      <alignment horizontal="left" vertical="center" wrapText="1"/>
    </xf>
    <xf numFmtId="0" fontId="0" fillId="0" borderId="13" xfId="0" applyFont="1" applyBorder="1">
      <alignment horizontal="center" vertical="center" wrapText="1"/>
    </xf>
    <xf numFmtId="49" fontId="49" fillId="40" borderId="16" xfId="0" applyFont="1" applyFill="1" applyBorder="1" applyNumberFormat="1">
      <alignment horizontal="left" vertical="center" indent="1"/>
    </xf>
    <xf numFmtId="49" fontId="49" fillId="40" borderId="16" xfId="0" applyFont="1" applyFill="1" applyBorder="1" applyNumberFormat="1">
      <alignment horizontal="left" vertical="center"/>
    </xf>
    <xf numFmtId="0" fontId="55" fillId="0" borderId="0" xfId="0" applyFont="1">
      <alignment vertical="center" wrapText="1"/>
    </xf>
    <xf numFmtId="0" fontId="0" fillId="0" borderId="0" xfId="0" applyFont="1">
      <alignment vertical="center"/>
    </xf>
    <xf numFmtId="49" fontId="56" fillId="0" borderId="0" xfId="0" applyFont="1" applyNumberFormat="1">
      <alignment vertical="top"/>
    </xf>
    <xf numFmtId="0" fontId="80" fillId="0" borderId="0" xfId="0" applyFont="1">
      <alignment vertical="center" wrapText="1"/>
    </xf>
    <xf numFmtId="49" fontId="35" fillId="40" borderId="15" xfId="0" applyFont="1" applyFill="1" applyBorder="1" applyNumberFormat="1">
      <alignment horizontal="right" vertical="center" wrapText="1"/>
    </xf>
    <xf numFmtId="49" fontId="55" fillId="0" borderId="0" xfId="0" applyFont="1" applyNumberFormat="1">
      <alignment vertical="top"/>
    </xf>
    <xf numFmtId="49" fontId="0" fillId="0" borderId="0" xfId="0" applyFont="1" applyNumberFormat="1">
      <alignment vertical="top"/>
    </xf>
    <xf numFmtId="49" fontId="0" fillId="40" borderId="14" xfId="0" applyFont="1" applyFill="1" applyBorder="1" applyNumberFormat="1">
      <alignment horizontal="right" vertical="center" wrapText="1"/>
    </xf>
    <xf numFmtId="0" fontId="0" fillId="0" borderId="13" xfId="0" applyFont="1" applyBorder="1">
      <alignment horizontal="center" vertical="center" wrapText="1"/>
    </xf>
    <xf numFmtId="0" fontId="64" fillId="0" borderId="0" xfId="80" applyFont="1">
      <alignment horizontal="left" vertical="center" wrapText="1"/>
    </xf>
    <xf numFmtId="0" fontId="65" fillId="0" borderId="0" xfId="80" applyFont="1">
      <alignment vertical="center" wrapText="1"/>
    </xf>
    <xf numFmtId="0" fontId="66" fillId="36" borderId="0" xfId="80" applyFont="1" applyFill="1">
      <alignment vertical="center" wrapText="1"/>
    </xf>
    <xf numFmtId="0" fontId="67" fillId="36" borderId="0" xfId="80" applyFont="1" applyFill="1">
      <alignment horizontal="right" vertical="center" wrapText="1" indent="1"/>
    </xf>
    <xf numFmtId="0" fontId="66" fillId="0" borderId="0" xfId="80" applyFont="1">
      <alignment vertical="center" wrapText="1"/>
    </xf>
    <xf numFmtId="0" fontId="0" fillId="0" borderId="15" xfId="0" applyFont="1" applyBorder="1">
      <alignment horizontal="center" vertical="center" wrapText="1"/>
    </xf>
    <xf numFmtId="0" fontId="0" fillId="33" borderId="13" xfId="0" applyFont="1" applyFill="1" applyBorder="1">
      <alignment horizontal="right" vertical="center" wrapText="1"/>
      <protection locked="0"/>
    </xf>
    <xf numFmtId="3" fontId="0" fillId="41" borderId="14" xfId="0" applyFont="1" applyFill="1" applyBorder="1" applyNumberFormat="1">
      <alignment horizontal="right" vertical="center" wrapText="1"/>
      <protection locked="0"/>
    </xf>
    <xf numFmtId="3" fontId="0" fillId="41" borderId="13" xfId="0" applyFont="1" applyFill="1" applyBorder="1" applyNumberFormat="1">
      <alignment horizontal="right" vertical="center" wrapText="1"/>
      <protection locked="0"/>
    </xf>
    <xf numFmtId="49" fontId="0" fillId="0" borderId="13" xfId="0" applyFont="1" applyBorder="1" applyNumberFormat="1">
      <alignment horizontal="center" vertical="center" wrapText="1"/>
    </xf>
    <xf numFmtId="49" fontId="0" fillId="0" borderId="13" xfId="0" applyFont="1" applyBorder="1" applyNumberFormat="1">
      <alignment vertical="top" wrapText="1"/>
    </xf>
    <xf numFmtId="0" fontId="0" fillId="36" borderId="15" xfId="0" applyFont="1" applyFill="1" applyBorder="1">
      <alignment horizontal="left" vertical="center" wrapText="1" indent="1"/>
    </xf>
    <xf numFmtId="0" fontId="0" fillId="36" borderId="18" xfId="0" applyFont="1" applyFill="1" applyBorder="1">
      <alignment horizontal="left" vertical="center" wrapText="1"/>
    </xf>
    <xf numFmtId="0" fontId="0" fillId="36" borderId="13" xfId="0" applyFont="1" applyFill="1" applyBorder="1">
      <alignment horizontal="left" vertical="center" wrapText="1"/>
    </xf>
    <xf numFmtId="0" fontId="0" fillId="36" borderId="13" xfId="0" applyFont="1" applyFill="1" applyBorder="1">
      <alignment horizontal="left" vertical="center" wrapText="1" indent="2"/>
    </xf>
    <xf numFmtId="0" fontId="0" fillId="36" borderId="13" xfId="81" applyFont="1" applyFill="1" applyBorder="1">
      <alignment horizontal="center" vertical="center"/>
    </xf>
    <xf numFmtId="49" fontId="0" fillId="41" borderId="13" xfId="0" applyFont="1" applyFill="1" applyBorder="1" applyNumberFormat="1">
      <alignment horizontal="left" vertical="center" wrapText="1"/>
      <protection locked="0"/>
    </xf>
    <xf numFmtId="0" fontId="0" fillId="36" borderId="13" xfId="0" applyFont="1" applyFill="1" applyBorder="1">
      <alignment horizontal="left" vertical="center" wrapText="1" indent="1"/>
    </xf>
    <xf numFmtId="0" fontId="0" fillId="0" borderId="13" xfId="0" applyFont="1" applyBorder="1">
      <alignment horizontal="center" vertical="center" wrapText="1"/>
    </xf>
    <xf numFmtId="0" fontId="0" fillId="36" borderId="13" xfId="0" applyFont="1" applyFill="1" applyBorder="1">
      <alignment vertical="center" wrapText="1"/>
    </xf>
    <xf numFmtId="49" fontId="0" fillId="36" borderId="13" xfId="81" applyFont="1" applyFill="1" applyBorder="1" applyNumberFormat="1">
      <alignment horizontal="center" vertical="center"/>
    </xf>
    <xf numFmtId="0" fontId="0" fillId="36" borderId="13" xfId="0" applyFont="1" applyFill="1" applyBorder="1">
      <alignment horizontal="center" vertical="center" wrapText="1"/>
    </xf>
    <xf numFmtId="0" fontId="23" fillId="0" borderId="0" xfId="0" applyFont="1">
      <alignment vertical="center" wrapText="1"/>
    </xf>
    <xf numFmtId="49" fontId="45" fillId="36" borderId="0" xfId="0" applyFont="1" applyFill="1" applyNumberFormat="1">
      <alignment horizontal="center" vertical="center" wrapText="1"/>
    </xf>
    <xf numFmtId="0" fontId="41" fillId="0" borderId="0" xfId="0" applyFont="1">
      <alignment vertical="center" wrapText="1"/>
    </xf>
    <xf numFmtId="0" fontId="46" fillId="36" borderId="0" xfId="0" applyFont="1" applyFill="1">
      <alignment horizontal="center" vertical="center" wrapText="1"/>
    </xf>
    <xf numFmtId="0" fontId="46" fillId="0" borderId="0" xfId="0" applyFont="1">
      <alignment horizontal="center" vertical="center" wrapText="1"/>
    </xf>
    <xf numFmtId="0" fontId="51" fillId="0" borderId="0" xfId="0" applyFont="1">
      <alignment vertical="center" wrapText="1"/>
    </xf>
    <xf numFmtId="0" fontId="22" fillId="0" borderId="0" xfId="0" applyFont="1">
      <alignment horizontal="center" vertical="center" wrapText="1"/>
    </xf>
    <xf numFmtId="0" fontId="54" fillId="0" borderId="0" xfId="80" applyFont="1">
      <alignment vertical="center" wrapText="1"/>
    </xf>
    <xf numFmtId="0" fontId="0" fillId="36" borderId="0" xfId="0" applyFont="1" applyFill="1"/>
    <xf numFmtId="0" fontId="0" fillId="36" borderId="0" xfId="0" applyFont="1" applyFill="1">
      <alignment horizontal="center"/>
    </xf>
    <xf numFmtId="0" fontId="23" fillId="36" borderId="0" xfId="0" applyFont="1" applyFill="1">
      <alignment vertical="center" wrapText="1"/>
    </xf>
    <xf numFmtId="0" fontId="81" fillId="36" borderId="0" xfId="0" applyFont="1" applyFill="1">
      <alignment horizontal="center"/>
    </xf>
    <xf numFmtId="0" fontId="81" fillId="36" borderId="0" xfId="0" applyFont="1" applyFill="1"/>
    <xf numFmtId="0" fontId="82" fillId="36" borderId="0" xfId="0" applyFont="1" applyFill="1"/>
    <xf numFmtId="0" fontId="83" fillId="36" borderId="0" xfId="0" applyFont="1" applyFill="1">
      <alignment horizontal="right" vertical="center"/>
    </xf>
    <xf numFmtId="0" fontId="83" fillId="36" borderId="0" xfId="0" applyFont="1" applyFill="1">
      <alignment horizontal="right" vertical="top"/>
    </xf>
    <xf numFmtId="0" fontId="23" fillId="36" borderId="0" xfId="0" applyFont="1" applyFill="1">
      <alignment horizontal="center" vertical="center" wrapText="1"/>
    </xf>
    <xf numFmtId="0" fontId="45" fillId="36" borderId="0" xfId="81" applyFont="1" applyFill="1">
      <alignment horizontal="center" vertical="center"/>
    </xf>
    <xf numFmtId="0" fontId="23" fillId="0" borderId="13" xfId="0" applyFont="1" applyBorder="1">
      <alignment horizontal="center" vertical="center" wrapText="1"/>
    </xf>
    <xf numFmtId="0" fontId="54" fillId="0" borderId="0" xfId="0" applyFont="1">
      <alignment vertical="top" wrapText="1"/>
    </xf>
    <xf numFmtId="0" fontId="23" fillId="40" borderId="15" xfId="0" applyFont="1" applyFill="1" applyBorder="1">
      <alignment horizontal="center"/>
    </xf>
    <xf numFmtId="0" fontId="76" fillId="40" borderId="16" xfId="0" applyFont="1" applyFill="1" applyBorder="1">
      <alignment horizontal="left" vertical="center"/>
    </xf>
    <xf numFmtId="0" fontId="76" fillId="40" borderId="14" xfId="0" applyFont="1" applyFill="1" applyBorder="1">
      <alignment horizontal="left" vertical="center"/>
    </xf>
    <xf numFmtId="0" fontId="84" fillId="36" borderId="0" xfId="0" applyFont="1" applyFill="1">
      <alignment vertical="center"/>
    </xf>
    <xf numFmtId="0" fontId="84" fillId="36" borderId="0" xfId="0" applyFont="1" applyFill="1">
      <alignment vertical="center" wrapText="1"/>
    </xf>
    <xf numFmtId="49" fontId="23" fillId="36" borderId="13" xfId="81" applyFont="1" applyFill="1" applyBorder="1" applyNumberFormat="1">
      <alignment horizontal="center" vertical="center" wrapText="1"/>
    </xf>
    <xf numFmtId="0" fontId="23" fillId="36" borderId="13" xfId="0" applyFont="1" applyFill="1" applyBorder="1">
      <alignment horizontal="center" vertical="center" wrapText="1"/>
    </xf>
    <xf numFmtId="0" fontId="23" fillId="36" borderId="13" xfId="0" applyFont="1" applyFill="1" applyBorder="1">
      <alignment vertical="center" wrapText="1"/>
    </xf>
    <xf numFmtId="0" fontId="71" fillId="36" borderId="0" xfId="0" applyFont="1" applyFill="1"/>
    <xf numFmtId="0" fontId="59" fillId="36" borderId="0" xfId="0" applyFont="1" applyFill="1"/>
    <xf numFmtId="0" fontId="67" fillId="36" borderId="0" xfId="0" applyFont="1" applyFill="1"/>
    <xf numFmtId="0" fontId="67" fillId="36" borderId="0" xfId="0" applyFont="1" applyFill="1">
      <alignment horizontal="center"/>
    </xf>
    <xf numFmtId="0" fontId="64" fillId="0" borderId="0" xfId="0" applyFont="1">
      <alignment vertical="center" wrapText="1"/>
    </xf>
    <xf numFmtId="0" fontId="66" fillId="0" borderId="0" xfId="0" applyFont="1">
      <alignment vertical="center" wrapText="1"/>
    </xf>
    <xf numFmtId="0" fontId="66" fillId="36" borderId="0" xfId="0" applyFont="1" applyFill="1">
      <alignment vertical="center" wrapText="1"/>
    </xf>
    <xf numFmtId="0" fontId="66" fillId="36" borderId="0" xfId="0" applyFont="1" applyFill="1">
      <alignment horizontal="right" vertical="center"/>
    </xf>
    <xf numFmtId="0" fontId="66" fillId="36" borderId="0" xfId="0" applyFont="1" applyFill="1">
      <alignment horizontal="right" vertical="center" wrapText="1"/>
    </xf>
    <xf numFmtId="4" fontId="66" fillId="0" borderId="0" xfId="0" applyFont="1" applyNumberFormat="1">
      <alignment horizontal="right" vertical="center" wrapText="1"/>
    </xf>
    <xf numFmtId="0" fontId="66" fillId="0" borderId="0" xfId="0" applyFont="1">
      <alignment horizontal="left" vertical="center" wrapText="1" indent="1"/>
    </xf>
    <xf numFmtId="0" fontId="85" fillId="36" borderId="0" xfId="0" applyFont="1" applyFill="1">
      <alignment horizontal="center" vertical="center" wrapText="1"/>
    </xf>
    <xf numFmtId="0" fontId="45" fillId="36" borderId="0" xfId="0" applyFont="1" applyFill="1">
      <alignment horizontal="center" vertical="center" wrapText="1"/>
    </xf>
    <xf numFmtId="0" fontId="70" fillId="0" borderId="0" xfId="0" applyFont="1">
      <alignment vertical="center" wrapText="1"/>
    </xf>
    <xf numFmtId="0" fontId="56" fillId="0" borderId="0" xfId="0" applyFont="1">
      <alignment vertical="center" wrapText="1"/>
    </xf>
    <xf numFmtId="49" fontId="23" fillId="42" borderId="13" xfId="0" applyFont="1" applyFill="1" applyBorder="1" applyNumberFormat="1">
      <alignment horizontal="left" vertical="center" wrapText="1"/>
    </xf>
    <xf numFmtId="0" fontId="70" fillId="0" borderId="0" xfId="0" applyFont="1">
      <alignment horizontal="center" vertical="center" wrapText="1"/>
    </xf>
    <xf numFmtId="0" fontId="23" fillId="36" borderId="25" xfId="0" applyFont="1" applyFill="1" applyBorder="1">
      <alignment vertical="center" wrapText="1"/>
    </xf>
    <xf numFmtId="49" fontId="45" fillId="36" borderId="16" xfId="0" applyFont="1" applyFill="1" applyBorder="1" applyNumberFormat="1">
      <alignment horizontal="center" vertical="center" wrapText="1"/>
    </xf>
    <xf numFmtId="0" fontId="56" fillId="0" borderId="0" xfId="0" applyFont="1">
      <alignment horizontal="center" vertical="center" wrapText="1"/>
    </xf>
    <xf numFmtId="0" fontId="85" fillId="0" borderId="0" xfId="0" applyFont="1">
      <alignment horizontal="center" vertical="center" wrapText="1"/>
    </xf>
    <xf numFmtId="0" fontId="79" fillId="0" borderId="0" xfId="0" applyFont="1">
      <alignment vertical="center" wrapText="1"/>
    </xf>
    <xf numFmtId="49" fontId="79" fillId="0" borderId="13" xfId="0" applyFont="1" applyBorder="1" applyNumberFormat="1">
      <alignment horizontal="left" vertical="center" wrapText="1"/>
    </xf>
    <xf numFmtId="0" fontId="86" fillId="36" borderId="0" xfId="0" applyFont="1" applyFill="1">
      <alignment horizontal="center" vertical="center" wrapText="1"/>
    </xf>
    <xf numFmtId="49" fontId="79" fillId="0" borderId="18" xfId="0" applyFont="1" applyBorder="1" applyNumberFormat="1">
      <alignment horizontal="left" vertical="center" wrapText="1"/>
    </xf>
    <xf numFmtId="0" fontId="56" fillId="0" borderId="0" xfId="0" applyFont="1">
      <alignment vertical="center"/>
    </xf>
    <xf numFmtId="0" fontId="56" fillId="36" borderId="0" xfId="0" applyFont="1" applyFill="1"/>
    <xf numFmtId="0" fontId="56" fillId="36" borderId="0" xfId="0" applyFont="1" applyFill="1">
      <alignment vertical="center" wrapText="1"/>
    </xf>
    <xf numFmtId="0" fontId="56" fillId="0" borderId="0" xfId="80" applyFont="1">
      <alignment vertical="center" wrapText="1"/>
    </xf>
    <xf numFmtId="49" fontId="23" fillId="0" borderId="0" xfId="0" applyFont="1" applyNumberFormat="1">
      <alignment vertical="top"/>
    </xf>
    <xf numFmtId="0" fontId="23" fillId="0" borderId="0" xfId="0" applyFont="1">
      <alignment vertical="center" wrapText="1"/>
    </xf>
    <xf numFmtId="0" fontId="46" fillId="36" borderId="0" xfId="0" applyFont="1" applyFill="1">
      <alignment horizontal="center" vertical="center" wrapText="1"/>
    </xf>
    <xf numFmtId="0" fontId="51" fillId="0" borderId="0" xfId="0" applyFont="1">
      <alignment vertical="center" wrapText="1"/>
    </xf>
    <xf numFmtId="49" fontId="23" fillId="0" borderId="13" xfId="0" applyFont="1" applyBorder="1" applyNumberFormat="1">
      <alignment horizontal="left" vertical="center" wrapText="1"/>
    </xf>
    <xf numFmtId="0" fontId="23" fillId="0" borderId="0" xfId="0" applyFont="1">
      <alignment vertical="center" wrapText="1"/>
    </xf>
    <xf numFmtId="49" fontId="56" fillId="0" borderId="0" xfId="0" applyFont="1" applyNumberFormat="1">
      <alignment vertical="center" wrapText="1"/>
    </xf>
    <xf numFmtId="0" fontId="56" fillId="0" borderId="0" xfId="0" applyFont="1">
      <alignment vertical="center" wrapText="1"/>
    </xf>
    <xf numFmtId="0" fontId="23" fillId="0" borderId="13" xfId="0" applyFont="1" applyBorder="1">
      <alignment horizontal="center" vertical="center" wrapText="1"/>
    </xf>
    <xf numFmtId="14" fontId="23" fillId="40" borderId="16" xfId="0" applyFont="1" applyFill="1" applyBorder="1" applyNumberFormat="1">
      <alignment horizontal="center" vertical="center" wrapText="1"/>
    </xf>
    <xf numFmtId="49" fontId="23" fillId="40" borderId="16" xfId="0" applyFont="1" applyFill="1" applyBorder="1" applyNumberFormat="1">
      <alignment horizontal="center" vertical="center" wrapText="1"/>
    </xf>
    <xf numFmtId="14" fontId="87" fillId="40" borderId="16" xfId="0" applyFont="1" applyFill="1" applyBorder="1" applyNumberFormat="1">
      <alignment horizontal="center" vertical="center" wrapText="1"/>
    </xf>
    <xf numFmtId="0" fontId="56" fillId="0" borderId="0" xfId="0" applyFont="1">
      <alignment horizontal="left" vertical="center" wrapText="1"/>
    </xf>
    <xf numFmtId="49" fontId="56" fillId="0" borderId="0" xfId="0" applyFont="1" applyNumberFormat="1">
      <alignment horizontal="left" vertical="center" wrapText="1"/>
    </xf>
    <xf numFmtId="0" fontId="56" fillId="0" borderId="0" xfId="0" applyFont="1">
      <alignment vertical="center" wrapText="1"/>
    </xf>
    <xf numFmtId="49" fontId="29" fillId="0" borderId="13" xfId="0" applyFont="1" applyBorder="1" applyNumberFormat="1">
      <alignment horizontal="left" vertical="center" wrapText="1"/>
    </xf>
    <xf numFmtId="14" fontId="23" fillId="42" borderId="13" xfId="0" applyFont="1" applyFill="1" applyBorder="1" applyNumberFormat="1">
      <alignment horizontal="center" vertical="center" wrapText="1"/>
    </xf>
    <xf numFmtId="0" fontId="23" fillId="0" borderId="13" xfId="0" applyFont="1" applyBorder="1">
      <alignment horizontal="center" vertical="center" wrapText="1"/>
    </xf>
    <xf numFmtId="0" fontId="23" fillId="0" borderId="0" xfId="0" applyFont="1">
      <alignment horizontal="center" vertical="center" wrapText="1"/>
    </xf>
    <xf numFmtId="0" fontId="23" fillId="0" borderId="13" xfId="0" applyFont="1" applyBorder="1">
      <alignment horizontal="center" vertical="center" wrapText="1"/>
    </xf>
    <xf numFmtId="49" fontId="23" fillId="42" borderId="13" xfId="0" applyFont="1" applyFill="1" applyBorder="1" applyNumberFormat="1">
      <alignment horizontal="center" vertical="center" wrapText="1"/>
    </xf>
    <xf numFmtId="0" fontId="88" fillId="0" borderId="0" xfId="0" applyFont="1">
      <alignment horizontal="center" vertical="center" wrapText="1"/>
    </xf>
    <xf numFmtId="0" fontId="46" fillId="0" borderId="0" xfId="0" applyFont="1">
      <alignment horizontal="center" vertical="center" wrapText="1"/>
    </xf>
    <xf numFmtId="49" fontId="23" fillId="0" borderId="13" xfId="0" applyFont="1" applyBorder="1" applyNumberFormat="1">
      <alignment horizontal="center" vertical="center" wrapText="1"/>
    </xf>
    <xf numFmtId="0" fontId="0" fillId="36" borderId="15" xfId="0" applyFont="1" applyFill="1" applyBorder="1">
      <alignment horizontal="left" vertical="center" wrapText="1"/>
    </xf>
    <xf numFmtId="49" fontId="35" fillId="40" borderId="16" xfId="0" applyFont="1" applyFill="1" applyBorder="1" applyNumberFormat="1">
      <alignment horizontal="center" vertical="center"/>
    </xf>
    <xf numFmtId="0" fontId="42" fillId="0" borderId="0" xfId="80" applyFont="1">
      <alignment vertical="center" wrapText="1"/>
    </xf>
    <xf numFmtId="0" fontId="41" fillId="0" borderId="0" xfId="80" applyFont="1">
      <alignment horizontal="center" vertical="center" wrapText="1"/>
    </xf>
    <xf numFmtId="0" fontId="23" fillId="0" borderId="0" xfId="80" applyFont="1">
      <alignment horizontal="center" vertical="center" wrapText="1"/>
    </xf>
    <xf numFmtId="0" fontId="23" fillId="0" borderId="0" xfId="80" applyFont="1">
      <alignment vertical="center" wrapText="1"/>
    </xf>
    <xf numFmtId="0" fontId="55" fillId="0" borderId="0" xfId="80" applyFont="1">
      <alignment horizontal="center" vertical="center" wrapText="1"/>
    </xf>
    <xf numFmtId="0" fontId="89" fillId="0" borderId="0" xfId="80" applyFont="1">
      <alignment vertical="center" wrapText="1"/>
    </xf>
    <xf numFmtId="49" fontId="55" fillId="0" borderId="0" xfId="0" applyFont="1" applyNumberFormat="1">
      <alignment horizontal="center" vertical="center" wrapText="1"/>
    </xf>
    <xf numFmtId="0" fontId="55" fillId="0" borderId="0" xfId="0" applyFont="1">
      <alignment vertical="center" wrapText="1"/>
    </xf>
    <xf numFmtId="49" fontId="23" fillId="0" borderId="0" xfId="0" applyFont="1" applyNumberFormat="1">
      <alignment horizontal="center" vertical="top" wrapText="1"/>
    </xf>
    <xf numFmtId="49" fontId="23" fillId="0" borderId="13" xfId="0" applyFont="1" applyBorder="1" applyNumberFormat="1">
      <alignment horizontal="center" vertical="center" wrapText="1"/>
    </xf>
    <xf numFmtId="49" fontId="23" fillId="41" borderId="13" xfId="0" applyFont="1" applyFill="1" applyBorder="1" applyNumberFormat="1">
      <alignment vertical="center" wrapText="1"/>
      <protection locked="0"/>
    </xf>
    <xf numFmtId="4" fontId="23" fillId="33" borderId="13" xfId="0" applyFont="1" applyFill="1" applyBorder="1" applyNumberFormat="1">
      <alignment horizontal="right" vertical="center" wrapText="1"/>
      <protection locked="0"/>
    </xf>
    <xf numFmtId="0" fontId="23" fillId="0" borderId="14" xfId="0" applyFont="1" applyBorder="1">
      <alignment vertical="top" wrapText="1"/>
    </xf>
    <xf numFmtId="0" fontId="90" fillId="0" borderId="0" xfId="0" applyFont="1">
      <alignment vertical="center" wrapText="1"/>
    </xf>
    <xf numFmtId="0" fontId="60" fillId="0" borderId="0" xfId="0" applyFont="1">
      <alignment vertical="center" wrapText="1"/>
    </xf>
    <xf numFmtId="248" fontId="23" fillId="33" borderId="13" xfId="0" applyFont="1" applyFill="1" applyBorder="1" applyNumberFormat="1">
      <alignment horizontal="right" vertical="center" wrapText="1"/>
      <protection locked="0"/>
    </xf>
    <xf numFmtId="0" fontId="23" fillId="0" borderId="30" xfId="0" applyFont="1" applyBorder="1">
      <alignment horizontal="center" vertical="center" wrapText="1"/>
    </xf>
    <xf numFmtId="0" fontId="23" fillId="41" borderId="13" xfId="0" applyFont="1" applyFill="1" applyBorder="1">
      <alignment horizontal="left" vertical="center" wrapText="1" indent="2"/>
      <protection locked="0"/>
    </xf>
    <xf numFmtId="49" fontId="56" fillId="0" borderId="0" xfId="0" applyFont="1" applyNumberFormat="1">
      <alignment horizontal="center" vertical="center" wrapText="1"/>
    </xf>
    <xf numFmtId="0" fontId="56" fillId="0" borderId="30" xfId="0" applyFont="1" applyBorder="1">
      <alignment horizontal="center" vertical="center" wrapText="1"/>
    </xf>
    <xf numFmtId="0" fontId="56" fillId="0" borderId="13" xfId="0" applyFont="1" applyBorder="1">
      <alignment horizontal="left" vertical="center" wrapText="1" indent="2"/>
    </xf>
    <xf numFmtId="0" fontId="56" fillId="0" borderId="13" xfId="0" applyFont="1" applyBorder="1">
      <alignment horizontal="center" vertical="center" wrapText="1"/>
    </xf>
    <xf numFmtId="0" fontId="56" fillId="0" borderId="13" xfId="0" applyFont="1" applyBorder="1">
      <alignment vertical="center" wrapText="1"/>
    </xf>
    <xf numFmtId="0" fontId="23" fillId="0" borderId="13" xfId="0" applyFont="1" applyBorder="1">
      <alignment horizontal="left" vertical="center" wrapText="1" indent="3"/>
    </xf>
    <xf numFmtId="49" fontId="23" fillId="41" borderId="13" xfId="0" applyFont="1" applyFill="1" applyBorder="1" applyNumberFormat="1">
      <alignment horizontal="center" vertical="center" wrapText="1"/>
      <protection locked="0"/>
    </xf>
    <xf numFmtId="0" fontId="23" fillId="33" borderId="13" xfId="0" applyFont="1" applyFill="1" applyBorder="1">
      <alignment horizontal="left" vertical="center" wrapText="1"/>
      <protection locked="0"/>
    </xf>
    <xf numFmtId="0" fontId="22" fillId="0" borderId="0" xfId="0" applyFont="1">
      <alignment vertical="center" wrapText="1"/>
    </xf>
    <xf numFmtId="4" fontId="23" fillId="41" borderId="13" xfId="0" applyFont="1" applyFill="1" applyBorder="1" applyNumberFormat="1">
      <alignment horizontal="right" vertical="center" wrapText="1"/>
      <protection locked="0"/>
    </xf>
    <xf numFmtId="4" fontId="23" fillId="38" borderId="13" xfId="0" applyFont="1" applyFill="1" applyBorder="1" applyNumberFormat="1">
      <alignment horizontal="right" vertical="center" wrapText="1"/>
    </xf>
    <xf numFmtId="0" fontId="23" fillId="0" borderId="13" xfId="0" applyFont="1" applyBorder="1">
      <alignment horizontal="left" vertical="center" wrapText="1" indent="1"/>
    </xf>
    <xf numFmtId="49" fontId="79" fillId="0" borderId="0" xfId="0" applyFont="1" applyNumberFormat="1">
      <alignment horizontal="center" vertical="center" wrapText="1"/>
    </xf>
    <xf numFmtId="49" fontId="79" fillId="0" borderId="30" xfId="0" applyFont="1" applyBorder="1" applyNumberFormat="1">
      <alignment horizontal="center" vertical="center" wrapText="1"/>
    </xf>
    <xf numFmtId="0" fontId="79" fillId="0" borderId="13" xfId="0" applyFont="1" applyBorder="1">
      <alignment horizontal="left" vertical="center" wrapText="1" indent="2"/>
    </xf>
    <xf numFmtId="0" fontId="79" fillId="0" borderId="13" xfId="0" applyFont="1" applyBorder="1">
      <alignment horizontal="center" vertical="center" wrapText="1"/>
    </xf>
    <xf numFmtId="0" fontId="79" fillId="0" borderId="13" xfId="0" applyFont="1" applyBorder="1">
      <alignment vertical="center" wrapText="1"/>
    </xf>
    <xf numFmtId="0" fontId="91" fillId="0" borderId="0" xfId="0" applyFont="1">
      <alignment vertical="center" wrapText="1"/>
    </xf>
    <xf numFmtId="0" fontId="69" fillId="0" borderId="0" xfId="0" applyFont="1">
      <alignment vertical="center" wrapText="1"/>
    </xf>
    <xf numFmtId="0" fontId="79" fillId="0" borderId="30" xfId="0" applyFont="1" applyBorder="1">
      <alignment horizontal="center" vertical="center" wrapText="1"/>
    </xf>
    <xf numFmtId="0" fontId="79" fillId="0" borderId="13" xfId="0" applyFont="1" applyBorder="1">
      <alignment horizontal="left" vertical="center" wrapText="1" indent="3"/>
    </xf>
    <xf numFmtId="4" fontId="79" fillId="0" borderId="13" xfId="0" applyFont="1" applyBorder="1" applyNumberFormat="1">
      <alignment horizontal="right" vertical="center" wrapText="1"/>
    </xf>
    <xf numFmtId="49" fontId="23" fillId="40" borderId="15" xfId="0" applyFont="1" applyFill="1" applyBorder="1" applyNumberFormat="1">
      <alignment vertical="center" wrapText="1"/>
    </xf>
    <xf numFmtId="49" fontId="49" fillId="40" borderId="16" xfId="0" applyFont="1" applyFill="1" applyBorder="1" applyNumberFormat="1">
      <alignment horizontal="left" vertical="center" indent="2"/>
    </xf>
    <xf numFmtId="0" fontId="23" fillId="40" borderId="16" xfId="0" applyFont="1" applyFill="1" applyBorder="1">
      <alignment vertical="center" wrapText="1"/>
    </xf>
    <xf numFmtId="0" fontId="55" fillId="40" borderId="14" xfId="0" applyFont="1" applyFill="1" applyBorder="1">
      <alignment vertical="center" wrapText="1"/>
    </xf>
    <xf numFmtId="14" fontId="23" fillId="0" borderId="0" xfId="0" applyFont="1" applyNumberFormat="1">
      <alignment horizontal="center" vertical="center" wrapText="1"/>
    </xf>
    <xf numFmtId="49" fontId="35" fillId="0" borderId="0" xfId="0" applyFont="1" applyNumberFormat="1">
      <alignment horizontal="center" vertical="center"/>
    </xf>
    <xf numFmtId="0" fontId="23" fillId="0" borderId="13" xfId="0" applyFont="1" applyBorder="1">
      <alignment horizontal="left" vertical="center" wrapText="1" indent="2"/>
    </xf>
    <xf numFmtId="248" fontId="23" fillId="41" borderId="13" xfId="0" applyFont="1" applyFill="1" applyBorder="1" applyNumberFormat="1">
      <alignment horizontal="right" vertical="center" wrapText="1"/>
      <protection locked="0"/>
    </xf>
    <xf numFmtId="0" fontId="23" fillId="0" borderId="18" xfId="0" applyFont="1" applyBorder="1">
      <alignment horizontal="center" vertical="center" wrapText="1"/>
    </xf>
    <xf numFmtId="4" fontId="23" fillId="38" borderId="18" xfId="0" applyFont="1" applyFill="1" applyBorder="1" applyNumberFormat="1">
      <alignment horizontal="right" vertical="center" wrapText="1"/>
    </xf>
    <xf numFmtId="49" fontId="49" fillId="40" borderId="16" xfId="0" applyFont="1" applyFill="1" applyBorder="1" applyNumberFormat="1">
      <alignment horizontal="left" vertical="center" indent="1"/>
    </xf>
    <xf numFmtId="0" fontId="23" fillId="0" borderId="0" xfId="0" applyFont="1">
      <alignment horizontal="left" vertical="center" wrapText="1"/>
    </xf>
    <xf numFmtId="0" fontId="23" fillId="0" borderId="0" xfId="0" applyFont="1">
      <alignment vertical="center"/>
    </xf>
    <xf numFmtId="0" fontId="0" fillId="0" borderId="0" xfId="0" applyFont="1">
      <alignment vertical="center"/>
    </xf>
    <xf numFmtId="0" fontId="55" fillId="0" borderId="0" xfId="0" applyFont="1">
      <alignment vertical="center"/>
    </xf>
    <xf numFmtId="0" fontId="23" fillId="0" borderId="0" xfId="0" applyFont="1">
      <alignment vertical="center"/>
    </xf>
    <xf numFmtId="0" fontId="92" fillId="0" borderId="0" xfId="0" applyFont="1">
      <alignment vertical="center"/>
    </xf>
    <xf numFmtId="0" fontId="50" fillId="0" borderId="0" xfId="0" applyFont="1">
      <alignment vertical="center"/>
    </xf>
    <xf numFmtId="0" fontId="23" fillId="0" borderId="0" xfId="0" applyFont="1">
      <alignment vertical="center" wrapText="1"/>
    </xf>
    <xf numFmtId="0" fontId="50" fillId="0" borderId="0" xfId="0" applyFont="1">
      <alignment vertical="center"/>
    </xf>
    <xf numFmtId="0" fontId="92" fillId="0" borderId="0" xfId="0" applyFont="1">
      <alignment vertical="center"/>
    </xf>
    <xf numFmtId="0" fontId="36" fillId="0" borderId="0" xfId="0" applyFont="1">
      <alignment vertical="center"/>
    </xf>
    <xf numFmtId="0" fontId="23" fillId="0" borderId="0" xfId="0" applyFont="1">
      <alignment horizontal="center" vertical="center" wrapText="1"/>
    </xf>
    <xf numFmtId="49" fontId="45" fillId="0" borderId="0" xfId="0" applyFont="1" applyNumberFormat="1">
      <alignment horizontal="center" vertical="center" wrapText="1"/>
    </xf>
    <xf numFmtId="49" fontId="45" fillId="0" borderId="13" xfId="0" applyFont="1" applyBorder="1" applyNumberFormat="1">
      <alignment horizontal="center" vertical="center" wrapText="1"/>
    </xf>
    <xf numFmtId="0" fontId="55" fillId="0" borderId="0" xfId="0" applyFont="1">
      <alignment vertical="center"/>
    </xf>
    <xf numFmtId="0" fontId="0" fillId="0" borderId="0" xfId="0" applyFont="1">
      <alignment vertical="center"/>
    </xf>
    <xf numFmtId="0" fontId="56" fillId="0" borderId="0" xfId="0" applyFont="1">
      <alignment horizontal="center" vertical="center"/>
    </xf>
    <xf numFmtId="0" fontId="23" fillId="0" borderId="0" xfId="0" applyFont="1">
      <alignment horizontal="center" vertical="center" wrapText="1"/>
    </xf>
    <xf numFmtId="0" fontId="23" fillId="40" borderId="15" xfId="0" applyFont="1" applyFill="1" applyBorder="1">
      <alignment horizontal="center" vertical="center" wrapText="1"/>
    </xf>
    <xf numFmtId="49" fontId="23" fillId="40" borderId="16" xfId="0" applyFont="1" applyFill="1" applyBorder="1" applyNumberFormat="1">
      <alignment horizontal="center" vertical="center" wrapText="1"/>
    </xf>
    <xf numFmtId="0" fontId="0" fillId="40" borderId="14" xfId="0" applyFont="1" applyFill="1" applyBorder="1">
      <alignment vertical="center"/>
    </xf>
    <xf numFmtId="49" fontId="23" fillId="0" borderId="18" xfId="0" applyFont="1" applyBorder="1" applyNumberFormat="1">
      <alignment horizontal="center" vertical="center" wrapText="1"/>
    </xf>
    <xf numFmtId="49" fontId="81" fillId="0" borderId="13" xfId="0" applyFont="1" applyBorder="1" applyNumberFormat="1">
      <alignment horizontal="left" vertical="center" wrapText="1" indent="1"/>
    </xf>
    <xf numFmtId="0" fontId="55" fillId="0" borderId="0" xfId="0" applyFont="1">
      <alignment vertical="center"/>
    </xf>
    <xf numFmtId="0" fontId="80" fillId="0" borderId="0" xfId="0" applyFont="1">
      <alignment vertical="center"/>
    </xf>
    <xf numFmtId="0" fontId="0" fillId="0" borderId="0" xfId="0" applyFont="1">
      <alignment vertical="center"/>
    </xf>
    <xf numFmtId="49" fontId="49" fillId="40" borderId="14" xfId="0" applyFont="1" applyFill="1" applyBorder="1" applyNumberFormat="1">
      <alignment horizontal="left" vertical="center" indent="1"/>
    </xf>
    <xf numFmtId="49" fontId="35" fillId="40" borderId="14" xfId="0" applyFont="1" applyFill="1" applyBorder="1" applyNumberFormat="1">
      <alignment horizontal="right" vertical="center" wrapText="1"/>
    </xf>
    <xf numFmtId="0" fontId="81" fillId="43" borderId="0" xfId="0" applyFont="1" applyFill="1">
      <alignment vertical="top"/>
    </xf>
    <xf numFmtId="49" fontId="41" fillId="0" borderId="0" xfId="0" applyFont="1" applyNumberFormat="1">
      <alignment horizontal="center" vertical="center" wrapText="1"/>
    </xf>
    <xf numFmtId="0" fontId="56" fillId="0" borderId="0" xfId="0" applyFont="1">
      <alignment vertical="center" wrapText="1"/>
    </xf>
    <xf numFmtId="0" fontId="41" fillId="0" borderId="0" xfId="0" applyFont="1">
      <alignment vertical="center" wrapText="1"/>
    </xf>
    <xf numFmtId="0" fontId="23" fillId="0" borderId="0" xfId="0" applyFont="1">
      <alignment horizontal="center" vertical="center" wrapText="1"/>
    </xf>
    <xf numFmtId="0" fontId="35" fillId="0" borderId="0" xfId="0" applyFont="1">
      <alignment horizontal="center" vertical="center" wrapText="1"/>
    </xf>
    <xf numFmtId="49" fontId="41" fillId="0" borderId="0" xfId="0" applyFont="1" applyNumberFormat="1">
      <alignment horizontal="center" vertical="center" wrapText="1"/>
    </xf>
    <xf numFmtId="4" fontId="23" fillId="0" borderId="0" xfId="0" applyFont="1" applyNumberFormat="1">
      <alignment horizontal="right" vertical="center" wrapText="1"/>
    </xf>
    <xf numFmtId="9" fontId="35" fillId="0" borderId="0" xfId="0" applyFont="1" applyNumberFormat="1">
      <alignment horizontal="center" vertical="center" wrapText="1"/>
    </xf>
    <xf numFmtId="0" fontId="78" fillId="0" borderId="0" xfId="0" applyFont="1">
      <alignment vertical="center" wrapText="1"/>
    </xf>
    <xf numFmtId="0" fontId="56" fillId="0" borderId="0" xfId="0" applyFont="1">
      <alignment vertical="center" wrapText="1"/>
    </xf>
    <xf numFmtId="0" fontId="41" fillId="0" borderId="0" xfId="0" applyFont="1">
      <alignment vertical="center" wrapText="1"/>
    </xf>
    <xf numFmtId="49" fontId="69" fillId="0" borderId="0" xfId="0" applyFont="1" applyNumberFormat="1">
      <alignment horizontal="center" vertical="center" wrapText="1"/>
    </xf>
    <xf numFmtId="0" fontId="69" fillId="0" borderId="0" xfId="0" applyFont="1">
      <alignment vertical="center" wrapText="1"/>
    </xf>
    <xf numFmtId="0" fontId="0" fillId="0" borderId="0" xfId="0" applyFont="1">
      <alignment vertical="top"/>
    </xf>
    <xf numFmtId="49" fontId="0" fillId="0" borderId="0" xfId="0" applyFont="1" applyNumberFormat="1">
      <alignment vertical="top"/>
    </xf>
    <xf numFmtId="49" fontId="56" fillId="0" borderId="0" xfId="0" applyFont="1" applyNumberFormat="1">
      <alignment vertical="top"/>
    </xf>
    <xf numFmtId="49" fontId="55" fillId="0" borderId="0" xfId="0" applyFont="1" applyNumberFormat="1">
      <alignment vertical="top"/>
    </xf>
    <xf numFmtId="49" fontId="56" fillId="0" borderId="0" xfId="0" applyFont="1" applyNumberFormat="1">
      <alignment vertical="top"/>
    </xf>
    <xf numFmtId="49" fontId="55" fillId="0" borderId="0" xfId="0" applyFont="1" applyNumberFormat="1">
      <alignment vertical="top"/>
    </xf>
    <xf numFmtId="49" fontId="55" fillId="0" borderId="0" xfId="0" applyFont="1" applyNumberFormat="1">
      <alignment vertical="top"/>
    </xf>
    <xf numFmtId="0" fontId="55" fillId="0" borderId="0" xfId="0" applyFont="1">
      <alignment vertical="top"/>
    </xf>
    <xf numFmtId="0" fontId="80" fillId="0" borderId="0" xfId="0" applyFont="1">
      <alignment vertical="top"/>
    </xf>
    <xf numFmtId="0" fontId="93" fillId="0" borderId="0" xfId="0" applyFont="1">
      <alignment vertical="top"/>
    </xf>
    <xf numFmtId="0" fontId="55" fillId="0" borderId="0" xfId="0" applyFont="1">
      <alignment horizontal="center" vertical="center" wrapText="1"/>
    </xf>
    <xf numFmtId="0" fontId="56" fillId="0" borderId="0" xfId="0" applyFont="1">
      <alignment horizontal="center" vertical="center" wrapText="1"/>
    </xf>
    <xf numFmtId="0" fontId="56" fillId="0" borderId="13" xfId="0" applyFont="1" applyBorder="1">
      <alignment horizontal="left" vertical="center" wrapText="1"/>
    </xf>
    <xf numFmtId="0" fontId="56" fillId="0" borderId="13" xfId="0" applyFont="1" applyBorder="1">
      <alignment vertical="center" wrapText="1"/>
    </xf>
    <xf numFmtId="49" fontId="0" fillId="0" borderId="14" xfId="0" applyFont="1" applyBorder="1" applyNumberFormat="1">
      <alignment horizontal="center" vertical="center" wrapText="1"/>
    </xf>
    <xf numFmtId="49" fontId="0" fillId="0" borderId="13" xfId="0" applyFont="1" applyBorder="1" applyNumberFormat="1">
      <alignment horizontal="center" vertical="center"/>
    </xf>
    <xf numFmtId="4" fontId="0" fillId="38" borderId="13" xfId="0" applyFont="1" applyFill="1" applyBorder="1" applyNumberFormat="1">
      <alignment horizontal="right" vertical="center" wrapText="1"/>
    </xf>
    <xf numFmtId="0" fontId="0" fillId="0" borderId="13" xfId="0" applyFont="1" applyBorder="1">
      <alignment vertical="center" wrapText="1"/>
    </xf>
    <xf numFmtId="49" fontId="0" fillId="0" borderId="31" xfId="0" applyFont="1" applyBorder="1" applyNumberFormat="1">
      <alignment horizontal="center" vertical="center" wrapText="1"/>
    </xf>
    <xf numFmtId="4" fontId="0" fillId="41" borderId="13" xfId="0" applyFont="1" applyFill="1" applyBorder="1" applyNumberFormat="1">
      <alignment horizontal="right" vertical="center" wrapText="1"/>
      <protection locked="0"/>
    </xf>
    <xf numFmtId="49" fontId="0" fillId="41" borderId="13" xfId="0" applyFont="1" applyFill="1" applyBorder="1" applyNumberFormat="1">
      <alignment horizontal="center" vertical="center" wrapText="1"/>
      <protection locked="0"/>
    </xf>
    <xf numFmtId="4" fontId="55" fillId="0" borderId="13" xfId="0" applyFont="1" applyBorder="1" applyNumberFormat="1">
      <alignment horizontal="right" vertical="center" wrapText="1"/>
    </xf>
    <xf numFmtId="49" fontId="0" fillId="40" borderId="28" xfId="0" applyFont="1" applyFill="1" applyBorder="1" applyNumberFormat="1">
      <alignment horizontal="center" vertical="center"/>
    </xf>
    <xf numFmtId="49" fontId="0" fillId="40" borderId="16" xfId="0" applyFont="1" applyFill="1" applyBorder="1" applyNumberFormat="1">
      <alignment horizontal="center" vertical="center"/>
    </xf>
    <xf numFmtId="49" fontId="49" fillId="40" borderId="16" xfId="0" applyFont="1" applyFill="1" applyBorder="1" applyNumberFormat="1">
      <alignment horizontal="left" vertical="center"/>
    </xf>
    <xf numFmtId="49" fontId="49" fillId="40" borderId="14" xfId="0" applyFont="1" applyFill="1" applyBorder="1" applyNumberFormat="1">
      <alignment horizontal="left" vertical="center" indent="1"/>
    </xf>
    <xf numFmtId="49" fontId="49" fillId="40" borderId="15" xfId="0" applyFont="1" applyFill="1" applyBorder="1" applyNumberFormat="1">
      <alignment horizontal="left" vertical="center"/>
    </xf>
    <xf numFmtId="49" fontId="49" fillId="40" borderId="16" xfId="0" applyFont="1" applyFill="1" applyBorder="1" applyNumberFormat="1">
      <alignment horizontal="left" vertical="center" indent="1"/>
    </xf>
    <xf numFmtId="49" fontId="49" fillId="40" borderId="16" xfId="0" applyFont="1" applyFill="1" applyBorder="1" applyNumberFormat="1">
      <alignment horizontal="left" vertical="center"/>
    </xf>
    <xf numFmtId="49" fontId="49" fillId="40" borderId="14" xfId="0" applyFont="1" applyFill="1" applyBorder="1" applyNumberFormat="1">
      <alignment horizontal="left" vertical="center" indent="1"/>
    </xf>
    <xf numFmtId="0" fontId="49" fillId="0" borderId="13" xfId="0" applyFont="1" applyBorder="1">
      <alignment horizontal="left" vertical="center" indent="1"/>
    </xf>
    <xf numFmtId="0" fontId="23" fillId="0" borderId="0" xfId="0" applyFont="1">
      <alignment horizontal="right" vertical="center" wrapText="1"/>
    </xf>
    <xf numFmtId="0" fontId="0" fillId="0" borderId="0" xfId="0" applyFont="1">
      <alignment vertical="center"/>
    </xf>
    <xf numFmtId="0" fontId="54" fillId="0" borderId="0" xfId="0" applyFont="1">
      <alignment horizontal="right" vertical="top" wrapText="1"/>
    </xf>
    <xf numFmtId="0" fontId="23" fillId="0" borderId="0" xfId="0" applyFont="1">
      <alignment vertical="top" wrapText="1"/>
    </xf>
    <xf numFmtId="0" fontId="23" fillId="0" borderId="0" xfId="0" applyFont="1">
      <alignment horizontal="left" vertical="top" wrapText="1"/>
    </xf>
    <xf numFmtId="0" fontId="45" fillId="0" borderId="0" xfId="0" applyFont="1">
      <alignment horizontal="center" vertical="center" wrapText="1"/>
    </xf>
    <xf numFmtId="4" fontId="23" fillId="0" borderId="13" xfId="0" applyFont="1" applyBorder="1" applyNumberFormat="1">
      <alignment horizontal="center" vertical="center" wrapText="1"/>
    </xf>
    <xf numFmtId="49" fontId="29" fillId="33" borderId="15" xfId="0" applyFont="1" applyFill="1" applyBorder="1" applyNumberFormat="1">
      <alignment horizontal="left" vertical="center" wrapText="1"/>
      <protection locked="0"/>
    </xf>
    <xf numFmtId="49" fontId="29" fillId="33" borderId="15" xfId="0" applyFont="1" applyFill="1" applyBorder="1" applyNumberFormat="1">
      <alignment horizontal="left" vertical="center" wrapText="1"/>
      <protection locked="0"/>
    </xf>
    <xf numFmtId="49" fontId="23" fillId="41" borderId="13" xfId="0" applyFont="1" applyFill="1" applyBorder="1" applyNumberFormat="1">
      <alignment horizontal="left" vertical="center" wrapText="1"/>
      <protection locked="0"/>
    </xf>
    <xf numFmtId="0" fontId="54" fillId="0" borderId="0" xfId="0" applyFont="1">
      <alignment vertical="top"/>
    </xf>
    <xf numFmtId="49" fontId="23" fillId="0" borderId="32" xfId="0" applyFont="1" applyBorder="1" applyNumberFormat="1">
      <alignment horizontal="center" vertical="center" wrapText="1"/>
    </xf>
    <xf numFmtId="0" fontId="23" fillId="0" borderId="32" xfId="0" applyFont="1" applyBorder="1">
      <alignment horizontal="left" vertical="center" wrapText="1"/>
    </xf>
    <xf numFmtId="0" fontId="23" fillId="0" borderId="32" xfId="0" applyFont="1" applyBorder="1">
      <alignment horizontal="left" vertical="center" wrapText="1" indent="1"/>
    </xf>
    <xf numFmtId="4" fontId="23" fillId="41" borderId="32" xfId="0" applyFont="1" applyFill="1" applyBorder="1" applyNumberFormat="1">
      <alignment horizontal="right" vertical="center" wrapText="1"/>
      <protection locked="0"/>
    </xf>
    <xf numFmtId="49" fontId="23" fillId="0" borderId="33" xfId="0" applyFont="1" applyBorder="1" applyNumberFormat="1">
      <alignment horizontal="center" vertical="center" wrapText="1"/>
    </xf>
    <xf numFmtId="49" fontId="23" fillId="41" borderId="13" xfId="0" applyFont="1" applyFill="1" applyBorder="1" applyNumberFormat="1">
      <alignment horizontal="left" vertical="center" wrapText="1" indent="1"/>
      <protection locked="0"/>
    </xf>
    <xf numFmtId="0" fontId="23" fillId="0" borderId="32" xfId="0" applyFont="1" applyBorder="1">
      <alignment horizontal="left" vertical="center" wrapText="1" indent="2"/>
    </xf>
    <xf numFmtId="0" fontId="55" fillId="0" borderId="0" xfId="0" applyFont="1">
      <alignment horizontal="center" vertical="center" wrapText="1"/>
    </xf>
    <xf numFmtId="49" fontId="23" fillId="0" borderId="0" xfId="0" applyFont="1" applyNumberFormat="1">
      <alignment horizontal="left" vertical="center" wrapText="1"/>
    </xf>
    <xf numFmtId="0" fontId="89" fillId="0" borderId="0" xfId="0" applyFont="1">
      <alignment vertical="center" wrapText="1"/>
    </xf>
    <xf numFmtId="0" fontId="89" fillId="0" borderId="0" xfId="0" applyFont="1">
      <alignment vertical="center" wrapText="1"/>
    </xf>
    <xf numFmtId="0" fontId="23" fillId="0" borderId="0" xfId="0" applyFont="1">
      <alignment horizontal="left" vertical="center" wrapText="1"/>
    </xf>
    <xf numFmtId="0" fontId="23" fillId="0" borderId="13" xfId="0" applyFont="1" applyBorder="1">
      <alignment horizontal="left" vertical="center" wrapText="1"/>
    </xf>
    <xf numFmtId="3" fontId="23" fillId="0" borderId="15" xfId="0" applyFont="1" applyBorder="1" applyNumberFormat="1">
      <alignment vertical="center" wrapText="1"/>
    </xf>
    <xf numFmtId="0" fontId="23" fillId="0" borderId="14" xfId="0" applyFont="1" applyBorder="1">
      <alignment vertical="center" wrapText="1"/>
    </xf>
    <xf numFmtId="4" fontId="23" fillId="33" borderId="15" xfId="0" applyFont="1" applyFill="1" applyBorder="1" applyNumberFormat="1">
      <alignment horizontal="right" vertical="center" wrapText="1"/>
      <protection locked="0"/>
    </xf>
    <xf numFmtId="4" fontId="23" fillId="0" borderId="15" xfId="0" applyFont="1" applyBorder="1" applyNumberFormat="1">
      <alignment horizontal="right" vertical="center" wrapText="1"/>
    </xf>
    <xf numFmtId="4" fontId="23" fillId="0" borderId="28" xfId="0" applyFont="1" applyBorder="1" applyNumberFormat="1">
      <alignment horizontal="right" vertical="center" wrapText="1"/>
    </xf>
    <xf numFmtId="0" fontId="45" fillId="0" borderId="0" xfId="0" applyFont="1">
      <alignment horizontal="center" vertical="center" wrapText="1"/>
    </xf>
    <xf numFmtId="0" fontId="23" fillId="0" borderId="15" xfId="0" applyFont="1" applyBorder="1">
      <alignment horizontal="center" vertical="center" wrapText="1"/>
    </xf>
    <xf numFmtId="3" fontId="23" fillId="41" borderId="15" xfId="0" applyFont="1" applyFill="1" applyBorder="1" applyNumberFormat="1">
      <alignment vertical="center" wrapText="1"/>
      <protection locked="0"/>
    </xf>
    <xf numFmtId="49" fontId="23" fillId="33" borderId="15" xfId="0" applyFont="1" applyFill="1" applyBorder="1" applyNumberFormat="1">
      <alignment horizontal="left" vertical="center" wrapText="1"/>
      <protection locked="0"/>
    </xf>
    <xf numFmtId="4" fontId="23" fillId="38" borderId="15" xfId="0" applyFont="1" applyFill="1" applyBorder="1" applyNumberFormat="1">
      <alignment horizontal="right" vertical="center" wrapText="1"/>
    </xf>
    <xf numFmtId="0" fontId="23" fillId="0" borderId="0" xfId="0" applyFont="1">
      <alignment horizontal="left" vertical="center" wrapText="1"/>
    </xf>
    <xf numFmtId="0" fontId="0" fillId="0" borderId="15" xfId="0" applyFont="1" applyBorder="1">
      <alignment horizontal="center" vertical="center"/>
    </xf>
    <xf numFmtId="49" fontId="0" fillId="0" borderId="13" xfId="0" applyFont="1" applyBorder="1" applyNumberFormat="1">
      <alignment horizontal="left" vertical="center" wrapText="1" indent="1"/>
    </xf>
    <xf numFmtId="0" fontId="23" fillId="0" borderId="14" xfId="0" applyFont="1" applyBorder="1">
      <alignment horizontal="center" vertical="center" wrapText="1"/>
    </xf>
    <xf numFmtId="49" fontId="0" fillId="0" borderId="15" xfId="0" applyFont="1" applyBorder="1" applyNumberFormat="1">
      <alignment horizontal="center" vertical="center"/>
    </xf>
    <xf numFmtId="49" fontId="0" fillId="0" borderId="13" xfId="0" applyFont="1" applyBorder="1" applyNumberFormat="1">
      <alignment vertical="center" wrapText="1"/>
    </xf>
    <xf numFmtId="0" fontId="23" fillId="40" borderId="20" xfId="0" applyFont="1" applyFill="1" applyBorder="1">
      <alignment vertical="center" wrapText="1"/>
    </xf>
    <xf numFmtId="0" fontId="23" fillId="0" borderId="16" xfId="0" applyFont="1" applyBorder="1">
      <alignment horizontal="center" vertical="center" wrapText="1"/>
    </xf>
    <xf numFmtId="0" fontId="23" fillId="40" borderId="29" xfId="0" applyFont="1" applyFill="1" applyBorder="1">
      <alignment vertical="center" wrapText="1"/>
    </xf>
    <xf numFmtId="49" fontId="23" fillId="41" borderId="15" xfId="0" applyFont="1" applyFill="1" applyBorder="1" applyNumberFormat="1">
      <alignment horizontal="left" vertical="center" wrapText="1"/>
      <protection locked="0"/>
    </xf>
    <xf numFmtId="49" fontId="0" fillId="33" borderId="13" xfId="0" applyFont="1" applyFill="1" applyBorder="1" applyNumberFormat="1">
      <alignment horizontal="left" vertical="center" wrapText="1"/>
      <protection locked="0"/>
    </xf>
    <xf numFmtId="0" fontId="22" fillId="0" borderId="0" xfId="0" applyFont="1">
      <alignment horizontal="left" vertical="center" wrapText="1" indent="1"/>
    </xf>
    <xf numFmtId="0" fontId="94" fillId="0" borderId="0" xfId="0" applyFont="1">
      <alignment vertical="center" wrapText="1"/>
    </xf>
    <xf numFmtId="0" fontId="94" fillId="36" borderId="0" xfId="0" applyFont="1" applyFill="1">
      <alignment horizontal="center" vertical="center" wrapText="1"/>
    </xf>
    <xf numFmtId="0" fontId="94" fillId="36" borderId="0" xfId="0" applyFont="1" applyFill="1">
      <alignment horizontal="right" vertical="center" wrapText="1"/>
    </xf>
    <xf numFmtId="0" fontId="23" fillId="0" borderId="13" xfId="0" applyFont="1" applyBorder="1">
      <alignment horizontal="center" vertical="center" wrapText="1"/>
    </xf>
    <xf numFmtId="49" fontId="55" fillId="0" borderId="0" xfId="0" applyFont="1" applyNumberFormat="1">
      <alignment horizontal="center" vertical="center" wrapText="1"/>
    </xf>
    <xf numFmtId="0" fontId="23" fillId="0" borderId="13" xfId="0" applyFont="1" applyBorder="1">
      <alignment horizontal="center" vertical="center" wrapText="1"/>
    </xf>
    <xf numFmtId="0" fontId="55" fillId="0" borderId="0" xfId="0" applyFont="1">
      <alignment horizontal="center" vertical="top"/>
    </xf>
    <xf numFmtId="0" fontId="23" fillId="0" borderId="13" xfId="0" applyFont="1" applyBorder="1">
      <alignment horizontal="left" vertical="center" wrapText="1"/>
    </xf>
    <xf numFmtId="0" fontId="56" fillId="0" borderId="0" xfId="0" applyFont="1">
      <alignment horizontal="center" vertical="center" wrapText="1"/>
    </xf>
    <xf numFmtId="0" fontId="23" fillId="0" borderId="13" xfId="0" applyFont="1" applyBorder="1">
      <alignment horizontal="left" vertical="center" wrapText="1"/>
    </xf>
    <xf numFmtId="49" fontId="23" fillId="42" borderId="13" xfId="0" applyFont="1" applyFill="1" applyBorder="1" applyNumberFormat="1">
      <alignment horizontal="left" vertical="center" wrapText="1" indent="1"/>
    </xf>
    <xf numFmtId="0" fontId="23" fillId="0" borderId="15" xfId="0" applyFont="1" applyBorder="1">
      <alignment vertical="center" wrapText="1"/>
    </xf>
    <xf numFmtId="0" fontId="23" fillId="0" borderId="0" xfId="0" applyFont="1">
      <alignment horizontal="right" vertical="center"/>
    </xf>
    <xf numFmtId="49" fontId="29" fillId="40" borderId="14" xfId="0" applyFont="1" applyFill="1" applyBorder="1" applyNumberFormat="1">
      <alignment horizontal="left" vertical="center" wrapText="1"/>
    </xf>
    <xf numFmtId="0" fontId="95" fillId="0" borderId="0" xfId="0" applyFont="1">
      <alignment vertical="center"/>
    </xf>
    <xf numFmtId="0" fontId="96" fillId="0" borderId="0" xfId="80" applyFont="1">
      <alignment vertical="center"/>
    </xf>
    <xf numFmtId="49" fontId="56" fillId="0" borderId="23" xfId="0" applyFont="1" applyBorder="1" applyNumberFormat="1">
      <alignment vertical="top"/>
    </xf>
    <xf numFmtId="49" fontId="56" fillId="0" borderId="23" xfId="0" applyFont="1" applyBorder="1" applyNumberFormat="1">
      <alignment vertical="top"/>
    </xf>
    <xf numFmtId="0" fontId="56" fillId="0" borderId="23" xfId="0" applyFont="1" applyBorder="1">
      <alignment vertical="center" wrapText="1"/>
    </xf>
    <xf numFmtId="0" fontId="23" fillId="0" borderId="14" xfId="0" applyFont="1" applyBorder="1">
      <alignment horizontal="left" vertical="center" wrapText="1" indent="1"/>
    </xf>
    <xf numFmtId="0" fontId="78" fillId="0" borderId="23" xfId="0" applyFont="1" applyBorder="1">
      <alignment vertical="center" wrapText="1"/>
    </xf>
    <xf numFmtId="0" fontId="23" fillId="0" borderId="13" xfId="0" applyFont="1" applyBorder="1">
      <alignment horizontal="center" vertical="center" wrapText="1"/>
    </xf>
    <xf numFmtId="4" fontId="23" fillId="0" borderId="32" xfId="0" applyFont="1" applyBorder="1" applyNumberFormat="1">
      <alignment horizontal="center" vertical="center" wrapText="1"/>
    </xf>
    <xf numFmtId="0" fontId="23" fillId="0" borderId="34" xfId="0" applyFont="1" applyBorder="1">
      <alignment horizontal="left" vertical="center" wrapText="1"/>
    </xf>
    <xf numFmtId="0" fontId="23" fillId="0" borderId="34" xfId="0" applyFont="1" applyBorder="1">
      <alignment horizontal="left" vertical="center" wrapText="1" indent="1"/>
    </xf>
    <xf numFmtId="4" fontId="23" fillId="41" borderId="34" xfId="0" applyFont="1" applyFill="1" applyBorder="1" applyNumberFormat="1">
      <alignment horizontal="right" vertical="center" wrapText="1"/>
      <protection locked="0"/>
    </xf>
    <xf numFmtId="4" fontId="23" fillId="0" borderId="34" xfId="0" applyFont="1" applyBorder="1" applyNumberFormat="1">
      <alignment horizontal="center" vertical="center" wrapText="1"/>
    </xf>
    <xf numFmtId="49" fontId="23" fillId="0" borderId="35" xfId="0" applyFont="1" applyBorder="1" applyNumberFormat="1">
      <alignment horizontal="center" vertical="center" wrapText="1"/>
    </xf>
    <xf numFmtId="4" fontId="23" fillId="41" borderId="15" xfId="0" applyFont="1" applyFill="1" applyBorder="1" applyNumberFormat="1">
      <alignment horizontal="right" vertical="center" wrapText="1"/>
      <protection locked="0"/>
    </xf>
    <xf numFmtId="4" fontId="23" fillId="41" borderId="35" xfId="0" applyFont="1" applyFill="1" applyBorder="1" applyNumberFormat="1">
      <alignment horizontal="right" vertical="center" wrapText="1"/>
      <protection locked="0"/>
    </xf>
    <xf numFmtId="0" fontId="55" fillId="0" borderId="0" xfId="0" applyFont="1">
      <alignment horizontal="left" vertical="center" wrapText="1"/>
    </xf>
    <xf numFmtId="0" fontId="56" fillId="0" borderId="0" xfId="0" applyFont="1">
      <alignment horizontal="left" vertical="center" wrapText="1"/>
    </xf>
    <xf numFmtId="0" fontId="60" fillId="0" borderId="0" xfId="0" applyFont="1">
      <alignment horizontal="left" vertical="center" wrapText="1"/>
    </xf>
    <xf numFmtId="0" fontId="41" fillId="0" borderId="0" xfId="0" applyFont="1">
      <alignment horizontal="left" vertical="center" wrapText="1"/>
    </xf>
    <xf numFmtId="49" fontId="23" fillId="0" borderId="0" xfId="0" applyFont="1" applyNumberFormat="1">
      <alignment horizontal="center" vertical="center" wrapText="1"/>
    </xf>
    <xf numFmtId="0" fontId="90" fillId="0" borderId="0" xfId="0" applyFont="1">
      <alignment vertical="center" wrapText="1"/>
    </xf>
    <xf numFmtId="0" fontId="56" fillId="0" borderId="0" xfId="0" applyFont="1">
      <alignment vertical="center" wrapText="1"/>
    </xf>
    <xf numFmtId="0" fontId="60" fillId="0" borderId="0" xfId="0" applyFont="1">
      <alignment vertical="center" wrapText="1"/>
    </xf>
    <xf numFmtId="0" fontId="41" fillId="0" borderId="0" xfId="0" applyFont="1">
      <alignment vertical="center" wrapText="1"/>
    </xf>
    <xf numFmtId="49" fontId="35" fillId="0" borderId="0" xfId="0" applyFont="1" applyNumberFormat="1">
      <alignment horizontal="center" vertical="center"/>
    </xf>
    <xf numFmtId="0" fontId="23" fillId="0" borderId="0" xfId="0" applyFont="1">
      <alignment vertical="center" wrapText="1"/>
    </xf>
    <xf numFmtId="4" fontId="23" fillId="0" borderId="36" xfId="0" applyFont="1" applyBorder="1" applyNumberFormat="1">
      <alignment horizontal="center" vertical="center" wrapText="1"/>
    </xf>
    <xf numFmtId="4" fontId="23" fillId="41" borderId="36" xfId="0" applyFont="1" applyFill="1" applyBorder="1" applyNumberFormat="1">
      <alignment horizontal="right" vertical="center" wrapText="1"/>
      <protection locked="0"/>
    </xf>
    <xf numFmtId="4" fontId="23" fillId="41" borderId="24" xfId="0" applyFont="1" applyFill="1" applyBorder="1" applyNumberFormat="1">
      <alignment horizontal="right" vertical="center" wrapText="1"/>
      <protection locked="0"/>
    </xf>
    <xf numFmtId="49" fontId="23" fillId="0" borderId="34" xfId="0" applyFont="1" applyBorder="1" applyNumberFormat="1">
      <alignment horizontal="center" vertical="center" wrapText="1"/>
    </xf>
    <xf numFmtId="0" fontId="23" fillId="0" borderId="36" xfId="0" applyFont="1" applyBorder="1">
      <alignment horizontal="left" vertical="center" wrapText="1"/>
    </xf>
    <xf numFmtId="0" fontId="23" fillId="0" borderId="21" xfId="0" applyFont="1" applyBorder="1">
      <alignment vertical="center" wrapText="1"/>
    </xf>
    <xf numFmtId="0" fontId="46" fillId="0" borderId="0" xfId="0" applyFont="1">
      <alignment horizontal="center" vertical="center" wrapText="1"/>
    </xf>
    <xf numFmtId="0" fontId="23" fillId="40" borderId="16" xfId="0" applyFont="1" applyFill="1" applyBorder="1">
      <alignment vertical="center" wrapText="1"/>
    </xf>
    <xf numFmtId="0" fontId="55" fillId="40" borderId="14" xfId="0" applyFont="1" applyFill="1" applyBorder="1">
      <alignment vertical="center" wrapText="1"/>
    </xf>
    <xf numFmtId="248" fontId="23" fillId="38" borderId="13" xfId="0" applyFont="1" applyFill="1" applyBorder="1" applyNumberFormat="1">
      <alignment horizontal="right" vertical="center" wrapText="1"/>
    </xf>
    <xf numFmtId="0" fontId="0" fillId="0" borderId="0" xfId="0" applyFont="1">
      <alignment vertical="center"/>
    </xf>
    <xf numFmtId="4" fontId="23" fillId="33" borderId="13" xfId="0" applyFont="1" applyFill="1" applyBorder="1" applyNumberFormat="1">
      <alignment horizontal="right" vertical="center" wrapText="1"/>
      <protection locked="0"/>
    </xf>
    <xf numFmtId="49" fontId="32" fillId="41" borderId="13" xfId="0" applyFont="1" applyFill="1" applyBorder="1" applyNumberFormat="1">
      <alignment horizontal="left" vertical="center" wrapText="1" indent="1"/>
      <protection locked="0"/>
    </xf>
    <xf numFmtId="0" fontId="76" fillId="36" borderId="0" xfId="0" applyFont="1" applyFill="1">
      <alignment horizontal="right" vertical="center"/>
    </xf>
    <xf numFmtId="49" fontId="0" fillId="0" borderId="13" xfId="0" applyFont="1" applyBorder="1" applyNumberFormat="1">
      <alignment vertical="top"/>
    </xf>
    <xf numFmtId="0" fontId="23" fillId="0" borderId="15" xfId="0" applyFont="1" applyBorder="1">
      <alignment horizontal="center" vertical="center" wrapText="1"/>
    </xf>
    <xf numFmtId="49" fontId="0" fillId="16" borderId="13" xfId="0" applyFont="1" applyFill="1" applyBorder="1" applyNumberFormat="1">
      <alignment vertical="top"/>
    </xf>
    <xf numFmtId="49" fontId="0" fillId="16" borderId="18" xfId="0" applyFont="1" applyFill="1" applyBorder="1" applyNumberFormat="1">
      <alignment vertical="top"/>
    </xf>
    <xf numFmtId="49" fontId="0" fillId="44" borderId="18" xfId="0" applyFont="1" applyFill="1" applyBorder="1" applyNumberFormat="1">
      <alignment vertical="top"/>
    </xf>
    <xf numFmtId="0" fontId="23" fillId="0" borderId="0" xfId="0" applyFont="1">
      <alignment vertical="center" wrapText="1"/>
    </xf>
    <xf numFmtId="0" fontId="41" fillId="0" borderId="0" xfId="0" applyFont="1">
      <alignment vertical="center" wrapText="1"/>
    </xf>
    <xf numFmtId="0" fontId="23" fillId="0" borderId="13" xfId="0" applyFont="1" applyBorder="1">
      <alignment horizontal="center" vertical="center" wrapText="1"/>
    </xf>
    <xf numFmtId="0" fontId="23" fillId="0" borderId="13" xfId="0" applyFont="1" applyBorder="1">
      <alignment horizontal="center" vertical="center" wrapText="1"/>
    </xf>
    <xf numFmtId="49" fontId="23" fillId="0" borderId="0" xfId="0" applyFont="1" applyNumberFormat="1">
      <alignment vertical="center" wrapText="1"/>
    </xf>
    <xf numFmtId="0" fontId="23" fillId="0" borderId="0" xfId="0" applyFont="1">
      <alignment horizontal="center" vertical="center" wrapText="1"/>
    </xf>
    <xf numFmtId="49" fontId="0" fillId="0" borderId="15" xfId="0" applyFont="1" applyBorder="1" applyNumberFormat="1">
      <alignment vertical="top"/>
    </xf>
    <xf numFmtId="49" fontId="0" fillId="0" borderId="15" xfId="0" applyFont="1" applyBorder="1" applyNumberFormat="1">
      <alignment horizontal="center" vertical="top"/>
    </xf>
    <xf numFmtId="49" fontId="0" fillId="0" borderId="16" xfId="0" applyFont="1" applyBorder="1" applyNumberFormat="1">
      <alignment horizontal="center" vertical="top"/>
    </xf>
    <xf numFmtId="49" fontId="0" fillId="5" borderId="13" xfId="0" applyFont="1" applyFill="1" applyBorder="1" applyNumberFormat="1">
      <alignment vertical="top"/>
    </xf>
    <xf numFmtId="49" fontId="0" fillId="45" borderId="13" xfId="0" applyFont="1" applyFill="1" applyBorder="1" applyNumberFormat="1">
      <alignment vertical="top"/>
    </xf>
    <xf numFmtId="49" fontId="0" fillId="3" borderId="13" xfId="0" applyFont="1" applyFill="1" applyBorder="1" applyNumberFormat="1">
      <alignment vertical="top"/>
    </xf>
    <xf numFmtId="49" fontId="0" fillId="0" borderId="0" xfId="0" applyFont="1" applyNumberFormat="1">
      <alignment vertical="top"/>
    </xf>
    <xf numFmtId="0" fontId="23" fillId="0" borderId="0" xfId="80" applyFont="1">
      <alignment horizontal="center" vertical="center" wrapText="1"/>
    </xf>
    <xf numFmtId="0" fontId="35" fillId="36" borderId="0" xfId="80" applyFont="1" applyFill="1">
      <alignment vertical="center" wrapText="1"/>
    </xf>
    <xf numFmtId="0" fontId="29" fillId="0" borderId="0" xfId="0" applyFont="1">
      <alignment horizontal="left" vertical="center" indent="1"/>
    </xf>
    <xf numFmtId="0" fontId="0" fillId="36" borderId="0" xfId="80" applyFont="1" applyFill="1">
      <alignment horizontal="right" vertical="center" wrapText="1" indent="1"/>
    </xf>
    <xf numFmtId="0" fontId="0" fillId="36" borderId="0" xfId="80" applyFont="1" applyFill="1">
      <alignment horizontal="left" vertical="center" wrapText="1" indent="1"/>
    </xf>
    <xf numFmtId="14" fontId="23" fillId="36" borderId="0" xfId="80" applyFont="1" applyFill="1" applyNumberFormat="1">
      <alignment horizontal="center" vertical="center" wrapText="1"/>
    </xf>
    <xf numFmtId="249" fontId="23" fillId="0" borderId="15" xfId="0" applyFont="1" applyBorder="1" applyNumberFormat="1">
      <alignment horizontal="center" vertical="center" wrapText="1"/>
    </xf>
    <xf numFmtId="49" fontId="45" fillId="0" borderId="16" xfId="0" applyFont="1" applyBorder="1" applyNumberFormat="1">
      <alignment horizontal="center" vertical="center" wrapText="1"/>
    </xf>
    <xf numFmtId="49" fontId="23" fillId="0" borderId="0" xfId="0" applyFont="1" applyNumberFormat="1">
      <alignment horizontal="center" vertical="center" wrapText="1"/>
    </xf>
    <xf numFmtId="0" fontId="23" fillId="0" borderId="24" xfId="0" applyFont="1" applyBorder="1">
      <alignment horizontal="center" vertical="center" wrapText="1"/>
    </xf>
    <xf numFmtId="0" fontId="46" fillId="0" borderId="0" xfId="0" applyFont="1">
      <alignment horizontal="center" vertical="center" wrapText="1"/>
    </xf>
    <xf numFmtId="49" fontId="0" fillId="46" borderId="13" xfId="0" applyFont="1" applyFill="1" applyBorder="1" applyNumberFormat="1">
      <alignment vertical="top"/>
    </xf>
    <xf numFmtId="0" fontId="46" fillId="0" borderId="0" xfId="0" applyFont="1">
      <alignment horizontal="center" vertical="center" wrapText="1"/>
    </xf>
    <xf numFmtId="0" fontId="97" fillId="0" borderId="0" xfId="80" applyFont="1">
      <alignment horizontal="left" vertical="center" wrapText="1"/>
    </xf>
    <xf numFmtId="0" fontId="97" fillId="0" borderId="0" xfId="80" applyFont="1">
      <alignment horizontal="left" vertical="center" wrapText="1"/>
    </xf>
    <xf numFmtId="14" fontId="97" fillId="36" borderId="0" xfId="80" applyFont="1" applyFill="1" applyNumberFormat="1">
      <alignment horizontal="left" vertical="center" wrapText="1"/>
    </xf>
    <xf numFmtId="14" fontId="98" fillId="0" borderId="0" xfId="80" applyFont="1" applyNumberFormat="1">
      <alignment horizontal="center" vertical="center" wrapText="1"/>
    </xf>
    <xf numFmtId="0" fontId="97" fillId="0" borderId="0" xfId="80" applyFont="1">
      <alignment horizontal="left" vertical="center" wrapText="1"/>
    </xf>
    <xf numFmtId="14" fontId="99" fillId="0" borderId="13" xfId="80" applyFont="1" applyBorder="1" applyNumberFormat="1">
      <alignment horizontal="left" vertical="center" wrapText="1"/>
    </xf>
    <xf numFmtId="0" fontId="56" fillId="0" borderId="0" xfId="0" applyFont="1">
      <alignment vertical="center"/>
    </xf>
    <xf numFmtId="49" fontId="23" fillId="40" borderId="20" xfId="0" applyFont="1" applyFill="1" applyBorder="1" applyNumberFormat="1">
      <alignment horizontal="center" vertical="center" wrapText="1"/>
    </xf>
    <xf numFmtId="49" fontId="23" fillId="38" borderId="24" xfId="0" applyFont="1" applyFill="1" applyBorder="1" applyNumberFormat="1">
      <alignment horizontal="center" vertical="center" wrapText="1"/>
    </xf>
    <xf numFmtId="49" fontId="55" fillId="0" borderId="13" xfId="0" applyFont="1" applyBorder="1" applyNumberFormat="1">
      <alignment horizontal="left" vertical="center" wrapText="1"/>
    </xf>
    <xf numFmtId="14" fontId="23" fillId="42" borderId="24" xfId="0" applyFont="1" applyFill="1" applyBorder="1" applyNumberFormat="1">
      <alignment horizontal="left" vertical="center" wrapText="1" indent="1"/>
    </xf>
    <xf numFmtId="49" fontId="23" fillId="40" borderId="15" xfId="0" applyFont="1" applyFill="1" applyBorder="1" applyNumberFormat="1">
      <alignment horizontal="right" vertical="center" wrapText="1"/>
    </xf>
    <xf numFmtId="0" fontId="56" fillId="0" borderId="24" xfId="0" applyFont="1" applyBorder="1">
      <alignment horizontal="center" vertical="center" wrapText="1"/>
    </xf>
    <xf numFmtId="49" fontId="23" fillId="0" borderId="14" xfId="0" applyFont="1" applyBorder="1" applyNumberFormat="1">
      <alignment horizontal="center" vertical="top"/>
    </xf>
    <xf numFmtId="49" fontId="23" fillId="0" borderId="13" xfId="0" applyFont="1" applyBorder="1" applyNumberFormat="1">
      <alignment horizontal="center" vertical="top"/>
    </xf>
    <xf numFmtId="0" fontId="23" fillId="0" borderId="24" xfId="0" applyFont="1" applyBorder="1">
      <alignment horizontal="center" vertical="center" wrapText="1"/>
    </xf>
    <xf numFmtId="49" fontId="23" fillId="0" borderId="15" xfId="0" applyFont="1" applyBorder="1" applyNumberFormat="1">
      <alignment horizontal="center" vertical="top"/>
    </xf>
    <xf numFmtId="0" fontId="45" fillId="0" borderId="25" xfId="0" applyFont="1" applyBorder="1">
      <alignment vertical="top" wrapText="1"/>
    </xf>
    <xf numFmtId="0" fontId="45" fillId="0" borderId="0" xfId="0" applyFont="1">
      <alignment vertical="top" wrapText="1"/>
    </xf>
    <xf numFmtId="0" fontId="56" fillId="0" borderId="13" xfId="0" applyFont="1" applyBorder="1">
      <alignment horizontal="center" vertical="center" wrapText="1"/>
    </xf>
    <xf numFmtId="0" fontId="55" fillId="0" borderId="24" xfId="0" applyFont="1" applyBorder="1">
      <alignment horizontal="center" vertical="center" wrapText="1"/>
    </xf>
    <xf numFmtId="49" fontId="0" fillId="40" borderId="16" xfId="0" applyFont="1" applyFill="1" applyBorder="1" applyNumberFormat="1">
      <alignment horizontal="right" vertical="center" wrapText="1"/>
    </xf>
    <xf numFmtId="49" fontId="0" fillId="40" borderId="14" xfId="0" applyFont="1" applyFill="1" applyBorder="1" applyNumberFormat="1">
      <alignment horizontal="right" vertical="center" wrapText="1"/>
    </xf>
    <xf numFmtId="0" fontId="56" fillId="0" borderId="13" xfId="0" applyFont="1" applyBorder="1">
      <alignment horizontal="center" vertical="center"/>
    </xf>
    <xf numFmtId="0" fontId="23" fillId="0" borderId="13" xfId="0" applyFont="1" applyBorder="1">
      <alignment horizontal="center" vertical="center" wrapText="1"/>
    </xf>
    <xf numFmtId="49" fontId="23" fillId="0" borderId="13" xfId="0" applyFont="1" applyBorder="1" applyNumberFormat="1">
      <alignment horizontal="center" vertical="center" wrapText="1"/>
    </xf>
    <xf numFmtId="49" fontId="23" fillId="0" borderId="0" xfId="0" applyFont="1" applyNumberFormat="1">
      <alignment horizontal="center" vertical="center" wrapText="1"/>
    </xf>
    <xf numFmtId="0" fontId="23" fillId="0" borderId="13" xfId="0" applyFont="1" applyBorder="1">
      <alignment horizontal="center" vertical="center" wrapText="1"/>
    </xf>
    <xf numFmtId="0" fontId="23" fillId="0" borderId="15" xfId="0" applyFont="1" applyBorder="1">
      <alignment horizontal="center" vertical="center" wrapText="1"/>
    </xf>
    <xf numFmtId="0" fontId="23" fillId="0" borderId="13" xfId="0" applyFont="1" applyBorder="1">
      <alignment horizontal="center" vertical="center" wrapText="1"/>
    </xf>
    <xf numFmtId="0" fontId="23" fillId="0" borderId="18" xfId="0" applyFont="1" applyBorder="1">
      <alignment horizontal="center" vertical="center" wrapText="1"/>
    </xf>
    <xf numFmtId="49" fontId="81" fillId="41" borderId="13" xfId="0" applyFont="1" applyFill="1" applyBorder="1" applyNumberFormat="1">
      <alignment horizontal="left" vertical="center" wrapText="1" indent="1"/>
      <protection locked="0"/>
    </xf>
    <xf numFmtId="0" fontId="55" fillId="0" borderId="23" xfId="0" applyFont="1" applyBorder="1">
      <alignment vertical="center"/>
    </xf>
    <xf numFmtId="0" fontId="23" fillId="0" borderId="14" xfId="0" applyFont="1" applyBorder="1">
      <alignment horizontal="center" vertical="center" wrapText="1"/>
    </xf>
    <xf numFmtId="49" fontId="23" fillId="42" borderId="13" xfId="0" applyFont="1" applyFill="1" applyBorder="1" applyNumberFormat="1">
      <alignment horizontal="center" vertical="center" wrapText="1"/>
    </xf>
    <xf numFmtId="0" fontId="23" fillId="0" borderId="13" xfId="0" applyFont="1" applyBorder="1">
      <alignment horizontal="center" vertical="center" wrapText="1"/>
    </xf>
    <xf numFmtId="0" fontId="23" fillId="38" borderId="15" xfId="0" applyFont="1" applyFill="1" applyBorder="1">
      <alignment horizontal="left" vertical="top" wrapText="1" indent="1"/>
    </xf>
    <xf numFmtId="3" fontId="23" fillId="33" borderId="15" xfId="0" applyFont="1" applyFill="1" applyBorder="1" applyNumberFormat="1">
      <alignment horizontal="right" vertical="center" wrapText="1"/>
      <protection locked="0"/>
    </xf>
    <xf numFmtId="49" fontId="29" fillId="33" borderId="13" xfId="0" applyFont="1" applyFill="1" applyBorder="1" applyNumberFormat="1">
      <alignment horizontal="left" vertical="center" wrapText="1"/>
      <protection locked="0"/>
    </xf>
    <xf numFmtId="0" fontId="29" fillId="0" borderId="0" xfId="0" applyFont="1">
      <alignment vertical="center" wrapText="1"/>
    </xf>
    <xf numFmtId="0" fontId="23" fillId="0" borderId="14" xfId="0" applyFont="1" applyBorder="1">
      <alignment horizontal="center" vertical="center" wrapText="1"/>
    </xf>
    <xf numFmtId="0" fontId="23" fillId="0" borderId="13" xfId="0" applyFont="1" applyBorder="1">
      <alignment horizontal="center" vertical="center" wrapText="1"/>
    </xf>
    <xf numFmtId="49" fontId="0" fillId="0" borderId="13" xfId="0" applyFont="1" applyBorder="1" applyNumberFormat="1">
      <alignment vertical="top"/>
    </xf>
    <xf numFmtId="0" fontId="46" fillId="36" borderId="0" xfId="0" applyFont="1" applyFill="1">
      <alignment horizontal="center" vertical="center" wrapText="1"/>
    </xf>
    <xf numFmtId="0" fontId="23" fillId="36" borderId="13" xfId="0" applyFont="1" applyFill="1" applyBorder="1">
      <alignment horizontal="center" vertical="center" wrapText="1"/>
    </xf>
    <xf numFmtId="0" fontId="0" fillId="0" borderId="21" xfId="0" applyFont="1" applyBorder="1">
      <alignment horizontal="center" vertical="center" wrapText="1"/>
    </xf>
    <xf numFmtId="0" fontId="0" fillId="0" borderId="31" xfId="0" applyFont="1" applyBorder="1">
      <alignment horizontal="center" vertical="center" wrapText="1"/>
    </xf>
    <xf numFmtId="0" fontId="0" fillId="0" borderId="18" xfId="0" applyFont="1" applyBorder="1">
      <alignment horizontal="center" vertical="center" wrapText="1"/>
    </xf>
    <xf numFmtId="0" fontId="0" fillId="0" borderId="24" xfId="0" applyFont="1" applyBorder="1">
      <alignment horizontal="center" vertical="center" wrapText="1"/>
    </xf>
    <xf numFmtId="0" fontId="23" fillId="36" borderId="15" xfId="0" applyFont="1" applyFill="1" applyBorder="1">
      <alignment horizontal="center" vertical="center" wrapText="1"/>
    </xf>
    <xf numFmtId="0" fontId="0" fillId="0" borderId="18" xfId="0" applyFont="1" applyBorder="1">
      <alignment horizontal="center" vertical="center" wrapText="1"/>
    </xf>
    <xf numFmtId="0" fontId="0" fillId="0" borderId="24" xfId="0" applyFont="1" applyBorder="1">
      <alignment horizontal="center" vertical="center" wrapText="1"/>
    </xf>
    <xf numFmtId="49" fontId="45" fillId="36" borderId="16" xfId="0" applyFont="1" applyFill="1" applyBorder="1" applyNumberFormat="1">
      <alignment horizontal="center" vertical="center" wrapText="1"/>
    </xf>
    <xf numFmtId="0" fontId="23" fillId="0" borderId="0" xfId="0" applyFont="1">
      <alignment horizontal="left" vertical="center" wrapText="1" indent="1"/>
    </xf>
    <xf numFmtId="0" fontId="87" fillId="0" borderId="18" xfId="0" applyFont="1" applyBorder="1">
      <alignment horizontal="center" vertical="center" wrapText="1"/>
    </xf>
    <xf numFmtId="49" fontId="55" fillId="0" borderId="0" xfId="0" applyFont="1" applyNumberFormat="1">
      <alignment vertical="top"/>
    </xf>
    <xf numFmtId="0" fontId="100" fillId="0" borderId="0" xfId="0" applyFont="1">
      <alignment vertical="center" wrapText="1"/>
    </xf>
    <xf numFmtId="0" fontId="0" fillId="0" borderId="0" xfId="0" applyFont="1">
      <alignment vertical="top"/>
    </xf>
    <xf numFmtId="49" fontId="0" fillId="0" borderId="13" xfId="0" applyFont="1" applyBorder="1" applyNumberFormat="1">
      <alignment vertical="top"/>
    </xf>
    <xf numFmtId="49" fontId="0" fillId="41" borderId="13" xfId="0" applyFont="1" applyFill="1" applyBorder="1" applyNumberFormat="1">
      <alignment horizontal="center" vertical="center" wrapText="1"/>
      <protection locked="0"/>
    </xf>
    <xf numFmtId="49" fontId="23" fillId="0" borderId="0" xfId="0" applyFont="1" applyNumberFormat="1">
      <alignment vertical="top"/>
    </xf>
    <xf numFmtId="0" fontId="23" fillId="0" borderId="13" xfId="0" applyFont="1" applyBorder="1">
      <alignment horizontal="left" vertical="top" wrapText="1"/>
    </xf>
    <xf numFmtId="49" fontId="101" fillId="0" borderId="0" xfId="0" applyFont="1" applyNumberFormat="1">
      <alignment horizontal="center" vertical="top" wrapText="1"/>
    </xf>
    <xf numFmtId="49" fontId="101" fillId="0" borderId="0" xfId="0" applyFont="1" applyNumberFormat="1">
      <alignment vertical="top" wrapText="1"/>
    </xf>
    <xf numFmtId="49" fontId="97" fillId="34" borderId="13" xfId="0" applyFont="1" applyFill="1" applyBorder="1" applyNumberFormat="1">
      <alignment horizontal="center" vertical="top" wrapText="1"/>
    </xf>
    <xf numFmtId="49" fontId="101" fillId="0" borderId="0" xfId="0" applyFont="1" applyNumberFormat="1">
      <alignment horizontal="left" vertical="top" wrapText="1"/>
    </xf>
    <xf numFmtId="49" fontId="101" fillId="0" borderId="13" xfId="0" applyFont="1" applyBorder="1" applyNumberFormat="1">
      <alignment horizontal="left" vertical="top" wrapText="1"/>
    </xf>
    <xf numFmtId="0" fontId="101" fillId="0" borderId="13" xfId="0" applyFont="1" applyBorder="1">
      <alignment horizontal="left" vertical="top" wrapText="1"/>
    </xf>
    <xf numFmtId="0" fontId="101" fillId="34" borderId="13" xfId="0" applyFont="1" applyFill="1" applyBorder="1">
      <alignment horizontal="right" vertical="center" wrapText="1"/>
    </xf>
    <xf numFmtId="49" fontId="101" fillId="0" borderId="13" xfId="0" applyFont="1" applyBorder="1" applyNumberFormat="1">
      <alignment vertical="top" wrapText="1"/>
    </xf>
    <xf numFmtId="0" fontId="101" fillId="0" borderId="18" xfId="0" applyFont="1" applyBorder="1">
      <alignment horizontal="left" vertical="top" wrapText="1"/>
    </xf>
    <xf numFmtId="0" fontId="101" fillId="0" borderId="14" xfId="0" applyFont="1" applyBorder="1">
      <alignment horizontal="left" vertical="top" wrapText="1"/>
    </xf>
    <xf numFmtId="0" fontId="101" fillId="0" borderId="13" xfId="0" applyFont="1" applyBorder="1">
      <alignment vertical="top" wrapText="1"/>
    </xf>
    <xf numFmtId="0" fontId="97" fillId="34" borderId="13" xfId="0" applyFont="1" applyFill="1" applyBorder="1">
      <alignment horizontal="center" vertical="top" wrapText="1"/>
    </xf>
    <xf numFmtId="0" fontId="101" fillId="0" borderId="0" xfId="0" applyFont="1">
      <alignment vertical="top" wrapText="1"/>
    </xf>
    <xf numFmtId="0" fontId="96" fillId="0" borderId="0" xfId="80" applyFont="1">
      <alignment vertical="center" wrapText="1"/>
    </xf>
    <xf numFmtId="0" fontId="22" fillId="0" borderId="0" xfId="0" applyFont="1">
      <alignment horizontal="left" vertical="center" wrapText="1" indent="3"/>
    </xf>
    <xf numFmtId="3" fontId="0" fillId="0" borderId="14" xfId="0" applyFont="1" applyBorder="1" applyNumberFormat="1">
      <alignment horizontal="right" vertical="center" wrapText="1"/>
    </xf>
    <xf numFmtId="0" fontId="23" fillId="42" borderId="15" xfId="0" applyFont="1" applyFill="1" applyBorder="1">
      <alignment horizontal="left" vertical="center" wrapText="1"/>
    </xf>
    <xf numFmtId="49" fontId="45" fillId="36" borderId="13" xfId="0" applyFont="1" applyFill="1" applyBorder="1" applyNumberFormat="1">
      <alignment horizontal="center" vertical="center" wrapText="1"/>
    </xf>
    <xf numFmtId="49" fontId="76" fillId="40" borderId="14" xfId="0" applyFont="1" applyFill="1" applyBorder="1" applyNumberFormat="1">
      <alignment vertical="center"/>
    </xf>
    <xf numFmtId="49" fontId="23" fillId="36" borderId="0" xfId="0" applyFont="1" applyFill="1" applyNumberFormat="1">
      <alignment horizontal="center" vertical="center" wrapText="1"/>
    </xf>
    <xf numFmtId="0" fontId="23" fillId="36" borderId="0" xfId="0" applyFont="1" applyFill="1">
      <alignment horizontal="center" vertical="top" wrapText="1"/>
    </xf>
    <xf numFmtId="49" fontId="0" fillId="41" borderId="13" xfId="0" applyFont="1" applyFill="1" applyBorder="1" applyNumberFormat="1">
      <alignment horizontal="left" vertical="center" wrapText="1" indent="1"/>
      <protection locked="0"/>
    </xf>
    <xf numFmtId="49" fontId="23" fillId="42" borderId="15" xfId="0" applyFont="1" applyFill="1" applyBorder="1" applyNumberFormat="1">
      <alignment horizontal="left" vertical="center" wrapText="1"/>
    </xf>
    <xf numFmtId="49" fontId="23" fillId="41" borderId="15" xfId="0" applyFont="1" applyFill="1" applyBorder="1" applyNumberFormat="1">
      <alignment horizontal="left" vertical="center" wrapText="1"/>
      <protection locked="0"/>
    </xf>
    <xf numFmtId="49" fontId="23" fillId="41" borderId="13" xfId="0" applyFont="1" applyFill="1" applyBorder="1" applyNumberFormat="1" quotePrefix="1">
      <alignment horizontal="left" vertical="center" wrapText="1"/>
      <protection locked="0"/>
    </xf>
    <xf numFmtId="14" fontId="23" fillId="42" borderId="24" xfId="0" applyFont="1" applyFill="1" applyBorder="1" applyNumberFormat="1">
      <alignment horizontal="left" vertical="center" wrapText="1"/>
    </xf>
    <xf numFmtId="0" fontId="56" fillId="36" borderId="24" xfId="0" applyFont="1" applyFill="1" applyBorder="1">
      <alignment horizontal="center" vertical="center" wrapText="1"/>
    </xf>
    <xf numFmtId="0" fontId="46" fillId="36" borderId="25" xfId="0" applyFont="1" applyFill="1" applyBorder="1">
      <alignment vertical="top" wrapText="1"/>
    </xf>
    <xf numFmtId="0" fontId="46" fillId="36" borderId="0" xfId="0" applyFont="1" applyFill="1">
      <alignment vertical="top" wrapText="1"/>
    </xf>
    <xf numFmtId="14" fontId="23" fillId="42" borderId="31" xfId="0" applyFont="1" applyFill="1" applyBorder="1" applyNumberFormat="1">
      <alignment horizontal="left" vertical="center" wrapText="1"/>
    </xf>
    <xf numFmtId="0" fontId="56" fillId="36" borderId="13" xfId="0" applyFont="1" applyFill="1" applyBorder="1">
      <alignment horizontal="center" vertical="center" wrapText="1"/>
    </xf>
    <xf numFmtId="0" fontId="49" fillId="40" borderId="16" xfId="0" applyFont="1" applyFill="1" applyBorder="1">
      <alignment vertical="center"/>
    </xf>
    <xf numFmtId="0" fontId="57" fillId="0" borderId="0" xfId="0" applyFont="1">
      <alignment vertical="center"/>
    </xf>
    <xf numFmtId="0" fontId="56" fillId="0" borderId="0" xfId="80" applyFont="1">
      <alignment vertical="center" wrapText="1"/>
    </xf>
    <xf numFmtId="49" fontId="55" fillId="0" borderId="0" xfId="0" applyFont="1" applyNumberFormat="1">
      <alignment vertical="center" wrapText="1"/>
    </xf>
    <xf numFmtId="49" fontId="55" fillId="0" borderId="0" xfId="0" applyFont="1" applyNumberFormat="1">
      <alignment vertical="top"/>
    </xf>
    <xf numFmtId="0" fontId="94" fillId="0" borderId="0" xfId="80" applyFont="1">
      <alignment vertical="center" wrapText="1"/>
    </xf>
    <xf numFmtId="0" fontId="102" fillId="0" borderId="0" xfId="80" applyFont="1">
      <alignment vertical="center" wrapText="1"/>
    </xf>
    <xf numFmtId="0" fontId="55" fillId="0" borderId="0" xfId="80" applyFont="1">
      <alignment vertical="center" wrapText="1"/>
    </xf>
    <xf numFmtId="0" fontId="94" fillId="0" borderId="0" xfId="80" applyFont="1">
      <alignment horizontal="center" vertical="center" wrapText="1"/>
    </xf>
    <xf numFmtId="0" fontId="55" fillId="0" borderId="0" xfId="80" applyFont="1">
      <alignment vertical="center" wrapText="1"/>
    </xf>
    <xf numFmtId="14" fontId="23" fillId="36" borderId="0" xfId="80" applyFont="1" applyFill="1" applyNumberFormat="1">
      <alignment horizontal="left" vertical="center" wrapText="1"/>
    </xf>
    <xf numFmtId="49" fontId="0" fillId="5" borderId="15" xfId="0" applyFont="1" applyFill="1" applyBorder="1" applyNumberFormat="1">
      <alignment vertical="top"/>
    </xf>
    <xf numFmtId="49" fontId="0" fillId="0" borderId="13" xfId="0" applyFont="1" applyBorder="1" applyNumberFormat="1">
      <alignment horizontal="left" vertical="center" wrapText="1"/>
    </xf>
    <xf numFmtId="49" fontId="0" fillId="0" borderId="13" xfId="0" applyFont="1" applyBorder="1" applyNumberFormat="1">
      <alignment horizontal="left" vertical="center" wrapText="1"/>
    </xf>
    <xf numFmtId="49" fontId="0" fillId="33" borderId="13" xfId="0" applyFont="1" applyFill="1" applyBorder="1" applyNumberFormat="1">
      <alignment horizontal="left" vertical="center" wrapText="1"/>
    </xf>
    <xf numFmtId="49" fontId="23" fillId="0" borderId="0" xfId="0" applyFont="1" applyNumberFormat="1">
      <alignment vertical="center" wrapText="1"/>
    </xf>
    <xf numFmtId="0" fontId="0" fillId="0" borderId="13" xfId="0" applyFont="1" applyBorder="1">
      <alignment horizontal="left" vertical="center" wrapText="1" indent="1"/>
    </xf>
    <xf numFmtId="49" fontId="0" fillId="36" borderId="13" xfId="0" applyFont="1" applyFill="1" applyBorder="1" applyNumberFormat="1">
      <alignment horizontal="center" vertical="center" wrapText="1"/>
    </xf>
    <xf numFmtId="0" fontId="0" fillId="36" borderId="13" xfId="0" applyFont="1" applyFill="1" applyBorder="1">
      <alignment horizontal="center" vertical="center" wrapText="1"/>
    </xf>
    <xf numFmtId="0" fontId="0" fillId="41" borderId="15" xfId="0" applyFont="1" applyFill="1" applyBorder="1">
      <alignment horizontal="left" vertical="center" wrapText="1" indent="2"/>
      <protection locked="0"/>
    </xf>
    <xf numFmtId="0" fontId="23" fillId="0" borderId="16" xfId="0" applyFont="1" applyBorder="1">
      <alignment horizontal="right" vertical="center" wrapText="1" indent="1"/>
    </xf>
    <xf numFmtId="0" fontId="23" fillId="0" borderId="14" xfId="0" applyFont="1" applyBorder="1">
      <alignment horizontal="right" vertical="center" wrapText="1" indent="1"/>
    </xf>
    <xf numFmtId="0" fontId="103" fillId="36" borderId="0" xfId="0" applyFont="1" applyFill="1">
      <alignment horizontal="right" vertical="center"/>
    </xf>
    <xf numFmtId="0" fontId="23" fillId="41" borderId="13" xfId="0" applyFont="1" applyFill="1" applyBorder="1">
      <alignment horizontal="center" vertical="center" wrapText="1"/>
      <protection locked="0"/>
    </xf>
    <xf numFmtId="49" fontId="101" fillId="0" borderId="14" xfId="0" applyFont="1" applyBorder="1" applyNumberFormat="1">
      <alignment horizontal="left" vertical="top" wrapText="1"/>
    </xf>
    <xf numFmtId="49" fontId="101" fillId="0" borderId="15" xfId="0" applyFont="1" applyBorder="1" applyNumberFormat="1">
      <alignment horizontal="left" vertical="top" wrapText="1"/>
    </xf>
    <xf numFmtId="0" fontId="101" fillId="0" borderId="18" xfId="0" applyFont="1" applyBorder="1">
      <alignment vertical="top" wrapText="1"/>
    </xf>
    <xf numFmtId="0" fontId="101" fillId="0" borderId="37" xfId="0" applyFont="1" applyBorder="1">
      <alignment horizontal="left" vertical="top" wrapText="1"/>
    </xf>
    <xf numFmtId="49" fontId="101" fillId="0" borderId="28" xfId="0" applyFont="1" applyBorder="1" applyNumberFormat="1">
      <alignment horizontal="left" vertical="top" wrapText="1"/>
    </xf>
    <xf numFmtId="49" fontId="55" fillId="0" borderId="0" xfId="0" applyFont="1" applyNumberFormat="1">
      <alignment horizontal="center" vertical="center" wrapText="1"/>
    </xf>
    <xf numFmtId="49" fontId="56" fillId="0" borderId="0" xfId="0" applyFont="1" applyNumberFormat="1">
      <alignment horizontal="center" vertical="center" wrapText="1"/>
    </xf>
    <xf numFmtId="49" fontId="0" fillId="0" borderId="0" xfId="0" applyFont="1" applyNumberFormat="1">
      <alignment vertical="top"/>
    </xf>
    <xf numFmtId="0" fontId="23" fillId="0" borderId="13" xfId="0" applyFont="1" applyBorder="1">
      <alignment horizontal="left" vertical="center" wrapText="1"/>
    </xf>
    <xf numFmtId="0" fontId="0" fillId="0" borderId="13" xfId="0" applyFont="1" applyBorder="1">
      <alignment horizontal="left" vertical="center" wrapText="1"/>
    </xf>
    <xf numFmtId="49" fontId="101" fillId="0" borderId="13" xfId="0" applyFont="1" applyBorder="1" applyNumberFormat="1">
      <alignment horizontal="center" vertical="top" wrapText="1"/>
    </xf>
    <xf numFmtId="0" fontId="101" fillId="34" borderId="13" xfId="0" applyFont="1" applyFill="1" applyBorder="1">
      <alignment horizontal="center" vertical="center" wrapText="1"/>
    </xf>
    <xf numFmtId="49" fontId="101" fillId="0" borderId="38" xfId="0" applyFont="1" applyBorder="1" applyNumberFormat="1">
      <alignment horizontal="center" vertical="top" wrapText="1"/>
    </xf>
    <xf numFmtId="49" fontId="101" fillId="0" borderId="18" xfId="0" applyFont="1" applyBorder="1" applyNumberFormat="1">
      <alignment horizontal="center" vertical="top" wrapText="1"/>
    </xf>
    <xf numFmtId="0" fontId="56" fillId="0" borderId="0" xfId="0" applyFont="1">
      <alignment horizontal="center" vertical="center" wrapText="1"/>
    </xf>
    <xf numFmtId="49" fontId="0" fillId="41" borderId="13" xfId="0" applyFont="1" applyFill="1" applyBorder="1" applyNumberFormat="1">
      <alignment horizontal="left" vertical="center" wrapText="1"/>
      <protection locked="0"/>
    </xf>
    <xf numFmtId="0" fontId="55" fillId="0" borderId="0" xfId="0" applyFont="1">
      <alignment horizontal="center" vertical="top"/>
    </xf>
    <xf numFmtId="49" fontId="49" fillId="40" borderId="15" xfId="0" applyFont="1" applyFill="1" applyBorder="1" applyNumberFormat="1">
      <alignment horizontal="left" vertical="center" indent="1"/>
    </xf>
    <xf numFmtId="0" fontId="0" fillId="36" borderId="18" xfId="80" applyFont="1" applyFill="1" applyBorder="1">
      <alignment horizontal="center" vertical="center" wrapText="1"/>
    </xf>
    <xf numFmtId="0" fontId="23" fillId="36" borderId="18" xfId="80" applyFont="1" applyFill="1" applyBorder="1">
      <alignment horizontal="center" vertical="center" wrapText="1"/>
    </xf>
    <xf numFmtId="49" fontId="104" fillId="0" borderId="0" xfId="0" applyFont="1" applyNumberFormat="1">
      <alignment horizontal="center" vertical="center" wrapText="1"/>
    </xf>
    <xf numFmtId="0" fontId="23" fillId="0" borderId="0" xfId="0" applyFont="1">
      <alignment vertical="center" wrapText="1"/>
    </xf>
    <xf numFmtId="49" fontId="23" fillId="0" borderId="0" xfId="0" applyFont="1" applyNumberFormat="1">
      <alignment vertical="top"/>
    </xf>
    <xf numFmtId="0" fontId="23" fillId="36" borderId="0" xfId="0" applyFont="1" applyFill="1">
      <alignment vertical="center" wrapText="1"/>
    </xf>
    <xf numFmtId="0" fontId="23" fillId="0" borderId="39" xfId="0" applyFont="1" applyBorder="1">
      <alignment vertical="center" wrapText="1"/>
    </xf>
    <xf numFmtId="0" fontId="55" fillId="0" borderId="0" xfId="0" applyFont="1">
      <alignment vertical="center" wrapText="1"/>
    </xf>
    <xf numFmtId="49" fontId="23" fillId="0" borderId="0" xfId="0" applyFont="1" applyNumberFormat="1">
      <alignment vertical="top"/>
    </xf>
    <xf numFmtId="0" fontId="23" fillId="36" borderId="0" xfId="0" applyFont="1" applyFill="1">
      <alignment vertical="center" wrapText="1"/>
    </xf>
    <xf numFmtId="49" fontId="23" fillId="0" borderId="0" xfId="0" applyFont="1" applyNumberFormat="1">
      <alignment vertical="top"/>
    </xf>
    <xf numFmtId="0" fontId="23" fillId="0" borderId="0" xfId="0" applyFont="1">
      <alignment vertical="center"/>
    </xf>
    <xf numFmtId="0" fontId="0" fillId="36" borderId="18" xfId="0" applyFont="1" applyFill="1" applyBorder="1">
      <alignment horizontal="center" vertical="center" wrapText="1"/>
    </xf>
    <xf numFmtId="0" fontId="0" fillId="36" borderId="38" xfId="0" applyFont="1" applyFill="1" applyBorder="1">
      <alignment horizontal="center" vertical="center" wrapText="1"/>
    </xf>
    <xf numFmtId="0" fontId="23" fillId="40" borderId="31" xfId="0" applyFont="1" applyFill="1" applyBorder="1">
      <alignment vertical="center" wrapText="1"/>
    </xf>
    <xf numFmtId="0" fontId="23" fillId="0" borderId="0" xfId="0" applyFont="1">
      <alignment vertical="center" wrapText="1"/>
    </xf>
    <xf numFmtId="0" fontId="23" fillId="36" borderId="40" xfId="0" applyFont="1" applyFill="1" applyBorder="1">
      <alignment vertical="center" wrapText="1"/>
    </xf>
    <xf numFmtId="0" fontId="35" fillId="36" borderId="40" xfId="0" applyFont="1" applyFill="1" applyBorder="1">
      <alignment horizontal="center" wrapText="1"/>
    </xf>
    <xf numFmtId="49" fontId="76" fillId="0" borderId="40" xfId="0" applyFont="1" applyBorder="1" applyNumberFormat="1">
      <alignment vertical="top"/>
    </xf>
    <xf numFmtId="49" fontId="54" fillId="0" borderId="0" xfId="0" applyFont="1" applyNumberFormat="1">
      <alignment vertical="center"/>
    </xf>
    <xf numFmtId="49" fontId="105" fillId="0" borderId="0" xfId="0" applyFont="1" applyNumberFormat="1">
      <alignment vertical="center"/>
    </xf>
    <xf numFmtId="49" fontId="54" fillId="0" borderId="0" xfId="0" applyFont="1" applyNumberFormat="1">
      <alignment vertical="center"/>
    </xf>
    <xf numFmtId="49" fontId="54" fillId="0" borderId="0" xfId="0" applyFont="1" applyNumberFormat="1">
      <alignment vertical="center"/>
    </xf>
    <xf numFmtId="49" fontId="54" fillId="0" borderId="0" xfId="0" applyFont="1" applyNumberFormat="1">
      <alignment vertical="center" wrapText="1"/>
    </xf>
    <xf numFmtId="49" fontId="105" fillId="0" borderId="0" xfId="0" applyFont="1" applyNumberFormat="1">
      <alignment vertical="center" wrapText="1"/>
    </xf>
    <xf numFmtId="49" fontId="54" fillId="0" borderId="0" xfId="0" applyFont="1" applyNumberFormat="1">
      <alignment vertical="center" wrapText="1"/>
    </xf>
    <xf numFmtId="49" fontId="54" fillId="0" borderId="0" xfId="0" applyFont="1" applyNumberFormat="1">
      <alignment vertical="top"/>
    </xf>
    <xf numFmtId="49" fontId="54" fillId="0" borderId="0" xfId="0" applyFont="1" applyNumberFormat="1">
      <alignment vertical="center" wrapText="1"/>
    </xf>
    <xf numFmtId="49" fontId="54" fillId="0" borderId="0" xfId="0" applyFont="1" applyNumberFormat="1">
      <alignment horizontal="center" vertical="center" wrapText="1"/>
    </xf>
    <xf numFmtId="49" fontId="105" fillId="0" borderId="0" xfId="0" applyFont="1" applyNumberFormat="1">
      <alignment horizontal="center" vertical="center" wrapText="1"/>
    </xf>
    <xf numFmtId="49" fontId="54" fillId="0" borderId="0" xfId="0" applyFont="1" applyNumberFormat="1">
      <alignment horizontal="center" vertical="center" wrapText="1"/>
    </xf>
    <xf numFmtId="49" fontId="105" fillId="0" borderId="0" xfId="0" applyFont="1" applyNumberFormat="1">
      <alignment horizontal="center" vertical="center" wrapText="1"/>
    </xf>
    <xf numFmtId="0" fontId="54" fillId="0" borderId="0" xfId="0" applyFont="1">
      <alignment horizontal="center" vertical="center" wrapText="1"/>
    </xf>
    <xf numFmtId="49" fontId="105" fillId="0" borderId="0" xfId="0" applyFont="1" applyNumberFormat="1">
      <alignment vertical="center" wrapText="1"/>
    </xf>
    <xf numFmtId="49" fontId="54" fillId="36" borderId="0" xfId="0" applyFont="1" applyFill="1" applyNumberFormat="1">
      <alignment vertical="center" wrapText="1"/>
    </xf>
    <xf numFmtId="49" fontId="54" fillId="0" borderId="0" xfId="0" applyFont="1" applyNumberFormat="1">
      <alignment vertical="top"/>
    </xf>
    <xf numFmtId="49" fontId="54" fillId="36" borderId="0" xfId="0" applyFont="1" applyFill="1" applyNumberFormat="1">
      <alignment vertical="center"/>
    </xf>
    <xf numFmtId="49" fontId="105" fillId="0" borderId="0" xfId="0" applyFont="1" applyNumberFormat="1">
      <alignment vertical="center"/>
    </xf>
    <xf numFmtId="49" fontId="54" fillId="0" borderId="0" xfId="0" applyFont="1" applyNumberFormat="1">
      <alignment vertical="top"/>
    </xf>
    <xf numFmtId="4" fontId="54" fillId="36" borderId="0" xfId="0" applyFont="1" applyFill="1" applyNumberFormat="1">
      <alignment vertical="center"/>
    </xf>
    <xf numFmtId="3" fontId="54" fillId="33" borderId="13" xfId="0" applyFont="1" applyFill="1" applyBorder="1" applyNumberFormat="1">
      <alignment horizontal="right" vertical="center"/>
      <protection locked="0"/>
    </xf>
    <xf numFmtId="49" fontId="41" fillId="0" borderId="0" xfId="0" applyFont="1" applyNumberFormat="1">
      <alignment horizontal="center" vertical="center" wrapText="1"/>
    </xf>
    <xf numFmtId="49" fontId="23" fillId="0" borderId="0" xfId="0" applyFont="1" applyNumberFormat="1">
      <alignment horizontal="center" vertical="center" wrapText="1"/>
    </xf>
    <xf numFmtId="49" fontId="23" fillId="36" borderId="0" xfId="0" applyFont="1" applyFill="1" applyNumberFormat="1">
      <alignment horizontal="center" vertical="center" wrapText="1"/>
    </xf>
    <xf numFmtId="49" fontId="56" fillId="0" borderId="14" xfId="0" applyFont="1" applyBorder="1" applyNumberFormat="1">
      <alignment horizontal="left" vertical="center" indent="1"/>
    </xf>
    <xf numFmtId="0" fontId="23" fillId="0" borderId="25" xfId="0" applyFont="1" applyBorder="1">
      <alignment vertical="top" wrapText="1"/>
    </xf>
    <xf numFmtId="0" fontId="23" fillId="0" borderId="15" xfId="0" applyFont="1" applyBorder="1">
      <alignment horizontal="center" vertical="center" wrapText="1"/>
    </xf>
    <xf numFmtId="0" fontId="23" fillId="0" borderId="18" xfId="0" applyFont="1" applyBorder="1">
      <alignment horizontal="center" vertical="center" wrapText="1"/>
    </xf>
    <xf numFmtId="0" fontId="23" fillId="0" borderId="13" xfId="0" applyFont="1" applyBorder="1">
      <alignment horizontal="center" vertical="center" wrapText="1"/>
    </xf>
    <xf numFmtId="49" fontId="55" fillId="0" borderId="0" xfId="0" applyFont="1" applyNumberFormat="1">
      <alignment horizontal="center" vertical="center" wrapText="1"/>
    </xf>
    <xf numFmtId="49" fontId="56" fillId="0" borderId="0" xfId="0" applyFont="1" applyNumberFormat="1">
      <alignment horizontal="center" vertical="center" wrapText="1"/>
    </xf>
    <xf numFmtId="49" fontId="23" fillId="0" borderId="13" xfId="0" applyFont="1" applyBorder="1" applyNumberFormat="1">
      <alignment horizontal="center" vertical="center" wrapText="1"/>
    </xf>
    <xf numFmtId="0" fontId="23" fillId="0" borderId="13" xfId="0" applyFont="1" applyBorder="1">
      <alignment horizontal="left" vertical="center" wrapText="1" indent="1"/>
    </xf>
    <xf numFmtId="49" fontId="23" fillId="41" borderId="13" xfId="0" applyFont="1" applyFill="1" applyBorder="1" applyNumberFormat="1">
      <alignment horizontal="left" vertical="center" wrapText="1"/>
      <protection locked="0"/>
    </xf>
    <xf numFmtId="0" fontId="46" fillId="0" borderId="0" xfId="0" applyFont="1">
      <alignment horizontal="center" vertical="center" wrapText="1"/>
    </xf>
    <xf numFmtId="49" fontId="97" fillId="0" borderId="13" xfId="0" applyFont="1" applyBorder="1" applyNumberFormat="1">
      <alignment horizontal="center" vertical="center" wrapText="1"/>
    </xf>
    <xf numFmtId="0" fontId="97" fillId="0" borderId="13" xfId="0" applyFont="1" applyBorder="1">
      <alignment horizontal="center" vertical="center" wrapText="1"/>
    </xf>
    <xf numFmtId="49" fontId="97" fillId="0" borderId="18" xfId="0" applyFont="1" applyBorder="1" applyNumberFormat="1">
      <alignment horizontal="center" vertical="center" wrapText="1"/>
    </xf>
    <xf numFmtId="49" fontId="97" fillId="0" borderId="24" xfId="0" applyFont="1" applyBorder="1" applyNumberFormat="1">
      <alignment horizontal="center" vertical="center" wrapText="1"/>
    </xf>
    <xf numFmtId="0" fontId="97" fillId="0" borderId="18" xfId="0" applyFont="1" applyBorder="1">
      <alignment horizontal="center" vertical="center" wrapText="1"/>
    </xf>
    <xf numFmtId="49" fontId="101" fillId="0" borderId="23" xfId="0" applyFont="1" applyBorder="1" applyNumberFormat="1">
      <alignment horizontal="center" vertical="top" wrapText="1"/>
    </xf>
    <xf numFmtId="49" fontId="101" fillId="0" borderId="37" xfId="0" applyFont="1" applyBorder="1" applyNumberFormat="1">
      <alignment horizontal="left" vertical="top" wrapText="1"/>
    </xf>
    <xf numFmtId="0" fontId="97" fillId="0" borderId="13" xfId="0" applyFont="1" applyBorder="1">
      <alignment vertical="center" wrapText="1"/>
    </xf>
    <xf numFmtId="0" fontId="97" fillId="0" borderId="18" xfId="0" applyFont="1" applyBorder="1">
      <alignment vertical="center" wrapText="1"/>
    </xf>
    <xf numFmtId="0" fontId="97" fillId="0" borderId="24" xfId="0" applyFont="1" applyBorder="1">
      <alignment vertical="center" wrapText="1"/>
    </xf>
    <xf numFmtId="49" fontId="97" fillId="0" borderId="13" xfId="0" applyFont="1" applyBorder="1" applyNumberFormat="1">
      <alignment horizontal="left" vertical="top" wrapText="1"/>
    </xf>
    <xf numFmtId="248" fontId="23" fillId="41" borderId="18" xfId="0" applyFont="1" applyFill="1" applyBorder="1" applyNumberFormat="1">
      <alignment horizontal="right" vertical="center" wrapText="1"/>
      <protection locked="0"/>
    </xf>
    <xf numFmtId="0" fontId="23" fillId="0" borderId="14" xfId="0" applyFont="1" applyBorder="1">
      <alignment horizontal="center" vertical="center" wrapText="1"/>
    </xf>
    <xf numFmtId="0" fontId="23" fillId="0" borderId="21" xfId="0" applyFont="1" applyBorder="1">
      <alignment horizontal="center" vertical="center" wrapText="1"/>
    </xf>
    <xf numFmtId="49" fontId="23" fillId="40" borderId="38" xfId="0" applyFont="1" applyFill="1" applyBorder="1" applyNumberFormat="1">
      <alignment vertical="center" wrapText="1"/>
    </xf>
    <xf numFmtId="49" fontId="49" fillId="40" borderId="20" xfId="0" applyFont="1" applyFill="1" applyBorder="1" applyNumberFormat="1">
      <alignment horizontal="left" vertical="center" indent="1"/>
    </xf>
    <xf numFmtId="49" fontId="23" fillId="40" borderId="38" xfId="0" applyFont="1" applyFill="1" applyBorder="1" applyNumberFormat="1">
      <alignment vertical="center" wrapText="1"/>
    </xf>
    <xf numFmtId="49" fontId="49" fillId="40" borderId="20" xfId="0" applyFont="1" applyFill="1" applyBorder="1" applyNumberFormat="1">
      <alignment horizontal="left" vertical="center" indent="1"/>
    </xf>
    <xf numFmtId="0" fontId="79" fillId="0" borderId="0" xfId="0" applyFont="1">
      <alignment horizontal="center" vertical="center" wrapText="1"/>
    </xf>
    <xf numFmtId="4" fontId="23" fillId="41" borderId="14" xfId="0" applyFont="1" applyFill="1" applyBorder="1" applyNumberFormat="1">
      <alignment horizontal="right" vertical="center" wrapText="1"/>
      <protection locked="0"/>
    </xf>
    <xf numFmtId="248" fontId="23" fillId="41" borderId="14" xfId="0" applyFont="1" applyFill="1" applyBorder="1" applyNumberFormat="1">
      <alignment horizontal="right" vertical="center" wrapText="1"/>
      <protection locked="0"/>
    </xf>
    <xf numFmtId="248" fontId="23" fillId="38" borderId="14" xfId="0" applyFont="1" applyFill="1" applyBorder="1" applyNumberFormat="1">
      <alignment horizontal="right" vertical="center" wrapText="1"/>
    </xf>
    <xf numFmtId="4" fontId="23" fillId="41" borderId="31" xfId="0" applyFont="1" applyFill="1" applyBorder="1" applyNumberFormat="1">
      <alignment horizontal="right" vertical="center" wrapText="1"/>
      <protection locked="0"/>
    </xf>
    <xf numFmtId="49" fontId="97" fillId="34" borderId="13" xfId="0" applyFont="1" applyFill="1" applyBorder="1" applyNumberFormat="1">
      <alignment horizontal="center" vertical="top"/>
    </xf>
    <xf numFmtId="49" fontId="101" fillId="0" borderId="0" xfId="0" applyFont="1" applyNumberFormat="1">
      <alignment vertical="top"/>
    </xf>
    <xf numFmtId="49" fontId="97" fillId="0" borderId="13" xfId="0" applyFont="1" applyBorder="1" applyNumberFormat="1">
      <alignment horizontal="center" vertical="top" wrapText="1"/>
    </xf>
    <xf numFmtId="49" fontId="97" fillId="0" borderId="13" xfId="0" applyFont="1" applyBorder="1" applyNumberFormat="1">
      <alignment vertical="top" wrapText="1"/>
    </xf>
    <xf numFmtId="0" fontId="97" fillId="0" borderId="13" xfId="0" applyFont="1" applyBorder="1">
      <alignment vertical="top" wrapText="1"/>
    </xf>
    <xf numFmtId="49" fontId="97" fillId="0" borderId="13" xfId="0" applyFont="1" applyBorder="1" applyNumberFormat="1">
      <alignment vertical="top"/>
    </xf>
    <xf numFmtId="49" fontId="101" fillId="0" borderId="13" xfId="0" applyFont="1" applyBorder="1" applyNumberFormat="1">
      <alignment vertical="top"/>
    </xf>
    <xf numFmtId="49" fontId="97" fillId="0" borderId="0" xfId="0" applyFont="1" applyNumberFormat="1">
      <alignment horizontal="center" vertical="center" wrapText="1"/>
    </xf>
    <xf numFmtId="49" fontId="97" fillId="0" borderId="0" xfId="0" applyFont="1" applyNumberFormat="1">
      <alignment horizontal="left" vertical="center" wrapText="1"/>
    </xf>
    <xf numFmtId="49" fontId="97" fillId="47" borderId="0" xfId="0" applyFont="1" applyFill="1" applyNumberFormat="1">
      <alignment horizontal="center" vertical="center" wrapText="1"/>
    </xf>
    <xf numFmtId="0" fontId="97" fillId="0" borderId="0" xfId="0" applyFont="1">
      <alignment vertical="center" wrapText="1"/>
    </xf>
    <xf numFmtId="0" fontId="56" fillId="0" borderId="13" xfId="0" applyFont="1" applyBorder="1">
      <alignment horizontal="left" vertical="center" wrapText="1" indent="3"/>
    </xf>
    <xf numFmtId="49" fontId="56" fillId="0" borderId="13" xfId="0" applyFont="1" applyBorder="1" applyNumberFormat="1">
      <alignment vertical="center" wrapText="1"/>
    </xf>
    <xf numFmtId="0" fontId="56" fillId="0" borderId="18" xfId="0" applyFont="1" applyBorder="1">
      <alignment vertical="top" wrapText="1"/>
    </xf>
    <xf numFmtId="0" fontId="56" fillId="0" borderId="37" xfId="0" applyFont="1" applyBorder="1">
      <alignment horizontal="left" vertical="center" wrapText="1" indent="1"/>
    </xf>
    <xf numFmtId="0" fontId="56" fillId="0" borderId="37" xfId="0" applyFont="1" applyBorder="1">
      <alignment horizontal="center" vertical="center" wrapText="1"/>
    </xf>
    <xf numFmtId="0" fontId="56" fillId="0" borderId="18" xfId="0" applyFont="1" applyBorder="1">
      <alignment vertical="center" wrapText="1"/>
    </xf>
    <xf numFmtId="0" fontId="56" fillId="0" borderId="24" xfId="0" applyFont="1" applyBorder="1">
      <alignment horizontal="left" vertical="center" wrapText="1" indent="1"/>
    </xf>
    <xf numFmtId="0" fontId="56" fillId="0" borderId="18" xfId="0" applyFont="1" applyBorder="1">
      <alignment horizontal="left" vertical="center" wrapText="1" indent="1"/>
    </xf>
    <xf numFmtId="49" fontId="101" fillId="34" borderId="13" xfId="0" applyFont="1" applyFill="1" applyBorder="1" applyNumberFormat="1">
      <alignment horizontal="center" vertical="top" wrapText="1"/>
    </xf>
    <xf numFmtId="49" fontId="101" fillId="34" borderId="13" xfId="0" applyFont="1" applyFill="1" applyBorder="1" applyNumberFormat="1">
      <alignment horizontal="left" vertical="top" wrapText="1"/>
    </xf>
    <xf numFmtId="49" fontId="101" fillId="34" borderId="0" xfId="0" applyFont="1" applyFill="1" applyNumberFormat="1">
      <alignment horizontal="left" vertical="top" wrapText="1"/>
    </xf>
    <xf numFmtId="0" fontId="97" fillId="0" borderId="15" xfId="0" applyFont="1" applyBorder="1">
      <alignment horizontal="center" vertical="center" wrapText="1"/>
    </xf>
    <xf numFmtId="0" fontId="23" fillId="0" borderId="24" xfId="0" applyFont="1" applyBorder="1">
      <alignment vertical="top" wrapText="1"/>
    </xf>
    <xf numFmtId="0" fontId="23" fillId="0" borderId="24" xfId="0" applyFont="1" applyBorder="1">
      <alignment vertical="top" wrapText="1"/>
    </xf>
    <xf numFmtId="0" fontId="97" fillId="0" borderId="15" xfId="0" applyFont="1" applyBorder="1">
      <alignment horizontal="center" vertical="center"/>
    </xf>
    <xf numFmtId="49" fontId="56" fillId="36" borderId="13" xfId="81" applyFont="1" applyFill="1" applyBorder="1" applyNumberFormat="1">
      <alignment horizontal="center" vertical="center"/>
    </xf>
    <xf numFmtId="0" fontId="56" fillId="36" borderId="13" xfId="0" applyFont="1" applyFill="1" applyBorder="1">
      <alignment horizontal="left" vertical="center" wrapText="1" indent="1"/>
    </xf>
    <xf numFmtId="0" fontId="56" fillId="36" borderId="13" xfId="0" applyFont="1" applyFill="1" applyBorder="1">
      <alignment vertical="center" wrapText="1"/>
    </xf>
    <xf numFmtId="49" fontId="56" fillId="0" borderId="13" xfId="81" applyFont="1" applyBorder="1" applyNumberFormat="1">
      <alignment horizontal="center" vertical="center"/>
    </xf>
    <xf numFmtId="0" fontId="56" fillId="0" borderId="13" xfId="0" applyFont="1" applyBorder="1">
      <alignment horizontal="left" vertical="center" wrapText="1" indent="1"/>
    </xf>
    <xf numFmtId="0" fontId="56" fillId="0" borderId="13" xfId="0" applyFont="1" applyBorder="1">
      <alignment horizontal="left" vertical="center" wrapText="1"/>
    </xf>
    <xf numFmtId="0" fontId="56" fillId="0" borderId="13" xfId="0" applyFont="1" applyBorder="1">
      <alignment vertical="center" wrapText="1"/>
    </xf>
    <xf numFmtId="0" fontId="56" fillId="0" borderId="13" xfId="0" applyFont="1" applyBorder="1">
      <alignment horizontal="center" vertical="center" wrapText="1"/>
    </xf>
    <xf numFmtId="0" fontId="56" fillId="36" borderId="13" xfId="0" applyFont="1" applyFill="1" applyBorder="1">
      <alignment horizontal="left" vertical="center" wrapText="1" indent="2"/>
    </xf>
    <xf numFmtId="49" fontId="56" fillId="0" borderId="13" xfId="0" applyFont="1" applyBorder="1" applyNumberFormat="1">
      <alignment horizontal="left" vertical="center" wrapText="1"/>
    </xf>
    <xf numFmtId="49" fontId="56" fillId="0" borderId="13" xfId="0" applyFont="1" applyBorder="1" applyNumberFormat="1">
      <alignment horizontal="left" vertical="center" wrapText="1"/>
    </xf>
    <xf numFmtId="2" fontId="23" fillId="0" borderId="24" xfId="0" applyFont="1" applyBorder="1" applyNumberFormat="1">
      <alignment horizontal="center" vertical="center" wrapText="1"/>
    </xf>
    <xf numFmtId="0" fontId="106" fillId="0" borderId="0" xfId="0" applyFont="1">
      <alignment horizontal="center" vertical="center" wrapText="1"/>
    </xf>
    <xf numFmtId="0" fontId="107" fillId="36" borderId="0" xfId="0" applyFont="1" applyFill="1">
      <alignment horizontal="right" vertical="center"/>
    </xf>
    <xf numFmtId="0" fontId="23" fillId="0" borderId="24" xfId="0" applyFont="1" applyBorder="1">
      <alignment horizontal="left" vertical="center" wrapText="1"/>
    </xf>
    <xf numFmtId="0" fontId="56" fillId="0" borderId="0" xfId="0" applyFont="1">
      <alignment horizontal="center" vertical="center" wrapText="1"/>
    </xf>
    <xf numFmtId="0" fontId="23" fillId="0" borderId="13" xfId="0" applyFont="1" applyBorder="1">
      <alignment horizontal="left" vertical="center" wrapText="1"/>
    </xf>
    <xf numFmtId="49" fontId="55" fillId="0" borderId="0" xfId="0" applyFont="1" applyNumberFormat="1">
      <alignment horizontal="center" vertical="center" wrapText="1"/>
    </xf>
    <xf numFmtId="0" fontId="56" fillId="0" borderId="29" xfId="0" applyFont="1" applyBorder="1">
      <alignment vertical="center" wrapText="1"/>
    </xf>
    <xf numFmtId="49" fontId="29" fillId="0" borderId="15" xfId="0" applyFont="1" applyBorder="1" applyNumberFormat="1">
      <alignment horizontal="left" vertical="center" wrapText="1"/>
    </xf>
    <xf numFmtId="49" fontId="29" fillId="0" borderId="16" xfId="0" applyFont="1" applyBorder="1" applyNumberFormat="1">
      <alignment horizontal="left" vertical="center" wrapText="1"/>
    </xf>
    <xf numFmtId="49" fontId="56" fillId="0" borderId="0" xfId="0" applyFont="1" applyNumberFormat="1">
      <alignment horizontal="center" vertical="center" wrapText="1"/>
    </xf>
    <xf numFmtId="0" fontId="56" fillId="0" borderId="0" xfId="0" applyFont="1">
      <alignment horizontal="center" vertical="center" wrapText="1"/>
    </xf>
    <xf numFmtId="4" fontId="23" fillId="0" borderId="18" xfId="0" applyFont="1" applyBorder="1" applyNumberFormat="1">
      <alignment horizontal="center" vertical="center" wrapText="1"/>
    </xf>
    <xf numFmtId="4" fontId="23" fillId="0" borderId="33" xfId="0" applyFont="1" applyBorder="1" applyNumberFormat="1">
      <alignment horizontal="center" vertical="center" wrapText="1"/>
    </xf>
    <xf numFmtId="49" fontId="29" fillId="0" borderId="38" xfId="0" applyFont="1" applyBorder="1" applyNumberFormat="1">
      <alignment horizontal="left" vertical="center" wrapText="1"/>
    </xf>
    <xf numFmtId="49" fontId="29" fillId="0" borderId="28" xfId="0" applyFont="1" applyBorder="1" applyNumberFormat="1">
      <alignment horizontal="left" vertical="center" wrapText="1"/>
    </xf>
    <xf numFmtId="0" fontId="23" fillId="0" borderId="37" xfId="0" applyFont="1" applyBorder="1">
      <alignment vertical="center" wrapText="1"/>
    </xf>
    <xf numFmtId="0" fontId="23" fillId="0" borderId="33" xfId="0" applyFont="1" applyBorder="1">
      <alignment horizontal="left" vertical="center" wrapText="1"/>
    </xf>
    <xf numFmtId="49" fontId="55" fillId="0" borderId="0" xfId="0" applyFont="1" applyNumberFormat="1">
      <alignment horizontal="center" vertical="center" wrapText="1"/>
    </xf>
    <xf numFmtId="0" fontId="23" fillId="0" borderId="0" xfId="0" applyFont="1">
      <alignment vertical="top" wrapText="1"/>
    </xf>
    <xf numFmtId="0" fontId="23" fillId="0" borderId="0" xfId="0" applyFont="1">
      <alignment vertical="top"/>
    </xf>
    <xf numFmtId="4" fontId="23" fillId="0" borderId="41" xfId="0" applyFont="1" applyBorder="1" applyNumberFormat="1">
      <alignment horizontal="center" vertical="center" wrapText="1"/>
    </xf>
    <xf numFmtId="0" fontId="56" fillId="0" borderId="0" xfId="0" applyFont="1">
      <alignment horizontal="center" vertical="top"/>
    </xf>
    <xf numFmtId="49" fontId="56" fillId="0" borderId="0" xfId="0" applyFont="1" applyNumberFormat="1">
      <alignment vertical="top"/>
    </xf>
    <xf numFmtId="0" fontId="56" fillId="0" borderId="24" xfId="0" applyFont="1" applyBorder="1">
      <alignment vertical="center" wrapText="1"/>
    </xf>
    <xf numFmtId="4" fontId="56" fillId="0" borderId="13" xfId="0" applyFont="1" applyBorder="1" applyNumberFormat="1">
      <alignment horizontal="right" vertical="center" wrapText="1"/>
    </xf>
    <xf numFmtId="2" fontId="56" fillId="0" borderId="24" xfId="0" applyFont="1" applyBorder="1" applyNumberFormat="1">
      <alignment horizontal="center" vertical="center" wrapText="1"/>
    </xf>
    <xf numFmtId="0" fontId="56" fillId="0" borderId="13" xfId="0" applyFont="1" applyBorder="1">
      <alignment horizontal="left" vertical="center" wrapText="1"/>
    </xf>
    <xf numFmtId="49" fontId="56" fillId="0" borderId="15" xfId="0" applyFont="1" applyBorder="1" applyNumberFormat="1">
      <alignment horizontal="left" vertical="center"/>
    </xf>
    <xf numFmtId="49" fontId="56" fillId="0" borderId="16" xfId="0" applyFont="1" applyBorder="1" applyNumberFormat="1">
      <alignment horizontal="left" vertical="center" indent="1"/>
    </xf>
    <xf numFmtId="49" fontId="56" fillId="0" borderId="16" xfId="0" applyFont="1" applyBorder="1" applyNumberFormat="1">
      <alignment horizontal="left" vertical="center"/>
    </xf>
    <xf numFmtId="0" fontId="56" fillId="0" borderId="13" xfId="0" applyFont="1" applyBorder="1">
      <alignment horizontal="left" vertical="center" indent="1"/>
    </xf>
    <xf numFmtId="49" fontId="0" fillId="0" borderId="20" xfId="0" applyFont="1" applyBorder="1" applyNumberFormat="1">
      <alignment vertical="top"/>
    </xf>
    <xf numFmtId="49" fontId="49" fillId="0" borderId="20" xfId="0" applyFont="1" applyBorder="1" applyNumberFormat="1">
      <alignment horizontal="right" vertical="center"/>
    </xf>
    <xf numFmtId="0" fontId="23" fillId="42" borderId="13" xfId="0" applyFont="1" applyFill="1" applyBorder="1">
      <alignment horizontal="left" vertical="center" wrapText="1" indent="1"/>
    </xf>
    <xf numFmtId="0" fontId="23" fillId="0" borderId="13" xfId="0" applyFont="1" applyBorder="1">
      <alignment horizontal="center" vertical="center" wrapText="1"/>
    </xf>
    <xf numFmtId="0" fontId="56" fillId="0" borderId="0" xfId="0" applyFont="1">
      <alignment horizontal="center" vertical="center" wrapText="1"/>
    </xf>
    <xf numFmtId="49" fontId="55" fillId="0" borderId="0" xfId="0" applyFont="1" applyNumberFormat="1">
      <alignment horizontal="center" vertical="center" wrapText="1"/>
    </xf>
    <xf numFmtId="49" fontId="56" fillId="0" borderId="0" xfId="0" applyFont="1" applyNumberFormat="1">
      <alignment horizontal="center" vertical="center" wrapText="1"/>
    </xf>
    <xf numFmtId="0" fontId="67" fillId="36" borderId="0" xfId="80" applyFont="1" applyFill="1">
      <alignment horizontal="left" vertical="center" wrapText="1" indent="1"/>
    </xf>
    <xf numFmtId="49" fontId="0" fillId="0" borderId="6" xfId="0" applyFont="1" applyBorder="1" applyNumberFormat="1">
      <alignment horizontal="left" vertical="center" wrapText="1" indent="1"/>
    </xf>
    <xf numFmtId="0" fontId="23" fillId="0" borderId="0" xfId="80" applyFont="1">
      <alignment horizontal="left" vertical="center" wrapText="1" indent="1"/>
    </xf>
    <xf numFmtId="49" fontId="29" fillId="33" borderId="14" xfId="0" applyFont="1" applyFill="1" applyBorder="1" applyNumberFormat="1">
      <alignment horizontal="left" vertical="center" wrapText="1"/>
      <protection locked="0"/>
    </xf>
    <xf numFmtId="49" fontId="23" fillId="0" borderId="0" xfId="0" applyFont="1" applyNumberFormat="1">
      <alignment horizontal="center" vertical="center" wrapText="1"/>
    </xf>
    <xf numFmtId="0" fontId="23" fillId="0" borderId="20" xfId="0" applyFont="1" applyBorder="1">
      <alignment vertical="center" wrapText="1"/>
    </xf>
    <xf numFmtId="0" fontId="23" fillId="0" borderId="29" xfId="0" applyFont="1" applyBorder="1">
      <alignment vertical="center" wrapText="1"/>
    </xf>
    <xf numFmtId="49" fontId="23" fillId="40" borderId="42" xfId="0" applyFont="1" applyFill="1" applyBorder="1" applyNumberFormat="1">
      <alignment horizontal="center" vertical="center" wrapText="1"/>
    </xf>
    <xf numFmtId="49" fontId="35" fillId="40" borderId="43" xfId="0" applyFont="1" applyFill="1" applyBorder="1" applyNumberFormat="1">
      <alignment horizontal="right" vertical="center" wrapText="1"/>
    </xf>
    <xf numFmtId="49" fontId="35" fillId="40" borderId="44" xfId="0" applyFont="1" applyFill="1" applyBorder="1" applyNumberFormat="1">
      <alignment horizontal="right" vertical="center" wrapText="1"/>
    </xf>
    <xf numFmtId="49" fontId="54" fillId="0" borderId="0" xfId="0" applyFont="1" applyNumberFormat="1">
      <alignment vertical="top"/>
    </xf>
    <xf numFmtId="49" fontId="54" fillId="0" borderId="0" xfId="0" applyFont="1" applyNumberFormat="1">
      <alignment vertical="center" wrapText="1"/>
    </xf>
    <xf numFmtId="0" fontId="54" fillId="0" borderId="0" xfId="0" applyFont="1">
      <alignment vertical="center" wrapText="1"/>
    </xf>
    <xf numFmtId="49" fontId="100" fillId="0" borderId="0" xfId="0" applyFont="1" applyNumberFormat="1">
      <alignment vertical="center" wrapText="1"/>
    </xf>
    <xf numFmtId="49" fontId="0" fillId="0" borderId="0" xfId="0" applyFont="1" applyNumberFormat="1">
      <alignment vertical="center" wrapText="1"/>
    </xf>
    <xf numFmtId="49" fontId="41" fillId="48" borderId="0" xfId="0" applyFont="1" applyFill="1" applyNumberFormat="1">
      <alignment horizontal="center" vertical="center"/>
    </xf>
    <xf numFmtId="0" fontId="0" fillId="49" borderId="0" xfId="0" applyFont="1" applyFill="1">
      <alignment horizontal="left" vertical="center"/>
    </xf>
    <xf numFmtId="0" fontId="0" fillId="50" borderId="13" xfId="0" applyFont="1" applyFill="1" applyBorder="1">
      <alignment horizontal="center" vertical="center"/>
    </xf>
    <xf numFmtId="49" fontId="0" fillId="0" borderId="0" xfId="0" applyFont="1" applyNumberFormat="1">
      <alignment vertical="center"/>
    </xf>
    <xf numFmtId="49" fontId="55" fillId="48" borderId="13" xfId="0" applyFont="1" applyFill="1" applyBorder="1" applyNumberFormat="1">
      <alignment horizontal="center" vertical="center"/>
    </xf>
    <xf numFmtId="49" fontId="55" fillId="51" borderId="13" xfId="0" applyFont="1" applyFill="1" applyBorder="1" applyNumberFormat="1">
      <alignment horizontal="center" vertical="center"/>
    </xf>
    <xf numFmtId="49" fontId="0" fillId="52" borderId="13" xfId="0" applyFont="1" applyFill="1" applyBorder="1" applyNumberFormat="1">
      <alignment horizontal="center" vertical="center"/>
    </xf>
    <xf numFmtId="49" fontId="23" fillId="0" borderId="0" xfId="0" applyFont="1" applyNumberFormat="1">
      <alignment vertical="top"/>
    </xf>
    <xf numFmtId="0" fontId="23" fillId="0" borderId="13" xfId="0" applyFont="1" applyBorder="1">
      <alignment vertical="center"/>
    </xf>
    <xf numFmtId="0" fontId="0" fillId="0" borderId="13" xfId="0" applyFont="1" applyBorder="1">
      <alignment vertical="center"/>
    </xf>
    <xf numFmtId="0" fontId="0" fillId="0" borderId="13" xfId="0" applyFont="1" applyBorder="1">
      <alignment vertical="center"/>
    </xf>
    <xf numFmtId="0" fontId="0" fillId="0" borderId="15" xfId="0" applyFont="1" applyBorder="1">
      <alignment vertical="center"/>
    </xf>
    <xf numFmtId="0" fontId="0" fillId="0" borderId="15" xfId="0" applyFont="1" applyBorder="1">
      <alignment vertical="center"/>
    </xf>
    <xf numFmtId="49" fontId="23" fillId="0" borderId="45" xfId="0" applyFont="1" applyBorder="1" applyNumberFormat="1">
      <alignment vertical="center"/>
    </xf>
    <xf numFmtId="49" fontId="23" fillId="0" borderId="46" xfId="0" applyFont="1" applyBorder="1" applyNumberFormat="1">
      <alignment vertical="top"/>
    </xf>
    <xf numFmtId="0" fontId="0" fillId="0" borderId="14" xfId="0" applyFont="1" applyBorder="1">
      <alignment vertical="center"/>
    </xf>
    <xf numFmtId="0" fontId="0" fillId="0" borderId="13" xfId="0" applyFont="1" applyBorder="1">
      <alignment horizontal="right" vertical="top"/>
    </xf>
    <xf numFmtId="0" fontId="0" fillId="0" borderId="13" xfId="0" applyFont="1" applyBorder="1">
      <alignment vertical="top"/>
    </xf>
    <xf numFmtId="0" fontId="23" fillId="0" borderId="14" xfId="0" applyFont="1" applyBorder="1">
      <alignment vertical="center"/>
    </xf>
    <xf numFmtId="49" fontId="23" fillId="0" borderId="13" xfId="0" applyFont="1" applyBorder="1" applyNumberFormat="1">
      <alignment vertical="center"/>
    </xf>
    <xf numFmtId="0" fontId="0" fillId="0" borderId="0" xfId="0" applyFont="1">
      <alignment vertical="top"/>
    </xf>
    <xf numFmtId="0" fontId="23" fillId="0" borderId="13" xfId="0" applyFont="1" applyBorder="1">
      <alignment vertical="top"/>
    </xf>
    <xf numFmtId="49" fontId="23" fillId="0" borderId="13" xfId="0" applyFont="1" applyBorder="1" applyNumberFormat="1">
      <alignment vertical="top"/>
    </xf>
    <xf numFmtId="49" fontId="0" fillId="0" borderId="0" xfId="0" applyFont="1" applyNumberFormat="1">
      <alignment vertical="top"/>
    </xf>
    <xf numFmtId="0" fontId="23" fillId="0" borderId="0" xfId="0" applyFont="1">
      <alignment vertical="center"/>
    </xf>
    <xf numFmtId="49" fontId="23" fillId="0" borderId="15" xfId="0" applyFont="1" applyBorder="1" applyNumberFormat="1">
      <alignment vertical="top"/>
    </xf>
    <xf numFmtId="0" fontId="0" fillId="0" borderId="0" xfId="0" applyFont="1">
      <alignment vertical="center"/>
    </xf>
    <xf numFmtId="0" fontId="23" fillId="0" borderId="0" xfId="0" applyFont="1">
      <alignment vertical="top"/>
    </xf>
    <xf numFmtId="49" fontId="23" fillId="0" borderId="13" xfId="0" applyFont="1" applyBorder="1" applyNumberFormat="1">
      <alignment vertical="top"/>
    </xf>
    <xf numFmtId="49" fontId="0" fillId="0" borderId="15" xfId="0" applyFont="1" applyBorder="1" applyNumberFormat="1">
      <alignment vertical="top"/>
    </xf>
    <xf numFmtId="0" fontId="0" fillId="0" borderId="18" xfId="0" applyFont="1" applyBorder="1">
      <alignment vertical="top"/>
    </xf>
    <xf numFmtId="0" fontId="23" fillId="0" borderId="18" xfId="0" applyFont="1" applyBorder="1">
      <alignment vertical="center"/>
    </xf>
    <xf numFmtId="49" fontId="23" fillId="0" borderId="32" xfId="0" applyFont="1" applyBorder="1" applyNumberFormat="1">
      <alignment horizontal="center" vertical="center"/>
    </xf>
    <xf numFmtId="49" fontId="23" fillId="0" borderId="0" xfId="0" applyFont="1" applyNumberFormat="1">
      <alignment vertical="top"/>
    </xf>
    <xf numFmtId="49" fontId="23" fillId="0" borderId="0" xfId="0" applyFont="1" applyNumberFormat="1">
      <alignment vertical="top"/>
    </xf>
    <xf numFmtId="49" fontId="0" fillId="33" borderId="32" xfId="0" applyFont="1" applyFill="1" applyBorder="1" applyNumberFormat="1">
      <alignment horizontal="left" vertical="center"/>
      <protection locked="0"/>
    </xf>
    <xf numFmtId="49" fontId="0" fillId="0" borderId="13" xfId="0" applyFont="1" applyBorder="1" applyNumberFormat="1">
      <alignment horizontal="center" vertical="center"/>
    </xf>
    <xf numFmtId="49" fontId="0" fillId="0" borderId="32" xfId="0" applyFont="1" applyBorder="1" applyNumberFormat="1">
      <alignment horizontal="right" vertical="center"/>
    </xf>
    <xf numFmtId="0" fontId="0" fillId="38" borderId="32" xfId="0" applyFont="1" applyFill="1" applyBorder="1">
      <alignment horizontal="center" vertical="center"/>
    </xf>
    <xf numFmtId="49" fontId="0" fillId="0" borderId="32" xfId="0" applyFont="1" applyBorder="1" applyNumberFormat="1">
      <alignment horizontal="center" vertical="center"/>
    </xf>
    <xf numFmtId="49" fontId="0" fillId="0" borderId="0" xfId="0" applyFont="1" applyNumberFormat="1">
      <alignment horizontal="left" vertical="center"/>
    </xf>
    <xf numFmtId="0" fontId="0" fillId="0" borderId="0" xfId="0" applyFont="1">
      <alignment horizontal="center" vertical="center"/>
    </xf>
    <xf numFmtId="0" fontId="108" fillId="0" borderId="47" xfId="0" applyFont="1" applyBorder="1">
      <alignment horizontal="center" vertical="center"/>
    </xf>
    <xf numFmtId="0" fontId="0" fillId="0" borderId="47" xfId="0" applyFont="1" applyBorder="1">
      <alignment horizontal="center" vertical="center"/>
    </xf>
    <xf numFmtId="49" fontId="41" fillId="48" borderId="13" xfId="0" applyFont="1" applyFill="1" applyBorder="1" applyNumberFormat="1">
      <alignment horizontal="right" vertical="center"/>
    </xf>
    <xf numFmtId="49" fontId="23" fillId="33" borderId="38" xfId="0" applyFont="1" applyFill="1" applyBorder="1" applyNumberFormat="1">
      <alignment vertical="top"/>
      <protection locked="0"/>
    </xf>
    <xf numFmtId="0" fontId="23" fillId="0" borderId="13" xfId="0" applyFont="1" applyBorder="1">
      <alignment vertical="top"/>
    </xf>
    <xf numFmtId="49" fontId="23" fillId="34" borderId="24" xfId="0" applyFont="1" applyFill="1" applyBorder="1" applyNumberFormat="1">
      <alignment vertical="top"/>
    </xf>
    <xf numFmtId="49" fontId="23" fillId="34" borderId="13" xfId="0" applyFont="1" applyFill="1" applyBorder="1" applyNumberFormat="1">
      <alignment vertical="top"/>
    </xf>
    <xf numFmtId="0" fontId="0" fillId="0" borderId="33" xfId="0" applyFont="1" applyBorder="1">
      <alignment horizontal="center" vertical="center"/>
    </xf>
    <xf numFmtId="0" fontId="0" fillId="0" borderId="32" xfId="0" applyFont="1" applyBorder="1">
      <alignment horizontal="center" vertical="center"/>
    </xf>
    <xf numFmtId="49" fontId="0" fillId="0" borderId="0" xfId="0" applyFont="1" applyNumberFormat="1">
      <alignment vertical="center"/>
    </xf>
    <xf numFmtId="49" fontId="41" fillId="48" borderId="15" xfId="0" applyFont="1" applyFill="1" applyBorder="1" applyNumberFormat="1">
      <alignment horizontal="right" vertical="center"/>
    </xf>
    <xf numFmtId="49" fontId="23" fillId="0" borderId="0" xfId="0" applyFont="1" applyNumberFormat="1">
      <alignment vertical="center"/>
    </xf>
    <xf numFmtId="0" fontId="0" fillId="49" borderId="0" xfId="0" applyFont="1" applyFill="1">
      <alignment horizontal="right" vertical="center"/>
    </xf>
    <xf numFmtId="0" fontId="109" fillId="0" borderId="48" xfId="0" applyFont="1" applyBorder="1">
      <alignment horizontal="left" vertical="center" indent="1"/>
    </xf>
    <xf numFmtId="0" fontId="109" fillId="0" borderId="49" xfId="0" applyFont="1" applyBorder="1">
      <alignment horizontal="left" vertical="center" indent="1"/>
    </xf>
    <xf numFmtId="0" fontId="109" fillId="0" borderId="50" xfId="0" applyFont="1" applyBorder="1">
      <alignment horizontal="left" vertical="center" indent="1"/>
    </xf>
    <xf numFmtId="0" fontId="23" fillId="36" borderId="0" xfId="0" applyFont="1" applyFill="1">
      <alignment vertical="center" wrapText="1"/>
    </xf>
    <xf numFmtId="0" fontId="23" fillId="0" borderId="0" xfId="0" applyFont="1">
      <alignment vertical="center" wrapText="1"/>
    </xf>
    <xf numFmtId="0" fontId="41" fillId="0" borderId="0" xfId="0" applyFont="1">
      <alignment vertical="center" wrapText="1"/>
    </xf>
    <xf numFmtId="49" fontId="23" fillId="0" borderId="0" xfId="0" applyFont="1" applyNumberFormat="1">
      <alignment vertical="top"/>
    </xf>
    <xf numFmtId="0" fontId="55" fillId="0" borderId="0" xfId="0" applyFont="1">
      <alignment vertical="center" wrapText="1"/>
    </xf>
    <xf numFmtId="49" fontId="104" fillId="0" borderId="0" xfId="0" applyFont="1" applyNumberFormat="1">
      <alignment horizontal="center" vertical="center" wrapText="1"/>
    </xf>
    <xf numFmtId="0" fontId="23" fillId="36" borderId="0" xfId="0" applyFont="1" applyFill="1">
      <alignment vertical="center" wrapText="1"/>
    </xf>
    <xf numFmtId="0" fontId="23" fillId="0" borderId="0" xfId="0" applyFont="1">
      <alignment vertical="center" wrapText="1"/>
    </xf>
    <xf numFmtId="0" fontId="35" fillId="36" borderId="40" xfId="0" applyFont="1" applyFill="1" applyBorder="1">
      <alignment horizontal="center" wrapText="1"/>
    </xf>
    <xf numFmtId="49" fontId="76" fillId="0" borderId="40" xfId="0" applyFont="1" applyBorder="1" applyNumberFormat="1">
      <alignment vertical="top"/>
    </xf>
    <xf numFmtId="0" fontId="0" fillId="0" borderId="13" xfId="0" applyFont="1" applyBorder="1">
      <alignment horizontal="center" vertical="center" wrapText="1"/>
    </xf>
    <xf numFmtId="0" fontId="23" fillId="0" borderId="0" xfId="0" applyFont="1">
      <alignment horizontal="left" vertical="center" wrapText="1" indent="3"/>
    </xf>
    <xf numFmtId="0" fontId="23" fillId="0" borderId="0" xfId="0" applyFont="1">
      <alignment horizontal="left" vertical="center" wrapText="1" indent="3"/>
    </xf>
    <xf numFmtId="0" fontId="23" fillId="0" borderId="0" xfId="0" applyFont="1">
      <alignment vertical="center" wrapText="1"/>
    </xf>
    <xf numFmtId="0" fontId="41" fillId="0" borderId="0" xfId="0" applyFont="1">
      <alignment vertical="center" wrapText="1"/>
    </xf>
    <xf numFmtId="49" fontId="23" fillId="0" borderId="0" xfId="0" applyFont="1" applyNumberFormat="1">
      <alignment vertical="top"/>
    </xf>
    <xf numFmtId="0" fontId="55" fillId="0" borderId="0" xfId="0" applyFont="1">
      <alignment vertical="center" wrapText="1"/>
    </xf>
    <xf numFmtId="0" fontId="23" fillId="0" borderId="13" xfId="0" applyFont="1" applyBorder="1">
      <alignment horizontal="center" vertical="center" wrapText="1"/>
    </xf>
    <xf numFmtId="0" fontId="23" fillId="0" borderId="0" xfId="0" applyFont="1">
      <alignment vertical="center" wrapText="1"/>
    </xf>
    <xf numFmtId="0" fontId="23" fillId="36" borderId="40" xfId="0" applyFont="1" applyFill="1" applyBorder="1">
      <alignment vertical="center" wrapText="1"/>
    </xf>
    <xf numFmtId="0" fontId="23" fillId="0" borderId="0" xfId="0" applyFont="1">
      <alignment vertical="center" wrapText="1"/>
    </xf>
    <xf numFmtId="0" fontId="41" fillId="0" borderId="0" xfId="0" applyFont="1">
      <alignment vertical="center" wrapText="1"/>
    </xf>
    <xf numFmtId="49" fontId="23" fillId="0" borderId="0" xfId="0" applyFont="1" applyNumberFormat="1">
      <alignment vertical="top"/>
    </xf>
    <xf numFmtId="0" fontId="55" fillId="0" borderId="0" xfId="0" applyFont="1">
      <alignment vertical="center" wrapText="1"/>
    </xf>
    <xf numFmtId="0" fontId="23" fillId="0" borderId="0" xfId="0" applyFont="1">
      <alignment vertical="center" wrapText="1"/>
    </xf>
    <xf numFmtId="0" fontId="23" fillId="0" borderId="0" xfId="0" applyFont="1">
      <alignment vertical="center" wrapText="1"/>
    </xf>
    <xf numFmtId="0" fontId="23" fillId="36" borderId="40" xfId="0" applyFont="1" applyFill="1" applyBorder="1">
      <alignment vertical="center" wrapText="1"/>
    </xf>
    <xf numFmtId="0" fontId="23" fillId="41" borderId="13" xfId="0" applyFont="1" applyFill="1" applyBorder="1">
      <alignment horizontal="left" vertical="center" wrapText="1" indent="1"/>
      <protection locked="0"/>
    </xf>
    <xf numFmtId="49" fontId="55" fillId="48" borderId="0" xfId="0" applyFont="1" applyFill="1" applyNumberFormat="1">
      <alignment horizontal="center" vertical="center" wrapText="1"/>
    </xf>
    <xf numFmtId="0" fontId="23" fillId="0" borderId="13" xfId="0" applyFont="1" applyBorder="1">
      <alignment horizontal="center" vertical="center" wrapText="1"/>
    </xf>
    <xf numFmtId="0" fontId="23" fillId="0" borderId="13" xfId="0" applyFont="1" applyBorder="1">
      <alignment horizontal="center" vertical="center" wrapText="1"/>
    </xf>
    <xf numFmtId="0" fontId="23" fillId="0" borderId="0" xfId="0" applyFont="1">
      <alignment vertical="center" wrapText="1"/>
    </xf>
    <xf numFmtId="0" fontId="41" fillId="0" borderId="0" xfId="0" applyFont="1">
      <alignment vertical="center" wrapText="1"/>
    </xf>
    <xf numFmtId="49" fontId="23" fillId="0" borderId="0" xfId="0" applyFont="1" applyNumberFormat="1">
      <alignment vertical="top"/>
    </xf>
    <xf numFmtId="49" fontId="110" fillId="0" borderId="17" xfId="0" applyFont="1" applyBorder="1" applyNumberFormat="1">
      <alignment vertical="top"/>
    </xf>
    <xf numFmtId="0" fontId="0" fillId="0" borderId="0" xfId="0" applyFont="1">
      <alignment vertical="top"/>
    </xf>
    <xf numFmtId="0" fontId="55" fillId="0" borderId="0" xfId="0" applyFont="1">
      <alignment vertical="center" wrapText="1"/>
    </xf>
    <xf numFmtId="49" fontId="29" fillId="41" borderId="13" xfId="0" applyFont="1" applyFill="1" applyBorder="1" applyNumberFormat="1">
      <alignment horizontal="left" vertical="center" wrapText="1"/>
      <protection locked="0"/>
    </xf>
    <xf numFmtId="0" fontId="23" fillId="0" borderId="15" xfId="0" applyFont="1" applyBorder="1">
      <alignment horizontal="left" vertical="center"/>
    </xf>
    <xf numFmtId="0" fontId="0" fillId="0" borderId="15" xfId="0" applyFont="1" applyBorder="1">
      <alignment horizontal="left" vertical="center"/>
    </xf>
    <xf numFmtId="49" fontId="29" fillId="41" borderId="13" xfId="0" applyFont="1" applyFill="1" applyBorder="1" applyNumberFormat="1">
      <alignment horizontal="left" vertical="center" wrapText="1"/>
      <protection locked="0"/>
    </xf>
    <xf numFmtId="0" fontId="23" fillId="36" borderId="27" xfId="80" applyFont="1" applyFill="1" applyBorder="1">
      <alignment horizontal="right" vertical="center" wrapText="1" indent="1"/>
    </xf>
    <xf numFmtId="49" fontId="55" fillId="0" borderId="0" xfId="0" applyFont="1" applyNumberFormat="1">
      <alignment horizontal="center" vertical="center" wrapText="1"/>
    </xf>
    <xf numFmtId="49" fontId="56" fillId="0" borderId="0" xfId="0" applyFont="1" applyNumberFormat="1">
      <alignment horizontal="center" vertical="center" wrapText="1"/>
    </xf>
    <xf numFmtId="49" fontId="49" fillId="40" borderId="16" xfId="0" applyFont="1" applyFill="1" applyBorder="1" applyNumberFormat="1">
      <alignment horizontal="left" vertical="center" indent="1"/>
    </xf>
    <xf numFmtId="4" fontId="23" fillId="41" borderId="32" xfId="0" applyFont="1" applyFill="1" applyBorder="1" applyNumberFormat="1">
      <alignment horizontal="right" vertical="center" wrapText="1"/>
      <protection locked="0"/>
    </xf>
    <xf numFmtId="0" fontId="23" fillId="36" borderId="0" xfId="0" applyFont="1" applyFill="1">
      <alignment vertical="center" wrapText="1"/>
    </xf>
    <xf numFmtId="0" fontId="23" fillId="0" borderId="39" xfId="0" applyFont="1" applyBorder="1">
      <alignment vertical="center" wrapText="1"/>
    </xf>
    <xf numFmtId="0" fontId="23" fillId="0" borderId="0" xfId="0" applyFont="1">
      <alignment vertical="center"/>
    </xf>
    <xf numFmtId="0" fontId="23" fillId="0" borderId="0" xfId="0" applyFont="1">
      <alignment vertical="center" wrapText="1"/>
    </xf>
    <xf numFmtId="0" fontId="23" fillId="40" borderId="51" xfId="0" applyFont="1" applyFill="1" applyBorder="1">
      <alignment vertical="center" wrapText="1"/>
    </xf>
    <xf numFmtId="0" fontId="23" fillId="40" borderId="52" xfId="0" applyFont="1" applyFill="1" applyBorder="1">
      <alignment vertical="center" wrapText="1"/>
    </xf>
    <xf numFmtId="49" fontId="111" fillId="40" borderId="15" xfId="0" applyFont="1" applyFill="1" applyBorder="1" applyNumberFormat="1">
      <alignment horizontal="left" vertical="center" indent="1"/>
    </xf>
    <xf numFmtId="49" fontId="111" fillId="40" borderId="16" xfId="0" applyFont="1" applyFill="1" applyBorder="1" applyNumberFormat="1">
      <alignment horizontal="left" vertical="center" indent="1"/>
    </xf>
    <xf numFmtId="49" fontId="100" fillId="40" borderId="44" xfId="0" applyFont="1" applyFill="1" applyBorder="1" applyNumberFormat="1">
      <alignment horizontal="center" vertical="center"/>
    </xf>
    <xf numFmtId="49" fontId="111" fillId="40" borderId="44" xfId="0" applyFont="1" applyFill="1" applyBorder="1" applyNumberFormat="1">
      <alignment horizontal="left" vertical="center" indent="1"/>
    </xf>
    <xf numFmtId="49" fontId="112" fillId="0" borderId="0" xfId="0" applyFont="1" applyNumberFormat="1">
      <alignment horizontal="center" vertical="top" wrapText="1"/>
    </xf>
    <xf numFmtId="0" fontId="54" fillId="0" borderId="13" xfId="0" applyFont="1" applyBorder="1">
      <alignment horizontal="center" vertical="center"/>
    </xf>
    <xf numFmtId="0" fontId="54" fillId="42" borderId="13" xfId="0" applyFont="1" applyFill="1" applyBorder="1">
      <alignment horizontal="left" vertical="center" wrapText="1" indent="1"/>
    </xf>
    <xf numFmtId="49" fontId="54" fillId="40" borderId="16" xfId="0" applyFont="1" applyFill="1" applyBorder="1" applyNumberFormat="1">
      <alignment vertical="top" wrapText="1"/>
    </xf>
    <xf numFmtId="49" fontId="54" fillId="40" borderId="14" xfId="0" applyFont="1" applyFill="1" applyBorder="1" applyNumberFormat="1">
      <alignment vertical="top" wrapText="1"/>
    </xf>
    <xf numFmtId="49" fontId="54" fillId="40" borderId="53" xfId="0" applyFont="1" applyFill="1" applyBorder="1" applyNumberFormat="1">
      <alignment vertical="top" wrapText="1"/>
    </xf>
    <xf numFmtId="49" fontId="111" fillId="40" borderId="53" xfId="0" applyFont="1" applyFill="1" applyBorder="1" applyNumberFormat="1">
      <alignment horizontal="left" vertical="center" indent="1"/>
    </xf>
    <xf numFmtId="0" fontId="23" fillId="40" borderId="54" xfId="0" applyFont="1" applyFill="1" applyBorder="1">
      <alignment vertical="center" wrapText="1"/>
    </xf>
    <xf numFmtId="0" fontId="23" fillId="36" borderId="40" xfId="0" applyFont="1" applyFill="1" applyBorder="1">
      <alignment vertical="center" wrapText="1"/>
    </xf>
    <xf numFmtId="0" fontId="0" fillId="0" borderId="50" xfId="0" applyFont="1" applyBorder="1">
      <alignment horizontal="left" vertical="center" wrapText="1"/>
    </xf>
    <xf numFmtId="0" fontId="23" fillId="0" borderId="50" xfId="0" applyFont="1" applyBorder="1">
      <alignment vertical="center" wrapText="1"/>
    </xf>
    <xf numFmtId="0" fontId="23" fillId="0" borderId="55" xfId="0" applyFont="1" applyBorder="1">
      <alignment vertical="center" wrapText="1"/>
    </xf>
    <xf numFmtId="0" fontId="23" fillId="0" borderId="56" xfId="0" applyFont="1" applyBorder="1">
      <alignment vertical="center" wrapText="1"/>
    </xf>
    <xf numFmtId="0" fontId="23" fillId="42" borderId="13" xfId="0" applyFont="1" applyFill="1" applyBorder="1">
      <alignment horizontal="left" vertical="center" wrapText="1" indent="1"/>
    </xf>
    <xf numFmtId="0" fontId="0" fillId="40" borderId="51" xfId="0" applyFont="1" applyFill="1" applyBorder="1">
      <alignment horizontal="left" vertical="center"/>
    </xf>
    <xf numFmtId="49" fontId="0" fillId="0" borderId="0" xfId="0" applyFont="1" applyNumberFormat="1">
      <alignment vertical="top"/>
    </xf>
    <xf numFmtId="0" fontId="23" fillId="0" borderId="37" xfId="0" applyFont="1" applyBorder="1">
      <alignment horizontal="center" vertical="center" wrapText="1"/>
    </xf>
    <xf numFmtId="0" fontId="23" fillId="0" borderId="13" xfId="0" applyFont="1" applyBorder="1">
      <alignment horizontal="center" vertical="center" wrapText="1"/>
    </xf>
    <xf numFmtId="0" fontId="46" fillId="0" borderId="25" xfId="0" applyFont="1" applyBorder="1">
      <alignment horizontal="center" vertical="center" wrapText="1"/>
    </xf>
    <xf numFmtId="49" fontId="49" fillId="40" borderId="52" xfId="0" applyFont="1" applyFill="1" applyBorder="1" applyNumberFormat="1">
      <alignment horizontal="left" vertical="center" indent="1"/>
    </xf>
    <xf numFmtId="0" fontId="23" fillId="36" borderId="13" xfId="0" applyFont="1" applyFill="1" applyBorder="1">
      <alignment horizontal="center" vertical="center" wrapText="1"/>
    </xf>
    <xf numFmtId="49" fontId="45" fillId="0" borderId="13" xfId="0" applyFont="1" applyBorder="1" applyNumberFormat="1">
      <alignment horizontal="center" vertical="center"/>
    </xf>
    <xf numFmtId="49" fontId="45" fillId="34" borderId="13" xfId="0" applyFont="1" applyFill="1" applyBorder="1" applyNumberFormat="1">
      <alignment horizontal="center" vertical="center"/>
    </xf>
    <xf numFmtId="0" fontId="45" fillId="0" borderId="13" xfId="0" applyFont="1" applyBorder="1">
      <alignment horizontal="center" vertical="center"/>
    </xf>
    <xf numFmtId="49" fontId="45" fillId="0" borderId="24" xfId="0" applyFont="1" applyBorder="1" applyNumberFormat="1">
      <alignment horizontal="center" vertical="center"/>
    </xf>
    <xf numFmtId="49" fontId="23" fillId="0" borderId="0" xfId="0" applyFont="1" applyNumberFormat="1">
      <alignment vertical="center"/>
    </xf>
    <xf numFmtId="49" fontId="55" fillId="0" borderId="18" xfId="0" applyFont="1" applyBorder="1" applyNumberFormat="1">
      <alignment horizontal="center" vertical="center"/>
    </xf>
    <xf numFmtId="49" fontId="23" fillId="0" borderId="18" xfId="0" applyFont="1" applyBorder="1" applyNumberFormat="1">
      <alignment horizontal="center" vertical="center"/>
    </xf>
    <xf numFmtId="0" fontId="23" fillId="0" borderId="18" xfId="0" applyFont="1" applyBorder="1">
      <alignment horizontal="right" vertical="center"/>
    </xf>
    <xf numFmtId="0" fontId="23" fillId="0" borderId="18" xfId="0" applyFont="1" applyBorder="1">
      <alignment horizontal="center" vertical="center"/>
    </xf>
    <xf numFmtId="0" fontId="23" fillId="0" borderId="13" xfId="0" applyFont="1" applyBorder="1">
      <alignment horizontal="right" vertical="center"/>
    </xf>
    <xf numFmtId="49" fontId="23" fillId="0" borderId="0" xfId="0" applyFont="1" applyNumberFormat="1">
      <alignment vertical="center"/>
    </xf>
    <xf numFmtId="49" fontId="23" fillId="0" borderId="57" xfId="0" applyFont="1" applyBorder="1" applyNumberFormat="1">
      <alignment horizontal="center" vertical="center"/>
    </xf>
    <xf numFmtId="0" fontId="23" fillId="0" borderId="57" xfId="0" applyFont="1" applyBorder="1">
      <alignment horizontal="right" vertical="center"/>
    </xf>
    <xf numFmtId="0" fontId="23" fillId="0" borderId="57" xfId="0" applyFont="1" applyBorder="1">
      <alignment horizontal="center" vertical="center"/>
    </xf>
    <xf numFmtId="0" fontId="23" fillId="0" borderId="16" xfId="0" applyFont="1" applyBorder="1">
      <alignment horizontal="right" vertical="center"/>
    </xf>
    <xf numFmtId="0" fontId="23" fillId="0" borderId="14" xfId="0" applyFont="1" applyBorder="1">
      <alignment horizontal="right" vertical="center"/>
    </xf>
    <xf numFmtId="0" fontId="23" fillId="36" borderId="13" xfId="0" applyFont="1" applyFill="1" applyBorder="1">
      <alignment horizontal="center" vertical="center"/>
    </xf>
    <xf numFmtId="0" fontId="23" fillId="42" borderId="13" xfId="0" applyFont="1" applyFill="1" applyBorder="1">
      <alignment horizontal="left" vertical="center" wrapText="1" indent="1"/>
    </xf>
    <xf numFmtId="0" fontId="23" fillId="41" borderId="13" xfId="0" applyFont="1" applyFill="1" applyBorder="1">
      <alignment horizontal="left" vertical="center" wrapText="1" indent="1"/>
      <protection locked="0"/>
    </xf>
    <xf numFmtId="0" fontId="23" fillId="34" borderId="13" xfId="0" applyFont="1" applyFill="1" applyBorder="1">
      <alignment horizontal="right" vertical="center"/>
    </xf>
    <xf numFmtId="3" fontId="23" fillId="33" borderId="13" xfId="0" applyFont="1" applyFill="1" applyBorder="1" applyNumberFormat="1">
      <alignment horizontal="right" vertical="center"/>
      <protection locked="0"/>
    </xf>
    <xf numFmtId="4" fontId="23" fillId="33" borderId="13" xfId="0" applyFont="1" applyFill="1" applyBorder="1" applyNumberFormat="1">
      <alignment horizontal="right" vertical="center"/>
      <protection locked="0"/>
    </xf>
    <xf numFmtId="49" fontId="49" fillId="40" borderId="58" xfId="0" applyFont="1" applyFill="1" applyBorder="1" applyNumberFormat="1">
      <alignment horizontal="left" vertical="center" indent="1"/>
    </xf>
    <xf numFmtId="49" fontId="49" fillId="40" borderId="52" xfId="0" applyFont="1" applyFill="1" applyBorder="1" applyNumberFormat="1">
      <alignment horizontal="left" vertical="center" indent="1"/>
    </xf>
    <xf numFmtId="49" fontId="49" fillId="53" borderId="14" xfId="0" applyFont="1" applyFill="1" applyBorder="1" applyNumberFormat="1">
      <alignment horizontal="left" vertical="center" indent="1"/>
    </xf>
    <xf numFmtId="49" fontId="23" fillId="0" borderId="0" xfId="0" applyFont="1" applyNumberFormat="1">
      <alignment vertical="top"/>
    </xf>
    <xf numFmtId="0" fontId="23" fillId="33" borderId="13" xfId="0" applyFont="1" applyFill="1" applyBorder="1">
      <alignment horizontal="left" vertical="center" indent="1"/>
      <protection locked="0"/>
    </xf>
    <xf numFmtId="0" fontId="23" fillId="49" borderId="0" xfId="0" applyFont="1" applyFill="1">
      <alignment horizontal="left" vertical="center"/>
    </xf>
    <xf numFmtId="49" fontId="23" fillId="42" borderId="13" xfId="0" applyFont="1" applyFill="1" applyBorder="1" applyNumberFormat="1">
      <alignment horizontal="center" vertical="center" wrapText="1"/>
    </xf>
    <xf numFmtId="49" fontId="23" fillId="0" borderId="0" xfId="0" applyFont="1" applyNumberFormat="1">
      <alignment vertical="center" wrapText="1"/>
    </xf>
    <xf numFmtId="0" fontId="23" fillId="36" borderId="13" xfId="0" applyFont="1" applyFill="1" applyBorder="1">
      <alignment horizontal="center" vertical="center" wrapText="1"/>
    </xf>
    <xf numFmtId="0" fontId="23" fillId="0" borderId="0" xfId="0" applyFont="1">
      <alignment horizontal="right" vertical="center" wrapText="1"/>
    </xf>
    <xf numFmtId="0" fontId="45" fillId="36" borderId="0" xfId="0" applyFont="1" applyFill="1">
      <alignment horizontal="center" vertical="center" wrapText="1"/>
    </xf>
    <xf numFmtId="0" fontId="56" fillId="0" borderId="0" xfId="0" applyFont="1">
      <alignment horizontal="center" vertical="center" wrapText="1"/>
    </xf>
    <xf numFmtId="0" fontId="0" fillId="0" borderId="13" xfId="0" applyFont="1" applyBorder="1">
      <alignment horizontal="center" vertical="center" wrapText="1"/>
    </xf>
    <xf numFmtId="0" fontId="0" fillId="0" borderId="13" xfId="0" applyFont="1" applyBorder="1">
      <alignment horizontal="center" vertical="center" wrapText="1"/>
    </xf>
    <xf numFmtId="49" fontId="23" fillId="0" borderId="13" xfId="0" applyFont="1" applyBorder="1" applyNumberFormat="1">
      <alignment horizontal="center" vertical="center" wrapText="1"/>
    </xf>
    <xf numFmtId="49" fontId="23" fillId="0" borderId="13" xfId="0" applyFont="1" applyBorder="1" applyNumberFormat="1">
      <alignment horizontal="left" vertical="center" wrapText="1"/>
    </xf>
    <xf numFmtId="0" fontId="23" fillId="0" borderId="13" xfId="0" applyFont="1" applyBorder="1">
      <alignment horizontal="left" vertical="center" wrapText="1"/>
    </xf>
    <xf numFmtId="0" fontId="23" fillId="36" borderId="13" xfId="0" applyFont="1" applyFill="1" applyBorder="1">
      <alignment horizontal="left" vertical="center" wrapText="1"/>
    </xf>
    <xf numFmtId="0" fontId="46" fillId="36" borderId="0" xfId="0" applyFont="1" applyFill="1">
      <alignment horizontal="center" vertical="center" wrapText="1"/>
    </xf>
    <xf numFmtId="49" fontId="0" fillId="0" borderId="13" xfId="0" applyFont="1" applyBorder="1" applyNumberFormat="1">
      <alignment horizontal="center" vertical="center" wrapText="1"/>
    </xf>
    <xf numFmtId="49" fontId="0" fillId="0" borderId="13" xfId="0" applyFont="1" applyBorder="1" applyNumberFormat="1">
      <alignment horizontal="center" vertical="center"/>
    </xf>
    <xf numFmtId="0" fontId="23" fillId="36" borderId="20" xfId="0" applyFont="1" applyFill="1" applyBorder="1">
      <alignment vertical="center" wrapText="1"/>
    </xf>
    <xf numFmtId="49" fontId="56" fillId="0" borderId="0" xfId="0" applyFont="1" applyNumberFormat="1">
      <alignment vertical="top"/>
    </xf>
    <xf numFmtId="0" fontId="56" fillId="0" borderId="40" xfId="0" applyFont="1" applyBorder="1">
      <alignment vertical="center" wrapText="1"/>
    </xf>
    <xf numFmtId="49" fontId="0" fillId="0" borderId="13" xfId="0" applyFont="1" applyBorder="1" applyNumberFormat="1">
      <alignment horizontal="center" vertical="center"/>
    </xf>
    <xf numFmtId="49" fontId="0" fillId="0" borderId="13" xfId="0" applyFont="1" applyBorder="1" applyNumberFormat="1">
      <alignment horizontal="center" vertical="center" wrapText="1"/>
    </xf>
    <xf numFmtId="49" fontId="0" fillId="38" borderId="13" xfId="0" applyFont="1" applyFill="1" applyBorder="1" applyNumberFormat="1">
      <alignment horizontal="center" vertical="center"/>
    </xf>
    <xf numFmtId="49" fontId="23" fillId="0" borderId="23" xfId="0" applyFont="1" applyBorder="1" applyNumberFormat="1">
      <alignment vertical="top"/>
    </xf>
    <xf numFmtId="0" fontId="23" fillId="0" borderId="23" xfId="0" applyFont="1" applyBorder="1">
      <alignment vertical="center" wrapText="1"/>
    </xf>
    <xf numFmtId="4" fontId="0" fillId="33" borderId="13" xfId="0" applyFont="1" applyFill="1" applyBorder="1" applyNumberFormat="1">
      <alignment horizontal="right" vertical="center" wrapText="1"/>
      <protection locked="0"/>
    </xf>
    <xf numFmtId="4" fontId="0" fillId="38" borderId="13" xfId="0" applyFont="1" applyFill="1" applyBorder="1" applyNumberFormat="1">
      <alignment horizontal="right" vertical="center" wrapText="1"/>
    </xf>
    <xf numFmtId="49" fontId="0" fillId="0" borderId="13" xfId="0" applyFont="1" applyBorder="1" applyNumberFormat="1">
      <alignment horizontal="left" vertical="center" wrapText="1" indent="2"/>
    </xf>
    <xf numFmtId="49" fontId="0" fillId="0" borderId="13" xfId="0" applyFont="1" applyBorder="1" applyNumberFormat="1">
      <alignment horizontal="left" vertical="center" wrapText="1" indent="3"/>
    </xf>
    <xf numFmtId="49" fontId="0" fillId="0" borderId="13" xfId="0" applyFont="1" applyBorder="1" applyNumberFormat="1">
      <alignment horizontal="left" vertical="center" wrapText="1"/>
    </xf>
    <xf numFmtId="0" fontId="23" fillId="0" borderId="39" xfId="0" applyFont="1" applyBorder="1">
      <alignment vertical="center"/>
    </xf>
    <xf numFmtId="49" fontId="49" fillId="40" borderId="16" xfId="0" applyFont="1" applyFill="1" applyBorder="1" applyNumberFormat="1">
      <alignment horizontal="left" vertical="center" indent="1"/>
    </xf>
    <xf numFmtId="49" fontId="23" fillId="41" borderId="18" xfId="0" applyFont="1" applyFill="1" applyBorder="1" applyNumberFormat="1">
      <alignment horizontal="left" vertical="center" wrapText="1" indent="1"/>
      <protection locked="0"/>
    </xf>
    <xf numFmtId="0" fontId="22" fillId="0" borderId="0" xfId="0" applyFont="1">
      <alignment vertical="center" wrapText="1"/>
    </xf>
    <xf numFmtId="0" fontId="23" fillId="36" borderId="29" xfId="0" applyFont="1" applyFill="1" applyBorder="1">
      <alignment vertical="center" wrapText="1"/>
    </xf>
    <xf numFmtId="0" fontId="56" fillId="36" borderId="20" xfId="0" applyFont="1" applyFill="1" applyBorder="1">
      <alignment horizontal="center" vertical="center" wrapText="1"/>
    </xf>
    <xf numFmtId="49" fontId="79" fillId="0" borderId="0" xfId="0" applyFont="1" applyNumberFormat="1">
      <alignment vertical="center" wrapText="1"/>
    </xf>
    <xf numFmtId="0" fontId="113" fillId="36" borderId="0" xfId="0" applyFont="1" applyFill="1">
      <alignment vertical="center" wrapText="1"/>
    </xf>
    <xf numFmtId="0" fontId="78" fillId="0" borderId="0" xfId="0" applyFont="1">
      <alignment horizontal="left" vertical="center" wrapText="1"/>
    </xf>
    <xf numFmtId="0" fontId="23" fillId="0" borderId="0" xfId="0" applyFont="1">
      <alignment vertical="center"/>
    </xf>
    <xf numFmtId="49" fontId="56" fillId="36" borderId="0" xfId="0" applyFont="1" applyFill="1" applyNumberFormat="1">
      <alignment horizontal="center" vertical="center" wrapText="1"/>
    </xf>
    <xf numFmtId="0" fontId="23" fillId="0" borderId="0" xfId="0" applyFont="1">
      <alignment horizontal="left" vertical="center" wrapText="1"/>
    </xf>
    <xf numFmtId="0" fontId="56" fillId="0" borderId="0" xfId="0" applyFont="1">
      <alignment vertical="center"/>
    </xf>
    <xf numFmtId="0" fontId="23" fillId="0" borderId="0" xfId="0" applyFont="1">
      <alignment horizontal="left" vertical="center" wrapText="1" indent="1"/>
    </xf>
    <xf numFmtId="0" fontId="88" fillId="0" borderId="0" xfId="0" applyFont="1">
      <alignment vertical="center" wrapText="1"/>
    </xf>
    <xf numFmtId="0" fontId="23" fillId="0" borderId="0" xfId="0" applyFont="1">
      <alignment horizontal="right" vertical="top" wrapText="1"/>
    </xf>
    <xf numFmtId="49" fontId="0" fillId="36" borderId="13" xfId="0" applyFont="1" applyFill="1" applyBorder="1" applyNumberFormat="1">
      <alignment horizontal="center" vertical="center" wrapText="1"/>
    </xf>
    <xf numFmtId="4" fontId="0" fillId="36" borderId="15" xfId="0" applyFont="1" applyFill="1" applyBorder="1" applyNumberFormat="1">
      <alignment horizontal="right" vertical="center"/>
    </xf>
    <xf numFmtId="0" fontId="23" fillId="0" borderId="15" xfId="0" applyFont="1" applyBorder="1">
      <alignment horizontal="left" vertical="center" wrapText="1" indent="6"/>
    </xf>
    <xf numFmtId="49" fontId="23" fillId="40" borderId="31" xfId="0" applyFont="1" applyFill="1" applyBorder="1" applyNumberFormat="1">
      <alignment horizontal="center" vertical="center" wrapText="1"/>
    </xf>
    <xf numFmtId="0" fontId="56" fillId="0" borderId="0" xfId="0" applyFont="1">
      <alignment vertical="top" wrapText="1"/>
    </xf>
    <xf numFmtId="49" fontId="0" fillId="0" borderId="0" xfId="0" applyFont="1" applyNumberFormat="1">
      <alignment vertical="center" wrapText="1"/>
    </xf>
    <xf numFmtId="0" fontId="114" fillId="36" borderId="0" xfId="0" applyFont="1" applyFill="1">
      <alignment vertical="center" wrapText="1"/>
    </xf>
    <xf numFmtId="49" fontId="86" fillId="36" borderId="20" xfId="0" applyFont="1" applyFill="1" applyBorder="1" applyNumberFormat="1">
      <alignment horizontal="center" vertical="center" wrapText="1"/>
    </xf>
    <xf numFmtId="0" fontId="86" fillId="36" borderId="20" xfId="0" applyFont="1" applyFill="1" applyBorder="1">
      <alignment horizontal="center" vertical="center" wrapText="1"/>
    </xf>
    <xf numFmtId="49" fontId="23" fillId="0" borderId="0" xfId="0" applyFont="1" applyNumberFormat="1">
      <alignment horizontal="left" vertical="center"/>
    </xf>
    <xf numFmtId="49" fontId="23" fillId="0" borderId="0" xfId="0" applyFont="1" applyNumberFormat="1">
      <alignment horizontal="left" vertical="top"/>
    </xf>
    <xf numFmtId="247" fontId="23" fillId="33" borderId="13" xfId="0" applyFont="1" applyFill="1" applyBorder="1" applyNumberFormat="1">
      <alignment horizontal="right" vertical="center" wrapText="1"/>
      <protection locked="0"/>
    </xf>
    <xf numFmtId="0" fontId="54" fillId="0" borderId="13" xfId="0" applyFont="1" applyBorder="1">
      <alignment vertical="top" wrapText="1"/>
    </xf>
    <xf numFmtId="0" fontId="23" fillId="42" borderId="13" xfId="0" applyFont="1" applyFill="1" applyBorder="1">
      <alignment horizontal="left" vertical="center" wrapText="1" indent="6"/>
      <protection locked="0"/>
    </xf>
    <xf numFmtId="0" fontId="23" fillId="0" borderId="0" xfId="0" applyFont="1">
      <alignment vertical="center"/>
    </xf>
    <xf numFmtId="0" fontId="115" fillId="0" borderId="0" xfId="0" applyFont="1">
      <alignment vertical="center"/>
    </xf>
    <xf numFmtId="0" fontId="115" fillId="0" borderId="0" xfId="0" applyFont="1">
      <alignment vertical="center"/>
    </xf>
    <xf numFmtId="0" fontId="23" fillId="0" borderId="0" xfId="0" applyFont="1">
      <alignment vertical="center"/>
    </xf>
    <xf numFmtId="0" fontId="23" fillId="0" borderId="0" xfId="0" applyFont="1">
      <alignment vertical="center"/>
    </xf>
    <xf numFmtId="0" fontId="115" fillId="0" borderId="0" xfId="0" applyFont="1">
      <alignment vertical="center"/>
    </xf>
    <xf numFmtId="0" fontId="23" fillId="0" borderId="0" xfId="0" applyFont="1">
      <alignment vertical="center"/>
    </xf>
    <xf numFmtId="0" fontId="23" fillId="0" borderId="0" xfId="0" applyFont="1">
      <alignment vertical="center"/>
    </xf>
    <xf numFmtId="0" fontId="23" fillId="0" borderId="0" xfId="0" applyFont="1">
      <alignment horizontal="left" vertical="center" indent="1"/>
    </xf>
    <xf numFmtId="49" fontId="23" fillId="0" borderId="0" xfId="0" applyFont="1" applyNumberFormat="1">
      <alignment horizontal="left" vertical="center"/>
    </xf>
    <xf numFmtId="49" fontId="116" fillId="40" borderId="16" xfId="0" applyFont="1" applyFill="1" applyBorder="1" applyNumberFormat="1">
      <alignment horizontal="left" vertical="center" indent="3"/>
    </xf>
    <xf numFmtId="49" fontId="79" fillId="40" borderId="16" xfId="0" applyFont="1" applyFill="1" applyBorder="1" applyNumberFormat="1">
      <alignment horizontal="center" vertical="center" wrapText="1"/>
    </xf>
    <xf numFmtId="49" fontId="73" fillId="40" borderId="16" xfId="0" applyFont="1" applyFill="1" applyBorder="1" applyNumberFormat="1">
      <alignment horizontal="center" vertical="center" wrapText="1"/>
    </xf>
    <xf numFmtId="49" fontId="73" fillId="40" borderId="14" xfId="0" applyFont="1" applyFill="1" applyBorder="1" applyNumberFormat="1">
      <alignment horizontal="center" vertical="center" wrapText="1"/>
    </xf>
    <xf numFmtId="49" fontId="116" fillId="40" borderId="16" xfId="0" applyFont="1" applyFill="1" applyBorder="1" applyNumberFormat="1">
      <alignment horizontal="left" vertical="center" indent="2"/>
    </xf>
    <xf numFmtId="49" fontId="116" fillId="40" borderId="16" xfId="0" applyFont="1" applyFill="1" applyBorder="1" applyNumberFormat="1">
      <alignment horizontal="left" vertical="center" indent="1"/>
    </xf>
    <xf numFmtId="49" fontId="116" fillId="40" borderId="16" xfId="0" applyFont="1" applyFill="1" applyBorder="1" applyNumberFormat="1">
      <alignment horizontal="left" vertical="center"/>
    </xf>
    <xf numFmtId="0" fontId="23" fillId="36" borderId="0" xfId="0" applyFont="1" applyFill="1">
      <alignment horizontal="left" vertical="center" wrapText="1"/>
    </xf>
    <xf numFmtId="0" fontId="0" fillId="0" borderId="0" xfId="0" applyFont="1">
      <alignment horizontal="left" vertical="center"/>
    </xf>
    <xf numFmtId="49" fontId="86" fillId="36" borderId="20" xfId="0" applyFont="1" applyFill="1" applyBorder="1" applyNumberFormat="1">
      <alignment horizontal="left" vertical="center" wrapText="1"/>
    </xf>
    <xf numFmtId="49" fontId="76" fillId="40" borderId="15" xfId="0" applyFont="1" applyFill="1" applyBorder="1" applyNumberFormat="1">
      <alignment horizontal="left" vertical="center"/>
    </xf>
    <xf numFmtId="49" fontId="107" fillId="40" borderId="15" xfId="0" applyFont="1" applyFill="1" applyBorder="1" applyNumberFormat="1">
      <alignment horizontal="left" vertical="center"/>
    </xf>
    <xf numFmtId="49" fontId="73" fillId="40" borderId="15" xfId="0" applyFont="1" applyFill="1" applyBorder="1" applyNumberFormat="1">
      <alignment horizontal="left" vertical="top"/>
    </xf>
    <xf numFmtId="0" fontId="0" fillId="49" borderId="0" xfId="0" applyFont="1" applyFill="1">
      <alignment horizontal="right" vertical="center"/>
    </xf>
    <xf numFmtId="0" fontId="56" fillId="0" borderId="13" xfId="0" applyFont="1" applyBorder="1">
      <alignment horizontal="center" vertical="center"/>
    </xf>
    <xf numFmtId="0" fontId="0" fillId="0" borderId="0" xfId="0" applyFont="1">
      <alignment vertical="center"/>
    </xf>
    <xf numFmtId="0" fontId="23" fillId="0" borderId="13" xfId="0" applyFont="1" applyBorder="1">
      <alignment horizontal="center" vertical="center" wrapText="1"/>
    </xf>
    <xf numFmtId="0" fontId="0" fillId="0" borderId="0" xfId="0" applyFont="1">
      <alignment horizontal="left" vertical="top" wrapText="1"/>
    </xf>
    <xf numFmtId="49" fontId="23" fillId="0" borderId="0" xfId="0" applyFont="1" applyNumberFormat="1">
      <alignment vertical="center" wrapText="1"/>
    </xf>
    <xf numFmtId="0" fontId="23" fillId="0" borderId="0" xfId="0" applyFont="1">
      <alignment horizontal="right" vertical="center" wrapText="1"/>
    </xf>
    <xf numFmtId="0" fontId="23" fillId="0" borderId="0" xfId="0" applyFont="1">
      <alignment horizontal="left" vertical="top" wrapText="1"/>
    </xf>
    <xf numFmtId="0" fontId="86" fillId="36" borderId="20" xfId="0" applyFont="1" applyFill="1" applyBorder="1">
      <alignment horizontal="center" vertical="center" wrapText="1"/>
    </xf>
    <xf numFmtId="0" fontId="23" fillId="0" borderId="0" xfId="0" applyFont="1">
      <alignment horizontal="center" vertical="center" wrapText="1"/>
    </xf>
    <xf numFmtId="0" fontId="56" fillId="0" borderId="0" xfId="0" applyFont="1">
      <alignment horizontal="center" vertical="center" wrapText="1"/>
    </xf>
    <xf numFmtId="0" fontId="0" fillId="0" borderId="13" xfId="0" applyFont="1" applyBorder="1">
      <alignment horizontal="center" vertical="center" wrapText="1"/>
    </xf>
    <xf numFmtId="0" fontId="23" fillId="36" borderId="13" xfId="0" applyFont="1" applyFill="1" applyBorder="1">
      <alignment horizontal="left" vertical="center" wrapText="1"/>
    </xf>
    <xf numFmtId="49" fontId="23" fillId="0" borderId="13" xfId="0" applyFont="1" applyBorder="1" applyNumberFormat="1">
      <alignment horizontal="left" vertical="center" wrapText="1"/>
    </xf>
    <xf numFmtId="49" fontId="23" fillId="0" borderId="13" xfId="0" applyFont="1" applyBorder="1" applyNumberFormat="1">
      <alignment horizontal="center" vertical="center" wrapText="1"/>
    </xf>
    <xf numFmtId="0" fontId="60" fillId="49" borderId="0" xfId="0" applyFont="1" applyFill="1">
      <alignment horizontal="left" vertical="center"/>
    </xf>
    <xf numFmtId="49" fontId="23" fillId="0" borderId="20" xfId="0" applyFont="1" applyBorder="1" applyNumberFormat="1">
      <alignment horizontal="center" vertical="center" wrapText="1"/>
    </xf>
    <xf numFmtId="49" fontId="0" fillId="0" borderId="20" xfId="0" applyFont="1" applyBorder="1" applyNumberFormat="1">
      <alignment horizontal="left" vertical="center" wrapText="1"/>
    </xf>
    <xf numFmtId="49" fontId="23" fillId="0" borderId="21" xfId="0" applyFont="1" applyBorder="1" applyNumberFormat="1">
      <alignment horizontal="left" vertical="center" wrapText="1"/>
    </xf>
    <xf numFmtId="0" fontId="49" fillId="0" borderId="0" xfId="0" applyFont="1">
      <alignment horizontal="left" vertical="center"/>
    </xf>
    <xf numFmtId="0" fontId="49" fillId="0" borderId="25" xfId="0" applyFont="1" applyBorder="1">
      <alignment horizontal="left" vertical="center"/>
    </xf>
    <xf numFmtId="49" fontId="23" fillId="0" borderId="0" xfId="0" applyFont="1" applyNumberFormat="1">
      <alignment horizontal="center" vertical="center" wrapText="1"/>
    </xf>
    <xf numFmtId="0" fontId="49" fillId="0" borderId="28" xfId="0" applyFont="1" applyBorder="1">
      <alignment horizontal="left" vertical="center"/>
    </xf>
    <xf numFmtId="0" fontId="49" fillId="0" borderId="29" xfId="0" applyFont="1" applyBorder="1">
      <alignment horizontal="left" vertical="center"/>
    </xf>
    <xf numFmtId="0" fontId="0" fillId="0" borderId="29" xfId="0" applyFont="1" applyBorder="1">
      <alignment vertical="center"/>
    </xf>
    <xf numFmtId="0" fontId="49" fillId="0" borderId="31" xfId="0" applyFont="1" applyBorder="1">
      <alignment horizontal="left" vertical="center"/>
    </xf>
    <xf numFmtId="49" fontId="23" fillId="0" borderId="0" xfId="0" applyFont="1" applyNumberFormat="1">
      <alignment vertical="center" wrapText="1"/>
    </xf>
    <xf numFmtId="49" fontId="0" fillId="41" borderId="13" xfId="0" applyFont="1" applyFill="1" applyBorder="1" applyNumberFormat="1">
      <alignment horizontal="left" vertical="center" wrapText="1"/>
      <protection locked="0"/>
    </xf>
    <xf numFmtId="0" fontId="23" fillId="0" borderId="0" xfId="0" applyFont="1">
      <alignment horizontal="center" vertical="center" wrapText="1"/>
    </xf>
    <xf numFmtId="0" fontId="56" fillId="0" borderId="0" xfId="0" applyFont="1">
      <alignment horizontal="center" vertical="center" wrapText="1"/>
    </xf>
    <xf numFmtId="49" fontId="23" fillId="0" borderId="13" xfId="0" applyFont="1" applyBorder="1" applyNumberFormat="1">
      <alignment horizontal="left" vertical="center" wrapText="1"/>
    </xf>
    <xf numFmtId="0" fontId="54" fillId="0" borderId="18" xfId="0" applyFont="1" applyBorder="1">
      <alignment vertical="top" wrapText="1"/>
    </xf>
    <xf numFmtId="0" fontId="0" fillId="0" borderId="0" xfId="0" applyFont="1">
      <alignment vertical="center"/>
    </xf>
    <xf numFmtId="0" fontId="23" fillId="36" borderId="13" xfId="0" applyFont="1" applyFill="1" applyBorder="1">
      <alignment horizontal="left" vertical="center" wrapText="1"/>
    </xf>
    <xf numFmtId="0" fontId="23" fillId="0" borderId="0" xfId="0" applyFont="1">
      <alignment horizontal="center" vertical="center"/>
    </xf>
    <xf numFmtId="49" fontId="23" fillId="0" borderId="0" xfId="0" applyFont="1" applyNumberFormat="1">
      <alignment vertical="center" wrapText="1"/>
    </xf>
    <xf numFmtId="0" fontId="86" fillId="36" borderId="20" xfId="0" applyFont="1" applyFill="1" applyBorder="1">
      <alignment horizontal="center" vertical="center" wrapText="1"/>
    </xf>
    <xf numFmtId="0" fontId="0" fillId="0" borderId="13" xfId="0" applyFont="1" applyBorder="1">
      <alignment horizontal="center" vertical="center" wrapText="1"/>
    </xf>
    <xf numFmtId="0" fontId="56" fillId="0" borderId="0" xfId="0" applyFont="1">
      <alignment horizontal="left" vertical="center" indent="1"/>
    </xf>
    <xf numFmtId="0" fontId="56" fillId="0" borderId="0" xfId="0" applyFont="1">
      <alignment horizontal="left" vertical="center" wrapText="1"/>
    </xf>
    <xf numFmtId="49" fontId="56" fillId="0" borderId="0" xfId="0" applyFont="1" applyNumberFormat="1">
      <alignment vertical="top"/>
    </xf>
    <xf numFmtId="49" fontId="114" fillId="0" borderId="0" xfId="0" applyFont="1" applyNumberFormat="1">
      <alignment vertical="top"/>
    </xf>
    <xf numFmtId="49" fontId="103" fillId="0" borderId="20" xfId="0" applyFont="1" applyBorder="1" applyNumberFormat="1">
      <alignment horizontal="left" vertical="center"/>
    </xf>
    <xf numFmtId="49" fontId="56" fillId="0" borderId="20" xfId="0" applyFont="1" applyBorder="1" applyNumberFormat="1">
      <alignment horizontal="left" vertical="center" indent="3"/>
    </xf>
    <xf numFmtId="49" fontId="56" fillId="0" borderId="20" xfId="0" applyFont="1" applyBorder="1" applyNumberFormat="1">
      <alignment horizontal="center" vertical="center" wrapText="1"/>
    </xf>
    <xf numFmtId="49" fontId="56" fillId="0" borderId="0" xfId="0" applyFont="1" applyNumberFormat="1">
      <alignment horizontal="left" vertical="center"/>
    </xf>
    <xf numFmtId="49" fontId="103" fillId="0" borderId="0" xfId="0" applyFont="1" applyNumberFormat="1">
      <alignment horizontal="left" vertical="center"/>
    </xf>
    <xf numFmtId="49" fontId="56" fillId="0" borderId="0" xfId="0" applyFont="1" applyNumberFormat="1">
      <alignment horizontal="left" vertical="center" indent="2"/>
    </xf>
    <xf numFmtId="49" fontId="56" fillId="0" borderId="0" xfId="0" applyFont="1" applyNumberFormat="1">
      <alignment horizontal="center" vertical="center" wrapText="1"/>
    </xf>
    <xf numFmtId="49" fontId="56" fillId="0" borderId="0" xfId="0" applyFont="1" applyNumberFormat="1">
      <alignment horizontal="left" vertical="center" indent="1"/>
    </xf>
    <xf numFmtId="0" fontId="0" fillId="0" borderId="0" xfId="0" applyFont="1">
      <alignment vertical="center"/>
    </xf>
    <xf numFmtId="0" fontId="23" fillId="0" borderId="0" xfId="0" applyFont="1">
      <alignment horizontal="center" vertical="center" wrapText="1"/>
    </xf>
    <xf numFmtId="49" fontId="23" fillId="0" borderId="0" xfId="0" applyFont="1" applyNumberFormat="1">
      <alignment vertical="center" wrapText="1"/>
    </xf>
    <xf numFmtId="0" fontId="55" fillId="0" borderId="0" xfId="0" applyFont="1">
      <alignment horizontal="center" vertical="center" wrapText="1"/>
    </xf>
    <xf numFmtId="0" fontId="23" fillId="36" borderId="13" xfId="0" applyFont="1" applyFill="1" applyBorder="1">
      <alignment horizontal="center" vertical="center" wrapText="1"/>
    </xf>
    <xf numFmtId="0" fontId="56" fillId="0" borderId="0" xfId="0" applyFont="1">
      <alignment horizontal="center" vertical="center" wrapText="1"/>
    </xf>
    <xf numFmtId="0" fontId="23" fillId="0" borderId="0" xfId="0" applyFont="1">
      <alignment horizontal="center" vertical="center" wrapText="1"/>
    </xf>
    <xf numFmtId="0" fontId="23" fillId="0" borderId="0" xfId="0" applyFont="1">
      <alignment horizontal="left" vertical="top" wrapText="1"/>
    </xf>
    <xf numFmtId="0" fontId="0" fillId="0" borderId="14" xfId="0" applyFont="1" applyBorder="1">
      <alignment horizontal="center" vertical="center" wrapText="1"/>
    </xf>
    <xf numFmtId="0" fontId="86" fillId="36" borderId="20" xfId="0" applyFont="1" applyFill="1" applyBorder="1">
      <alignment horizontal="center" vertical="center" wrapText="1"/>
    </xf>
    <xf numFmtId="0" fontId="23" fillId="36" borderId="13" xfId="0" applyFont="1" applyFill="1" applyBorder="1">
      <alignment horizontal="left" vertical="center" wrapText="1"/>
    </xf>
    <xf numFmtId="49" fontId="23" fillId="36" borderId="13" xfId="0" applyFont="1" applyFill="1" applyBorder="1" applyNumberFormat="1">
      <alignment horizontal="center" vertical="center" wrapText="1"/>
    </xf>
    <xf numFmtId="0" fontId="0" fillId="0" borderId="13" xfId="0" applyFont="1" applyBorder="1">
      <alignment horizontal="center" vertical="center" wrapText="1"/>
    </xf>
    <xf numFmtId="0" fontId="56" fillId="0" borderId="0" xfId="0" applyFont="1">
      <alignment horizontal="center" vertical="center"/>
    </xf>
    <xf numFmtId="0" fontId="23" fillId="0" borderId="0" xfId="0" applyFont="1">
      <alignment horizontal="right" vertical="center" wrapText="1"/>
    </xf>
    <xf numFmtId="0" fontId="86" fillId="36" borderId="0" xfId="0" applyFont="1" applyFill="1">
      <alignment horizontal="center" vertical="center" wrapText="1"/>
    </xf>
    <xf numFmtId="49" fontId="23" fillId="0" borderId="13" xfId="0" applyFont="1" applyBorder="1" applyNumberFormat="1">
      <alignment horizontal="left" vertical="center" wrapText="1"/>
    </xf>
    <xf numFmtId="0" fontId="56" fillId="0" borderId="0" xfId="0" applyFont="1">
      <alignment horizontal="left" vertical="center" indent="1"/>
    </xf>
    <xf numFmtId="49" fontId="114" fillId="0" borderId="0" xfId="0" applyFont="1" applyNumberFormat="1">
      <alignment vertical="top"/>
    </xf>
    <xf numFmtId="49" fontId="23" fillId="0" borderId="13" xfId="0" applyFont="1" applyBorder="1" applyNumberFormat="1">
      <alignment vertical="center" wrapText="1"/>
    </xf>
    <xf numFmtId="0" fontId="56" fillId="0" borderId="0" xfId="0" applyFont="1">
      <alignment horizontal="center" vertical="center"/>
    </xf>
    <xf numFmtId="0" fontId="23" fillId="42" borderId="13" xfId="0" applyFont="1" applyFill="1" applyBorder="1">
      <alignment horizontal="left" vertical="center" wrapText="1" indent="6"/>
    </xf>
    <xf numFmtId="4" fontId="23" fillId="0" borderId="18" xfId="0" applyFont="1" applyBorder="1" applyNumberFormat="1">
      <alignment horizontal="right" vertical="center" wrapText="1"/>
    </xf>
    <xf numFmtId="4" fontId="23" fillId="0" borderId="24" xfId="0" applyFont="1" applyBorder="1" applyNumberFormat="1">
      <alignment horizontal="right" vertical="center" wrapText="1"/>
    </xf>
    <xf numFmtId="49" fontId="0" fillId="0" borderId="0" xfId="0" applyFont="1" applyNumberFormat="1">
      <alignment vertical="top"/>
    </xf>
    <xf numFmtId="0" fontId="0" fillId="0" borderId="0" xfId="0" applyFont="1">
      <alignment vertical="center"/>
    </xf>
    <xf numFmtId="49" fontId="23" fillId="0" borderId="0" xfId="0" applyFont="1" applyNumberFormat="1">
      <alignment vertical="center" wrapText="1"/>
    </xf>
    <xf numFmtId="0" fontId="23" fillId="0" borderId="18" xfId="0" applyFont="1" applyBorder="1">
      <alignment horizontal="center" vertical="center" wrapText="1"/>
    </xf>
    <xf numFmtId="0" fontId="86" fillId="36" borderId="20" xfId="0" applyFont="1" applyFill="1" applyBorder="1">
      <alignment horizontal="center" vertical="center" wrapText="1"/>
    </xf>
    <xf numFmtId="0" fontId="56" fillId="0" borderId="0" xfId="0" applyFont="1">
      <alignment horizontal="center" vertical="center" wrapText="1"/>
    </xf>
    <xf numFmtId="0" fontId="23" fillId="0" borderId="0" xfId="0" applyFont="1">
      <alignment horizontal="right" vertical="center" wrapText="1"/>
    </xf>
    <xf numFmtId="0" fontId="23" fillId="0" borderId="0" xfId="0" applyFont="1">
      <alignment horizontal="center" vertical="center" wrapText="1"/>
    </xf>
    <xf numFmtId="0" fontId="0" fillId="0" borderId="13" xfId="0" applyFont="1" applyBorder="1">
      <alignment horizontal="center" vertical="center" wrapText="1"/>
    </xf>
    <xf numFmtId="0" fontId="23" fillId="36" borderId="13" xfId="0" applyFont="1" applyFill="1" applyBorder="1">
      <alignment horizontal="left" vertical="center" wrapText="1"/>
    </xf>
    <xf numFmtId="49" fontId="23" fillId="0" borderId="13" xfId="0" applyFont="1" applyBorder="1" applyNumberFormat="1">
      <alignment horizontal="left" vertical="center" wrapText="1"/>
    </xf>
    <xf numFmtId="4" fontId="55" fillId="0" borderId="13" xfId="0" applyFont="1" applyBorder="1" applyNumberFormat="1">
      <alignment horizontal="right" vertical="center" wrapText="1"/>
    </xf>
    <xf numFmtId="247" fontId="55" fillId="0" borderId="13" xfId="0" applyFont="1" applyBorder="1" applyNumberFormat="1">
      <alignment horizontal="right" vertical="center" wrapText="1"/>
    </xf>
    <xf numFmtId="49" fontId="55" fillId="0" borderId="0" xfId="0" applyFont="1" applyNumberFormat="1">
      <alignment vertical="center" wrapText="1"/>
    </xf>
    <xf numFmtId="0" fontId="55" fillId="0" borderId="0" xfId="0" applyFont="1">
      <alignment horizontal="left" vertical="center" indent="1"/>
    </xf>
    <xf numFmtId="0" fontId="55" fillId="0" borderId="0" xfId="0" applyFont="1">
      <alignment horizontal="center" vertical="center"/>
    </xf>
    <xf numFmtId="0" fontId="55" fillId="0" borderId="0" xfId="0" applyFont="1">
      <alignment horizontal="left" vertical="center" wrapText="1"/>
    </xf>
    <xf numFmtId="0" fontId="55" fillId="0" borderId="0" xfId="0" applyFont="1">
      <alignment vertical="center" wrapText="1"/>
    </xf>
    <xf numFmtId="49" fontId="55" fillId="0" borderId="13" xfId="0" applyFont="1" applyBorder="1" applyNumberFormat="1">
      <alignment vertical="center" wrapText="1"/>
    </xf>
    <xf numFmtId="0" fontId="55" fillId="0" borderId="0" xfId="0" applyFont="1">
      <alignment vertical="center"/>
    </xf>
    <xf numFmtId="0" fontId="55" fillId="0" borderId="0" xfId="0" applyFont="1">
      <alignment horizontal="center" vertical="center"/>
    </xf>
    <xf numFmtId="0" fontId="55" fillId="0" borderId="0" xfId="0" applyFont="1">
      <alignment vertical="center"/>
    </xf>
    <xf numFmtId="0" fontId="75" fillId="0" borderId="0" xfId="0" applyFont="1">
      <alignment vertical="center" wrapText="1"/>
    </xf>
    <xf numFmtId="0" fontId="0" fillId="0" borderId="16" xfId="0" applyFont="1" applyBorder="1">
      <alignment vertical="center"/>
    </xf>
    <xf numFmtId="0" fontId="56" fillId="0" borderId="13" xfId="0" applyFont="1" applyBorder="1">
      <alignment horizontal="center" vertical="center" wrapText="1"/>
    </xf>
    <xf numFmtId="0" fontId="79" fillId="0" borderId="0" xfId="0" applyFont="1">
      <alignment horizontal="left" vertical="center" indent="1"/>
    </xf>
    <xf numFmtId="0" fontId="79" fillId="0" borderId="0" xfId="0" applyFont="1">
      <alignment horizontal="left" vertical="center" indent="1"/>
    </xf>
    <xf numFmtId="0" fontId="56" fillId="0" borderId="13" xfId="0" applyFont="1" applyBorder="1">
      <alignment vertical="center" wrapText="1"/>
    </xf>
    <xf numFmtId="0" fontId="79" fillId="0" borderId="0" xfId="0" applyFont="1">
      <alignment horizontal="center" vertical="center"/>
    </xf>
    <xf numFmtId="0" fontId="79" fillId="0" borderId="0" xfId="0" applyFont="1">
      <alignment horizontal="left" vertical="center" wrapText="1"/>
    </xf>
    <xf numFmtId="49" fontId="79" fillId="0" borderId="0" xfId="0" applyFont="1" applyNumberFormat="1">
      <alignment horizontal="left" vertical="center"/>
    </xf>
    <xf numFmtId="0" fontId="23" fillId="0" borderId="0" xfId="0" applyFont="1">
      <alignment horizontal="center" vertical="center"/>
    </xf>
    <xf numFmtId="0" fontId="79" fillId="0" borderId="0" xfId="0" applyFont="1">
      <alignment horizontal="center" vertical="center"/>
    </xf>
    <xf numFmtId="4" fontId="23" fillId="0" borderId="14" xfId="0" applyFont="1" applyBorder="1" applyNumberFormat="1">
      <alignment horizontal="right" vertical="center" wrapText="1"/>
    </xf>
    <xf numFmtId="0" fontId="56" fillId="0" borderId="13" xfId="0" applyFont="1" applyBorder="1">
      <alignment horizontal="left" vertical="center" wrapText="1" indent="4"/>
    </xf>
    <xf numFmtId="0" fontId="56" fillId="0" borderId="13" xfId="0" applyFont="1" applyBorder="1">
      <alignment horizontal="left" vertical="center" wrapText="1" indent="6"/>
    </xf>
    <xf numFmtId="0" fontId="56" fillId="0" borderId="13" xfId="0" applyFont="1" applyBorder="1">
      <alignment vertical="top" wrapText="1"/>
    </xf>
    <xf numFmtId="49" fontId="103" fillId="0" borderId="15" xfId="0" applyFont="1" applyBorder="1" applyNumberFormat="1">
      <alignment horizontal="left" vertical="center"/>
    </xf>
    <xf numFmtId="49" fontId="56" fillId="0" borderId="16" xfId="0" applyFont="1" applyBorder="1" applyNumberFormat="1">
      <alignment horizontal="left" vertical="center" indent="4"/>
    </xf>
    <xf numFmtId="49" fontId="56" fillId="0" borderId="16" xfId="0" applyFont="1" applyBorder="1" applyNumberFormat="1">
      <alignment horizontal="center" vertical="center" wrapText="1"/>
    </xf>
    <xf numFmtId="49" fontId="56" fillId="0" borderId="14" xfId="0" applyFont="1" applyBorder="1" applyNumberFormat="1">
      <alignment horizontal="center" vertical="center" wrapText="1"/>
    </xf>
    <xf numFmtId="4" fontId="23" fillId="0" borderId="37" xfId="0" applyFont="1" applyBorder="1" applyNumberFormat="1">
      <alignment horizontal="right" vertical="center" wrapText="1"/>
    </xf>
    <xf numFmtId="0" fontId="23" fillId="33" borderId="13" xfId="0" applyFont="1" applyFill="1" applyBorder="1">
      <alignment horizontal="left" vertical="center" wrapText="1" indent="7"/>
      <protection locked="0"/>
    </xf>
    <xf numFmtId="0" fontId="23" fillId="40" borderId="16" xfId="0" applyFont="1" applyFill="1" applyBorder="1">
      <alignment horizontal="left" vertical="center" wrapText="1" indent="6"/>
    </xf>
    <xf numFmtId="4" fontId="23" fillId="40" borderId="16" xfId="0" applyFont="1" applyFill="1" applyBorder="1" applyNumberFormat="1">
      <alignment horizontal="right" vertical="center" wrapText="1"/>
    </xf>
    <xf numFmtId="4" fontId="56" fillId="40" borderId="16" xfId="0" applyFont="1" applyFill="1" applyBorder="1" applyNumberFormat="1">
      <alignment horizontal="center" vertical="center" wrapText="1"/>
    </xf>
    <xf numFmtId="4" fontId="23" fillId="40" borderId="14" xfId="0" applyFont="1" applyFill="1" applyBorder="1" applyNumberFormat="1">
      <alignment horizontal="right" vertical="center" wrapText="1"/>
    </xf>
    <xf numFmtId="4" fontId="56" fillId="40" borderId="14" xfId="0" applyFont="1" applyFill="1" applyBorder="1" applyNumberFormat="1">
      <alignment horizontal="center" vertical="center" wrapText="1"/>
    </xf>
    <xf numFmtId="247" fontId="23" fillId="40" borderId="14" xfId="0" applyFont="1" applyFill="1" applyBorder="1" applyNumberFormat="1">
      <alignment horizontal="right" vertical="center" wrapText="1"/>
    </xf>
    <xf numFmtId="0" fontId="23" fillId="42" borderId="13" xfId="0" applyFont="1" applyFill="1" applyBorder="1">
      <alignment horizontal="left" vertical="center" wrapText="1" indent="1"/>
    </xf>
    <xf numFmtId="0" fontId="56" fillId="0" borderId="13" xfId="0" applyFont="1" applyBorder="1">
      <alignment horizontal="left" vertical="center" wrapText="1" indent="5"/>
    </xf>
    <xf numFmtId="49" fontId="79" fillId="0" borderId="25" xfId="0" applyFont="1" applyBorder="1" applyNumberFormat="1">
      <alignment vertical="top"/>
    </xf>
    <xf numFmtId="49" fontId="56" fillId="0" borderId="25" xfId="0" applyFont="1" applyBorder="1" applyNumberFormat="1">
      <alignment vertical="top"/>
    </xf>
    <xf numFmtId="0" fontId="23" fillId="0" borderId="13" xfId="0" applyFont="1" applyBorder="1">
      <alignment horizontal="left" vertical="center" wrapText="1" indent="1"/>
    </xf>
    <xf numFmtId="49" fontId="56" fillId="0" borderId="13" xfId="0" applyFont="1" applyBorder="1" applyNumberFormat="1">
      <alignment horizontal="center" vertical="center" wrapText="1"/>
    </xf>
    <xf numFmtId="4" fontId="56" fillId="0" borderId="13" xfId="0" applyFont="1" applyBorder="1" applyNumberFormat="1">
      <alignment horizontal="right" vertical="center" wrapText="1"/>
    </xf>
    <xf numFmtId="247" fontId="56" fillId="0" borderId="13" xfId="0" applyFont="1" applyBorder="1" applyNumberFormat="1">
      <alignment horizontal="right" vertical="center" wrapText="1"/>
    </xf>
    <xf numFmtId="247" fontId="23" fillId="33" borderId="15" xfId="0" applyFont="1" applyFill="1" applyBorder="1" applyNumberFormat="1">
      <alignment horizontal="right" vertical="center" wrapText="1"/>
      <protection locked="0"/>
    </xf>
    <xf numFmtId="4" fontId="56" fillId="0" borderId="15" xfId="0" applyFont="1" applyBorder="1" applyNumberFormat="1">
      <alignment horizontal="center" vertical="center" wrapText="1"/>
    </xf>
    <xf numFmtId="4" fontId="23" fillId="33" borderId="14" xfId="0" applyFont="1" applyFill="1" applyBorder="1" applyNumberFormat="1">
      <alignment horizontal="right" vertical="center" wrapText="1"/>
      <protection locked="0"/>
    </xf>
    <xf numFmtId="49" fontId="23" fillId="40" borderId="29" xfId="0" applyFont="1" applyFill="1" applyBorder="1" applyNumberFormat="1">
      <alignment horizontal="center" vertical="center" wrapText="1"/>
    </xf>
    <xf numFmtId="49" fontId="55" fillId="0" borderId="0" xfId="0" applyFont="1" applyNumberFormat="1">
      <alignment vertical="center" wrapText="1"/>
    </xf>
    <xf numFmtId="0" fontId="55" fillId="0" borderId="0" xfId="0" applyFont="1">
      <alignment horizontal="center" vertical="center" wrapText="1"/>
    </xf>
    <xf numFmtId="0" fontId="62" fillId="36" borderId="0" xfId="0" applyFont="1" applyFill="1">
      <alignment horizontal="center" vertical="center" wrapText="1"/>
    </xf>
    <xf numFmtId="0" fontId="62" fillId="0" borderId="0" xfId="0" applyFont="1">
      <alignment vertical="center" wrapText="1"/>
    </xf>
    <xf numFmtId="0" fontId="56" fillId="0" borderId="0" xfId="0" applyFont="1">
      <alignment vertical="center"/>
    </xf>
    <xf numFmtId="0" fontId="57" fillId="0" borderId="0" xfId="0" applyFont="1">
      <alignment vertical="center"/>
    </xf>
    <xf numFmtId="0" fontId="56" fillId="0" borderId="0" xfId="0" applyFont="1">
      <alignment vertical="center"/>
    </xf>
    <xf numFmtId="0" fontId="56" fillId="0" borderId="0" xfId="0" applyFont="1">
      <alignment vertical="center"/>
    </xf>
    <xf numFmtId="0" fontId="0" fillId="0" borderId="0" xfId="0" applyFont="1">
      <alignment vertical="center"/>
    </xf>
    <xf numFmtId="49" fontId="23" fillId="0" borderId="0" xfId="0" applyFont="1" applyNumberFormat="1">
      <alignment horizontal="center" vertical="center" wrapText="1"/>
    </xf>
    <xf numFmtId="49" fontId="0" fillId="0" borderId="20" xfId="0" applyFont="1" applyBorder="1" applyNumberFormat="1">
      <alignment horizontal="left" vertical="center" wrapText="1"/>
    </xf>
    <xf numFmtId="49" fontId="23" fillId="0" borderId="20" xfId="0" applyFont="1" applyBorder="1" applyNumberFormat="1">
      <alignment horizontal="center" vertical="center" wrapText="1"/>
    </xf>
    <xf numFmtId="0" fontId="55" fillId="0" borderId="0" xfId="0" applyFont="1">
      <alignment horizontal="center" vertical="center" wrapText="1"/>
    </xf>
    <xf numFmtId="0" fontId="56" fillId="0" borderId="0" xfId="0" applyFont="1">
      <alignment horizontal="center" vertical="center" wrapText="1"/>
    </xf>
    <xf numFmtId="0" fontId="23" fillId="0" borderId="0" xfId="0" applyFont="1">
      <alignment horizontal="center" vertical="center" wrapText="1"/>
    </xf>
    <xf numFmtId="49" fontId="23" fillId="0" borderId="13" xfId="0" applyFont="1" applyBorder="1" applyNumberFormat="1">
      <alignment horizontal="left" vertical="center" wrapText="1"/>
    </xf>
    <xf numFmtId="0" fontId="23" fillId="36" borderId="13" xfId="0" applyFont="1" applyFill="1" applyBorder="1">
      <alignment horizontal="left" vertical="center" wrapText="1"/>
    </xf>
    <xf numFmtId="0" fontId="56" fillId="0" borderId="0" xfId="0" applyFont="1">
      <alignment horizontal="center" vertical="center"/>
    </xf>
    <xf numFmtId="49" fontId="23" fillId="0" borderId="0" xfId="0" applyFont="1" applyNumberFormat="1">
      <alignment horizontal="center" vertical="top"/>
    </xf>
    <xf numFmtId="49" fontId="41" fillId="0" borderId="0" xfId="0" applyFont="1" applyNumberFormat="1">
      <alignment horizontal="center" vertical="center"/>
    </xf>
    <xf numFmtId="0" fontId="0" fillId="0" borderId="0" xfId="0" applyFont="1">
      <alignment horizontal="left" vertical="center"/>
    </xf>
    <xf numFmtId="0" fontId="60" fillId="0" borderId="0" xfId="0" applyFont="1">
      <alignment horizontal="left" vertical="center"/>
    </xf>
    <xf numFmtId="49" fontId="0" fillId="0" borderId="0" xfId="0" applyFont="1" applyNumberFormat="1">
      <alignment vertical="center"/>
    </xf>
    <xf numFmtId="0" fontId="0" fillId="0" borderId="0" xfId="0" applyFont="1">
      <alignment horizontal="right" vertical="top"/>
    </xf>
    <xf numFmtId="0" fontId="49" fillId="40" borderId="31" xfId="0" applyFont="1" applyFill="1" applyBorder="1">
      <alignment horizontal="left" vertical="center"/>
    </xf>
    <xf numFmtId="49" fontId="56" fillId="0" borderId="15" xfId="0" applyFont="1" applyBorder="1" applyNumberFormat="1">
      <alignment horizontal="left" vertical="center" wrapText="1"/>
    </xf>
    <xf numFmtId="0" fontId="56" fillId="0" borderId="15" xfId="0" applyFont="1" applyBorder="1">
      <alignment horizontal="left" vertical="center"/>
    </xf>
    <xf numFmtId="0" fontId="56" fillId="0" borderId="16" xfId="0" applyFont="1" applyBorder="1">
      <alignment horizontal="left" vertical="center"/>
    </xf>
    <xf numFmtId="49" fontId="23" fillId="33" borderId="13" xfId="0" applyFont="1" applyFill="1" applyBorder="1" applyNumberFormat="1">
      <alignment horizontal="left" vertical="center" wrapText="1" indent="6"/>
      <protection locked="0"/>
    </xf>
    <xf numFmtId="4" fontId="23" fillId="0" borderId="38" xfId="0" applyFont="1" applyBorder="1" applyNumberFormat="1">
      <alignment horizontal="right" vertical="center" wrapText="1"/>
    </xf>
    <xf numFmtId="4" fontId="23" fillId="0" borderId="28" xfId="0" applyFont="1" applyBorder="1" applyNumberFormat="1">
      <alignment horizontal="right" vertical="center" wrapText="1"/>
    </xf>
    <xf numFmtId="49" fontId="0" fillId="40" borderId="31" xfId="0" applyFont="1" applyFill="1" applyBorder="1" applyNumberFormat="1">
      <alignment horizontal="center" vertical="center" wrapText="1"/>
    </xf>
    <xf numFmtId="0" fontId="0" fillId="0" borderId="0" xfId="0" applyFont="1">
      <alignment vertical="center"/>
    </xf>
    <xf numFmtId="0" fontId="117" fillId="0" borderId="0" xfId="0" applyFont="1">
      <alignment vertical="center" wrapText="1"/>
    </xf>
    <xf numFmtId="49" fontId="23" fillId="0" borderId="20" xfId="0" applyFont="1" applyBorder="1" applyNumberFormat="1">
      <alignment horizontal="center" vertical="center" wrapText="1"/>
    </xf>
    <xf numFmtId="49" fontId="23" fillId="0" borderId="0" xfId="0" applyFont="1" applyNumberFormat="1">
      <alignment horizontal="center" vertical="center" wrapText="1"/>
    </xf>
    <xf numFmtId="49" fontId="0" fillId="0" borderId="20" xfId="0" applyFont="1" applyBorder="1" applyNumberFormat="1">
      <alignment horizontal="left" vertical="center" wrapText="1"/>
    </xf>
    <xf numFmtId="49" fontId="23" fillId="0" borderId="0" xfId="0" applyFont="1" applyNumberFormat="1">
      <alignment vertical="center" wrapText="1"/>
    </xf>
    <xf numFmtId="0" fontId="55" fillId="0" borderId="0" xfId="0" applyFont="1">
      <alignment horizontal="center" vertical="center" wrapText="1"/>
    </xf>
    <xf numFmtId="0" fontId="23" fillId="36" borderId="13" xfId="0" applyFont="1" applyFill="1" applyBorder="1">
      <alignment horizontal="center" vertical="center" wrapText="1"/>
    </xf>
    <xf numFmtId="0" fontId="23" fillId="0" borderId="0" xfId="0" applyFont="1">
      <alignment horizontal="left" vertical="top" wrapText="1"/>
    </xf>
    <xf numFmtId="0" fontId="56" fillId="0" borderId="0" xfId="0" applyFont="1">
      <alignment horizontal="center" vertical="center" wrapText="1"/>
    </xf>
    <xf numFmtId="0" fontId="86" fillId="36" borderId="20" xfId="0" applyFont="1" applyFill="1" applyBorder="1">
      <alignment horizontal="center" vertical="center" wrapText="1"/>
    </xf>
    <xf numFmtId="0" fontId="23" fillId="0" borderId="18" xfId="0" applyFont="1" applyBorder="1">
      <alignment horizontal="center" vertical="center" wrapText="1"/>
    </xf>
    <xf numFmtId="0" fontId="23" fillId="0" borderId="0" xfId="0" applyFont="1">
      <alignment horizontal="center" vertical="center" wrapText="1"/>
    </xf>
    <xf numFmtId="0" fontId="23" fillId="0" borderId="0" xfId="0" applyFont="1">
      <alignment horizontal="right" vertical="center" wrapText="1"/>
    </xf>
    <xf numFmtId="0" fontId="0" fillId="0" borderId="13" xfId="0" applyFont="1" applyBorder="1">
      <alignment horizontal="center" vertical="center" wrapText="1"/>
    </xf>
    <xf numFmtId="49" fontId="23" fillId="0" borderId="13" xfId="0" applyFont="1" applyBorder="1" applyNumberFormat="1">
      <alignment horizontal="left" vertical="center" wrapText="1"/>
    </xf>
    <xf numFmtId="0" fontId="23" fillId="36" borderId="13" xfId="0" applyFont="1" applyFill="1" applyBorder="1">
      <alignment horizontal="left" vertical="center" wrapText="1"/>
    </xf>
    <xf numFmtId="0" fontId="56" fillId="0" borderId="0" xfId="0" applyFont="1">
      <alignment horizontal="center" vertical="center"/>
    </xf>
    <xf numFmtId="49" fontId="23" fillId="42" borderId="13" xfId="0" applyFont="1" applyFill="1" applyBorder="1" applyNumberFormat="1">
      <alignment horizontal="center" vertical="center" wrapText="1"/>
    </xf>
    <xf numFmtId="49" fontId="56" fillId="0" borderId="13" xfId="0" applyFont="1" applyBorder="1" applyNumberFormat="1">
      <alignment horizontal="center" vertical="center" wrapText="1"/>
    </xf>
    <xf numFmtId="0" fontId="55" fillId="0" borderId="0" xfId="0" applyFont="1">
      <alignment horizontal="center" vertical="center" wrapText="1"/>
    </xf>
    <xf numFmtId="0" fontId="56" fillId="0" borderId="0" xfId="0" applyFont="1">
      <alignment horizontal="center" vertical="center" wrapText="1"/>
    </xf>
    <xf numFmtId="49" fontId="23" fillId="36" borderId="13" xfId="0" applyFont="1" applyFill="1" applyBorder="1" applyNumberFormat="1">
      <alignment horizontal="center" vertical="center" wrapText="1"/>
    </xf>
    <xf numFmtId="0" fontId="56" fillId="0" borderId="0" xfId="0" applyFont="1">
      <alignment horizontal="center" vertical="center"/>
    </xf>
    <xf numFmtId="0" fontId="23" fillId="36" borderId="13" xfId="0" applyFont="1" applyFill="1" applyBorder="1">
      <alignment horizontal="left" vertical="center" wrapText="1"/>
    </xf>
    <xf numFmtId="49" fontId="23" fillId="41" borderId="13" xfId="0" applyFont="1" applyFill="1" applyBorder="1" applyNumberFormat="1">
      <alignment horizontal="left" vertical="center" wrapText="1" indent="1"/>
      <protection locked="0"/>
    </xf>
    <xf numFmtId="0" fontId="0" fillId="0" borderId="0" xfId="0" applyFont="1">
      <alignment vertical="center"/>
    </xf>
    <xf numFmtId="0" fontId="23" fillId="0" borderId="0" xfId="0" applyFont="1">
      <alignment horizontal="center" vertical="center" wrapText="1"/>
    </xf>
    <xf numFmtId="49" fontId="23" fillId="42" borderId="13" xfId="0" applyFont="1" applyFill="1" applyBorder="1" applyNumberFormat="1">
      <alignment horizontal="center" vertical="center" wrapText="1"/>
    </xf>
    <xf numFmtId="49" fontId="23" fillId="0" borderId="20" xfId="0" applyFont="1" applyBorder="1" applyNumberFormat="1">
      <alignment horizontal="center" vertical="center" wrapText="1"/>
    </xf>
    <xf numFmtId="49" fontId="23" fillId="0" borderId="0" xfId="0" applyFont="1" applyNumberFormat="1">
      <alignment horizontal="center" vertical="center" wrapText="1"/>
    </xf>
    <xf numFmtId="49" fontId="0" fillId="0" borderId="20" xfId="0" applyFont="1" applyBorder="1" applyNumberFormat="1">
      <alignment horizontal="left" vertical="center" wrapText="1"/>
    </xf>
    <xf numFmtId="49" fontId="23" fillId="0" borderId="0" xfId="0" applyFont="1" applyNumberFormat="1">
      <alignment vertical="center" wrapText="1"/>
    </xf>
    <xf numFmtId="49" fontId="23" fillId="36" borderId="13" xfId="81" applyFont="1" applyFill="1" applyBorder="1" applyNumberFormat="1">
      <alignment horizontal="center" vertical="center" wrapText="1"/>
    </xf>
    <xf numFmtId="0" fontId="56" fillId="36" borderId="0" xfId="0" applyFont="1" applyFill="1">
      <alignment horizontal="center" vertical="center" wrapText="1"/>
    </xf>
    <xf numFmtId="0" fontId="0" fillId="36" borderId="13" xfId="0" applyFont="1" applyFill="1" applyBorder="1">
      <alignment horizontal="center" vertical="center" wrapText="1"/>
    </xf>
    <xf numFmtId="0" fontId="23" fillId="36" borderId="25" xfId="0" applyFont="1" applyFill="1" applyBorder="1">
      <alignment horizontal="center" vertical="center" wrapText="1"/>
    </xf>
    <xf numFmtId="0" fontId="55" fillId="0" borderId="0" xfId="0" applyFont="1">
      <alignment horizontal="center" vertical="center" wrapText="1"/>
    </xf>
    <xf numFmtId="0" fontId="23" fillId="36" borderId="13" xfId="0" applyFont="1" applyFill="1" applyBorder="1">
      <alignment horizontal="center" vertical="center" wrapText="1"/>
    </xf>
    <xf numFmtId="0" fontId="23" fillId="0" borderId="0" xfId="0" applyFont="1">
      <alignment horizontal="left" vertical="top" wrapText="1"/>
    </xf>
    <xf numFmtId="0" fontId="56" fillId="0" borderId="0" xfId="0" applyFont="1">
      <alignment horizontal="center" vertical="center" wrapText="1"/>
    </xf>
    <xf numFmtId="0" fontId="86" fillId="36" borderId="20" xfId="0" applyFont="1" applyFill="1" applyBorder="1">
      <alignment horizontal="center" vertical="center" wrapText="1"/>
    </xf>
    <xf numFmtId="0" fontId="23" fillId="0" borderId="18" xfId="0" applyFont="1" applyBorder="1">
      <alignment horizontal="center" vertical="center" wrapText="1"/>
    </xf>
    <xf numFmtId="0" fontId="23" fillId="0" borderId="13" xfId="0" applyFont="1" applyBorder="1">
      <alignment horizontal="center" vertical="center" wrapText="1"/>
    </xf>
    <xf numFmtId="49" fontId="56" fillId="0" borderId="13" xfId="0" applyFont="1" applyBorder="1" applyNumberFormat="1">
      <alignment horizontal="center" vertical="center" wrapText="1"/>
    </xf>
    <xf numFmtId="49" fontId="23" fillId="36" borderId="13" xfId="0" applyFont="1" applyFill="1" applyBorder="1" applyNumberFormat="1">
      <alignment horizontal="center" vertical="center" wrapText="1"/>
    </xf>
    <xf numFmtId="0" fontId="23" fillId="0" borderId="0" xfId="0" applyFont="1">
      <alignment horizontal="center" vertical="center" wrapText="1"/>
    </xf>
    <xf numFmtId="0" fontId="23" fillId="0" borderId="0" xfId="0" applyFont="1">
      <alignment horizontal="right" vertical="center" wrapText="1"/>
    </xf>
    <xf numFmtId="0" fontId="0" fillId="0" borderId="13" xfId="0" applyFont="1" applyBorder="1">
      <alignment horizontal="center" vertical="center" wrapText="1"/>
    </xf>
    <xf numFmtId="49" fontId="23" fillId="0" borderId="13" xfId="0" applyFont="1" applyBorder="1" applyNumberFormat="1">
      <alignment horizontal="left" vertical="center" wrapText="1"/>
    </xf>
    <xf numFmtId="49" fontId="23" fillId="42" borderId="13" xfId="0" applyFont="1" applyFill="1" applyBorder="1" applyNumberFormat="1">
      <alignment horizontal="left" vertical="center" wrapText="1"/>
    </xf>
    <xf numFmtId="49" fontId="23" fillId="41" borderId="13" xfId="0" applyFont="1" applyFill="1" applyBorder="1" applyNumberFormat="1">
      <alignment horizontal="left" vertical="center" wrapText="1" indent="1"/>
      <protection locked="0"/>
    </xf>
    <xf numFmtId="0" fontId="23" fillId="36" borderId="13" xfId="0" applyFont="1" applyFill="1" applyBorder="1">
      <alignment horizontal="left" vertical="center" wrapText="1"/>
    </xf>
    <xf numFmtId="0" fontId="56" fillId="0" borderId="0" xfId="0" applyFont="1">
      <alignment horizontal="center" vertical="center"/>
    </xf>
    <xf numFmtId="0" fontId="46" fillId="0" borderId="0" xfId="0" applyFont="1">
      <alignment horizontal="center" vertical="center" wrapText="1"/>
    </xf>
    <xf numFmtId="247" fontId="23" fillId="40" borderId="16" xfId="0" applyFont="1" applyFill="1" applyBorder="1" applyNumberFormat="1">
      <alignment horizontal="right" vertical="center" wrapText="1"/>
    </xf>
    <xf numFmtId="0" fontId="118" fillId="0" borderId="0" xfId="0" applyFont="1">
      <alignment vertical="center" wrapText="1"/>
    </xf>
    <xf numFmtId="0" fontId="118" fillId="36" borderId="0" xfId="0" applyFont="1" applyFill="1">
      <alignment horizontal="center" vertical="center" wrapText="1"/>
    </xf>
    <xf numFmtId="0" fontId="56" fillId="36" borderId="13" xfId="0" applyFont="1" applyFill="1" applyBorder="1">
      <alignment horizontal="left" vertical="center" wrapText="1" indent="3"/>
    </xf>
    <xf numFmtId="49" fontId="49" fillId="40" borderId="29" xfId="0" applyFont="1" applyFill="1" applyBorder="1" applyNumberFormat="1">
      <alignment horizontal="left" vertical="center"/>
    </xf>
    <xf numFmtId="0" fontId="118" fillId="0" borderId="0" xfId="0" applyFont="1">
      <alignment horizontal="center" vertical="center" wrapText="1"/>
    </xf>
    <xf numFmtId="49" fontId="56" fillId="0" borderId="0" xfId="0" applyFont="1" applyNumberFormat="1">
      <alignment horizontal="left" vertical="center" wrapText="1" indent="1"/>
    </xf>
    <xf numFmtId="0" fontId="56" fillId="0" borderId="0" xfId="0" applyFont="1">
      <alignment horizontal="left" vertical="center" wrapText="1" indent="4"/>
    </xf>
    <xf numFmtId="0" fontId="56" fillId="0" borderId="0" xfId="0" applyFont="1">
      <alignment horizontal="left" vertical="center" wrapText="1" indent="1"/>
    </xf>
    <xf numFmtId="49" fontId="23" fillId="40" borderId="15" xfId="0" applyFont="1" applyFill="1" applyBorder="1" applyNumberFormat="1">
      <alignment horizontal="center" vertical="center" wrapText="1"/>
    </xf>
    <xf numFmtId="0" fontId="56" fillId="0" borderId="25" xfId="0" applyFont="1" applyBorder="1">
      <alignment horizontal="left" vertical="center" wrapText="1" indent="1"/>
    </xf>
    <xf numFmtId="0" fontId="55" fillId="0" borderId="0" xfId="0" applyFont="1">
      <alignment horizontal="left" vertical="center"/>
    </xf>
    <xf numFmtId="49" fontId="55" fillId="0" borderId="0" xfId="0" applyFont="1" applyNumberFormat="1">
      <alignment horizontal="left" vertical="center"/>
    </xf>
    <xf numFmtId="0" fontId="55" fillId="0" borderId="0" xfId="0" applyFont="1">
      <alignment horizontal="left" vertical="center"/>
    </xf>
    <xf numFmtId="0" fontId="75" fillId="0" borderId="0" xfId="0" applyFont="1">
      <alignment horizontal="left" vertical="center"/>
    </xf>
    <xf numFmtId="0" fontId="56" fillId="0" borderId="0" xfId="0" applyFont="1">
      <alignment horizontal="left" vertical="center"/>
    </xf>
    <xf numFmtId="49" fontId="0" fillId="0" borderId="0" xfId="0" applyFont="1" applyNumberFormat="1">
      <alignment vertical="top"/>
    </xf>
    <xf numFmtId="49" fontId="23" fillId="0" borderId="0" xfId="0" applyFont="1" applyNumberFormat="1">
      <alignment horizontal="center" vertical="center" wrapText="1"/>
    </xf>
    <xf numFmtId="49" fontId="23" fillId="0" borderId="20" xfId="0" applyFont="1" applyBorder="1" applyNumberFormat="1">
      <alignment horizontal="center" vertical="center" wrapText="1"/>
    </xf>
    <xf numFmtId="49" fontId="23" fillId="0" borderId="20" xfId="0" applyFont="1" applyBorder="1" applyNumberFormat="1">
      <alignment horizontal="left" vertical="center" wrapText="1"/>
    </xf>
    <xf numFmtId="49" fontId="23" fillId="0" borderId="13" xfId="0" applyFont="1" applyBorder="1" applyNumberFormat="1">
      <alignment horizontal="center" vertical="center" wrapText="1"/>
    </xf>
    <xf numFmtId="49" fontId="23" fillId="33" borderId="13" xfId="0" applyFont="1" applyFill="1" applyBorder="1" applyNumberFormat="1">
      <alignment horizontal="left" vertical="center" wrapText="1"/>
      <protection locked="0"/>
    </xf>
    <xf numFmtId="0" fontId="46" fillId="0" borderId="0" xfId="0" applyFont="1">
      <alignment horizontal="center" vertical="center" wrapText="1"/>
    </xf>
    <xf numFmtId="0" fontId="46" fillId="36" borderId="0" xfId="0" applyFont="1" applyFill="1">
      <alignment horizontal="center" vertical="center" wrapText="1"/>
    </xf>
    <xf numFmtId="49" fontId="56" fillId="0" borderId="0" xfId="0" applyFont="1" applyNumberFormat="1">
      <alignment horizontal="left" vertical="center" indent="1"/>
    </xf>
    <xf numFmtId="49" fontId="55" fillId="0" borderId="0" xfId="0" applyFont="1" applyNumberFormat="1">
      <alignment horizontal="left" vertical="center"/>
    </xf>
    <xf numFmtId="49" fontId="55" fillId="0" borderId="0" xfId="0" applyFont="1" applyNumberFormat="1">
      <alignment horizontal="left" vertical="center"/>
    </xf>
    <xf numFmtId="49" fontId="55" fillId="0" borderId="0" xfId="0" applyFont="1" applyNumberFormat="1">
      <alignment horizontal="left" vertical="top"/>
    </xf>
    <xf numFmtId="49" fontId="23" fillId="36" borderId="13" xfId="81" applyFont="1" applyFill="1" applyBorder="1" applyNumberFormat="1">
      <alignment horizontal="center" vertical="center"/>
    </xf>
    <xf numFmtId="0" fontId="23" fillId="0" borderId="13" xfId="0" applyFont="1" applyBorder="1">
      <alignment horizontal="center" vertical="center" wrapText="1"/>
    </xf>
    <xf numFmtId="0" fontId="23" fillId="36" borderId="13" xfId="0" applyFont="1" applyFill="1" applyBorder="1">
      <alignment horizontal="left" vertical="center" wrapText="1" indent="1"/>
    </xf>
    <xf numFmtId="49" fontId="23" fillId="0" borderId="13" xfId="81" applyFont="1" applyBorder="1" applyNumberFormat="1">
      <alignment horizontal="center" vertical="center"/>
    </xf>
    <xf numFmtId="0" fontId="23" fillId="0" borderId="13" xfId="0" applyFont="1" applyBorder="1">
      <alignment horizontal="left" vertical="center" wrapText="1" indent="1"/>
    </xf>
    <xf numFmtId="0" fontId="23" fillId="0" borderId="13" xfId="0" applyFont="1" applyBorder="1">
      <alignment vertical="center" wrapText="1"/>
    </xf>
    <xf numFmtId="49" fontId="23" fillId="41" borderId="13" xfId="0" applyFont="1" applyFill="1" applyBorder="1" applyNumberFormat="1">
      <alignment horizontal="left" vertical="center" wrapText="1"/>
      <protection locked="0"/>
    </xf>
    <xf numFmtId="0" fontId="23" fillId="36" borderId="13" xfId="0" applyFont="1" applyFill="1" applyBorder="1">
      <alignment horizontal="left" vertical="center" wrapText="1"/>
    </xf>
    <xf numFmtId="0" fontId="56" fillId="36" borderId="13" xfId="81" applyFont="1" applyFill="1" applyBorder="1">
      <alignment horizontal="center" vertical="center"/>
    </xf>
    <xf numFmtId="0" fontId="79" fillId="36" borderId="0" xfId="0" applyFont="1" applyFill="1">
      <alignment vertical="center" wrapText="1"/>
    </xf>
    <xf numFmtId="0" fontId="73" fillId="36" borderId="0" xfId="0" applyFont="1" applyFill="1"/>
    <xf numFmtId="49" fontId="23" fillId="33" borderId="13" xfId="0" applyFont="1" applyFill="1" applyBorder="1" applyNumberFormat="1">
      <alignment horizontal="left" vertical="center" wrapText="1"/>
      <protection locked="0"/>
    </xf>
    <xf numFmtId="0" fontId="90" fillId="36" borderId="0" xfId="0" applyFont="1" applyFill="1"/>
    <xf numFmtId="0" fontId="74" fillId="36" borderId="0" xfId="0" applyFont="1" applyFill="1"/>
    <xf numFmtId="14" fontId="23" fillId="41" borderId="24" xfId="0" applyFont="1" applyFill="1" applyBorder="1" applyNumberFormat="1">
      <alignment horizontal="left" vertical="center" wrapText="1" indent="1"/>
      <protection locked="0"/>
    </xf>
    <xf numFmtId="0" fontId="119" fillId="0" borderId="0" xfId="0" applyFont="1">
      <alignment vertical="center"/>
    </xf>
    <xf numFmtId="0" fontId="119" fillId="0" borderId="0" xfId="0" applyFont="1">
      <alignment vertical="center" wrapText="1"/>
    </xf>
    <xf numFmtId="249" fontId="23" fillId="0" borderId="24" xfId="0" applyFont="1" applyBorder="1" applyNumberFormat="1">
      <alignment horizontal="center" vertical="center" wrapText="1"/>
    </xf>
    <xf numFmtId="14" fontId="23" fillId="41" borderId="13" xfId="0" applyFont="1" applyFill="1" applyBorder="1" applyNumberFormat="1">
      <alignment horizontal="left" vertical="center" wrapText="1" indent="1"/>
      <protection locked="0"/>
    </xf>
    <xf numFmtId="0" fontId="23" fillId="38" borderId="24" xfId="0" applyFont="1" applyFill="1" applyBorder="1">
      <alignment horizontal="left" vertical="center" wrapText="1" indent="1"/>
    </xf>
    <xf numFmtId="249" fontId="23" fillId="0" borderId="18" xfId="0" applyFont="1" applyBorder="1" applyNumberFormat="1">
      <alignment horizontal="center" vertical="center" wrapText="1"/>
    </xf>
    <xf numFmtId="49" fontId="35" fillId="40" borderId="28" xfId="0" applyFont="1" applyFill="1" applyBorder="1" applyNumberFormat="1">
      <alignment horizontal="right" vertical="center" wrapText="1"/>
    </xf>
    <xf numFmtId="49" fontId="0" fillId="40" borderId="29" xfId="0" applyFont="1" applyFill="1" applyBorder="1" applyNumberFormat="1">
      <alignment horizontal="right" vertical="center" wrapText="1"/>
    </xf>
    <xf numFmtId="49" fontId="0" fillId="40" borderId="13" xfId="0" applyFont="1" applyFill="1" applyBorder="1" applyNumberFormat="1">
      <alignment horizontal="right" vertical="center" wrapText="1"/>
    </xf>
    <xf numFmtId="49" fontId="35" fillId="40" borderId="29" xfId="0" applyFont="1" applyFill="1" applyBorder="1" applyNumberFormat="1">
      <alignment horizontal="right" vertical="center" wrapText="1"/>
    </xf>
    <xf numFmtId="49" fontId="29" fillId="41" borderId="24" xfId="0" applyFont="1" applyFill="1" applyBorder="1" applyNumberFormat="1">
      <alignment horizontal="left" vertical="center" wrapText="1"/>
      <protection locked="0"/>
    </xf>
    <xf numFmtId="49" fontId="29" fillId="41" borderId="28" xfId="0" applyFont="1" applyFill="1" applyBorder="1" applyNumberFormat="1">
      <alignment horizontal="left" vertical="center" wrapText="1"/>
      <protection locked="0"/>
    </xf>
    <xf numFmtId="49" fontId="29" fillId="40" borderId="29" xfId="0" applyFont="1" applyFill="1" applyBorder="1" applyNumberFormat="1">
      <alignment horizontal="left" vertical="center" wrapText="1"/>
    </xf>
    <xf numFmtId="49" fontId="29" fillId="40" borderId="24" xfId="0" applyFont="1" applyFill="1" applyBorder="1" applyNumberFormat="1">
      <alignment horizontal="left" vertical="center" wrapText="1"/>
    </xf>
    <xf numFmtId="0" fontId="56" fillId="0" borderId="29" xfId="0" applyFont="1" applyBorder="1">
      <alignment horizontal="center" vertical="center" wrapText="1"/>
    </xf>
    <xf numFmtId="0" fontId="56" fillId="0" borderId="0" xfId="0" applyFont="1">
      <alignment horizontal="center" vertical="center"/>
    </xf>
    <xf numFmtId="0" fontId="56" fillId="0" borderId="0" xfId="0" applyFont="1">
      <alignment horizontal="center" vertical="center"/>
    </xf>
    <xf numFmtId="0" fontId="61" fillId="0" borderId="0" xfId="0" applyFont="1">
      <alignment horizontal="center" vertical="center"/>
    </xf>
    <xf numFmtId="0" fontId="51" fillId="0" borderId="0" xfId="0" applyFont="1">
      <alignment horizontal="center" vertical="center" wrapText="1"/>
    </xf>
    <xf numFmtId="14" fontId="23" fillId="42" borderId="13" xfId="0" applyFont="1" applyFill="1" applyBorder="1" applyNumberFormat="1">
      <alignment horizontal="left" vertical="center" wrapText="1"/>
    </xf>
    <xf numFmtId="249" fontId="23" fillId="0" borderId="38" xfId="0" applyFont="1" applyBorder="1" applyNumberFormat="1">
      <alignment horizontal="center" vertical="center" wrapText="1"/>
    </xf>
    <xf numFmtId="0" fontId="23" fillId="41" borderId="13" xfId="0" applyFont="1" applyFill="1" applyBorder="1">
      <alignment horizontal="center" vertical="center" wrapText="1"/>
      <protection locked="0"/>
    </xf>
    <xf numFmtId="0" fontId="55" fillId="36" borderId="0" xfId="0" applyFont="1" applyFill="1"/>
    <xf numFmtId="249" fontId="54" fillId="0" borderId="59" xfId="0" applyFont="1" applyBorder="1" applyNumberFormat="1">
      <alignment horizontal="center" vertical="center" wrapText="1"/>
    </xf>
    <xf numFmtId="249" fontId="54" fillId="0" borderId="59" xfId="0" applyFont="1" applyBorder="1" applyNumberFormat="1">
      <alignment horizontal="center" vertical="center" wrapText="1"/>
    </xf>
    <xf numFmtId="49" fontId="29" fillId="41" borderId="29" xfId="0" applyFont="1" applyFill="1" applyBorder="1" applyNumberFormat="1">
      <alignment horizontal="left" vertical="center" wrapText="1"/>
      <protection locked="0"/>
    </xf>
    <xf numFmtId="0" fontId="23" fillId="0" borderId="16" xfId="0" applyFont="1" applyBorder="1">
      <alignment horizontal="right" vertical="center" wrapText="1" indent="1"/>
    </xf>
    <xf numFmtId="0" fontId="23" fillId="38" borderId="15" xfId="0" applyFont="1" applyFill="1" applyBorder="1">
      <alignment horizontal="left" vertical="top" wrapText="1"/>
    </xf>
    <xf numFmtId="49" fontId="56" fillId="0" borderId="0" xfId="0" applyFont="1" applyNumberFormat="1">
      <alignment horizontal="center" vertical="center"/>
    </xf>
    <xf numFmtId="49" fontId="73" fillId="0" borderId="0" xfId="0" applyFont="1" applyNumberFormat="1">
      <alignment vertical="top"/>
    </xf>
    <xf numFmtId="0" fontId="51" fillId="0" borderId="0" xfId="0" applyFont="1">
      <alignment vertical="center"/>
    </xf>
    <xf numFmtId="0" fontId="23" fillId="0" borderId="37" xfId="0" applyFont="1" applyBorder="1">
      <alignment horizontal="center" vertical="center" wrapText="1"/>
    </xf>
    <xf numFmtId="0" fontId="23" fillId="0" borderId="38" xfId="0" applyFont="1" applyBorder="1">
      <alignment horizontal="center" vertical="center" wrapText="1"/>
    </xf>
    <xf numFmtId="0" fontId="23" fillId="0" borderId="18" xfId="0" applyFont="1" applyBorder="1">
      <alignment horizontal="center" vertical="center" wrapText="1"/>
    </xf>
    <xf numFmtId="0" fontId="23" fillId="0" borderId="23" xfId="0" applyFont="1" applyBorder="1">
      <alignment horizontal="center" vertical="center" wrapText="1"/>
    </xf>
    <xf numFmtId="49" fontId="23" fillId="0" borderId="37" xfId="0" applyFont="1" applyBorder="1" applyNumberFormat="1">
      <alignment horizontal="left" vertical="center" wrapText="1"/>
    </xf>
    <xf numFmtId="49" fontId="23" fillId="0" borderId="37" xfId="0" applyFont="1" applyBorder="1" applyNumberFormat="1">
      <alignment horizontal="center" vertical="center" wrapText="1"/>
    </xf>
    <xf numFmtId="49" fontId="23" fillId="0" borderId="18" xfId="0" applyFont="1" applyBorder="1" applyNumberFormat="1">
      <alignment horizontal="center" vertical="center" wrapText="1"/>
    </xf>
    <xf numFmtId="0" fontId="23" fillId="0" borderId="37" xfId="0" applyFont="1" applyBorder="1">
      <alignment horizontal="left" vertical="center" wrapText="1"/>
    </xf>
    <xf numFmtId="49" fontId="23" fillId="0" borderId="37" xfId="0" applyFont="1" applyBorder="1" applyNumberFormat="1">
      <alignment vertical="center" wrapText="1"/>
    </xf>
    <xf numFmtId="49" fontId="46" fillId="0" borderId="37" xfId="0" applyFont="1" applyBorder="1" applyNumberFormat="1">
      <alignment vertical="center" wrapText="1"/>
    </xf>
    <xf numFmtId="0" fontId="23" fillId="0" borderId="24" xfId="0" applyFont="1" applyBorder="1">
      <alignment horizontal="left" vertical="center" wrapText="1"/>
    </xf>
    <xf numFmtId="0" fontId="49" fillId="0" borderId="24" xfId="0" applyFont="1" applyBorder="1">
      <alignment horizontal="left" vertical="center"/>
    </xf>
    <xf numFmtId="0" fontId="49" fillId="40" borderId="15" xfId="0" applyFont="1" applyFill="1" applyBorder="1">
      <alignment horizontal="left" vertical="center"/>
    </xf>
    <xf numFmtId="0" fontId="49" fillId="0" borderId="37" xfId="0" applyFont="1" applyBorder="1">
      <alignment horizontal="left" vertical="center"/>
    </xf>
    <xf numFmtId="0" fontId="49" fillId="40" borderId="38" xfId="0" applyFont="1" applyFill="1" applyBorder="1">
      <alignment horizontal="left" vertical="center"/>
    </xf>
    <xf numFmtId="49" fontId="73" fillId="40" borderId="15" xfId="0" applyFont="1" applyFill="1" applyBorder="1" applyNumberFormat="1">
      <alignment vertical="top"/>
    </xf>
    <xf numFmtId="49" fontId="73" fillId="40" borderId="16" xfId="0" applyFont="1" applyFill="1" applyBorder="1" applyNumberFormat="1">
      <alignment vertical="top"/>
    </xf>
    <xf numFmtId="49" fontId="23" fillId="42" borderId="18" xfId="0" applyFont="1" applyFill="1" applyBorder="1" applyNumberFormat="1">
      <alignment vertical="center" wrapText="1"/>
    </xf>
    <xf numFmtId="0" fontId="23" fillId="0" borderId="38" xfId="0" applyFont="1" applyBorder="1">
      <alignment horizontal="center" vertical="center" wrapText="1"/>
    </xf>
    <xf numFmtId="49" fontId="0" fillId="0" borderId="0" xfId="0" applyFont="1" applyNumberFormat="1">
      <alignment vertical="top"/>
    </xf>
    <xf numFmtId="49" fontId="55" fillId="0" borderId="0" xfId="0" applyFont="1" applyNumberFormat="1">
      <alignment horizontal="center" vertical="center"/>
    </xf>
    <xf numFmtId="0" fontId="120" fillId="0" borderId="0" xfId="0" applyFont="1">
      <alignment vertical="center" wrapText="1"/>
    </xf>
    <xf numFmtId="0" fontId="121" fillId="0" borderId="0" xfId="0" applyFont="1">
      <alignment vertical="center" wrapText="1"/>
    </xf>
    <xf numFmtId="0" fontId="23" fillId="0" borderId="18" xfId="0" applyFont="1" applyBorder="1">
      <alignment horizontal="center" vertical="center" wrapText="1"/>
    </xf>
    <xf numFmtId="49" fontId="23" fillId="0" borderId="18" xfId="0" applyFont="1" applyBorder="1" applyNumberFormat="1">
      <alignment horizontal="left" vertical="center" wrapText="1"/>
    </xf>
    <xf numFmtId="49" fontId="23" fillId="0" borderId="18" xfId="0" applyFont="1" applyBorder="1" applyNumberFormat="1">
      <alignment horizontal="left" vertical="center" wrapText="1"/>
    </xf>
    <xf numFmtId="49" fontId="23" fillId="0" borderId="18" xfId="0" applyFont="1" applyBorder="1" applyNumberFormat="1">
      <alignment horizontal="center" vertical="center" wrapText="1"/>
    </xf>
    <xf numFmtId="0" fontId="23" fillId="0" borderId="18" xfId="0" applyFont="1" applyBorder="1">
      <alignment horizontal="left" vertical="center" wrapText="1"/>
    </xf>
    <xf numFmtId="0" fontId="23" fillId="0" borderId="0" xfId="0" applyFont="1">
      <alignment horizontal="left" vertical="center" wrapText="1"/>
    </xf>
    <xf numFmtId="49" fontId="23" fillId="0" borderId="20" xfId="0" applyFont="1" applyBorder="1" applyNumberFormat="1">
      <alignment vertical="center" wrapText="1"/>
    </xf>
    <xf numFmtId="49" fontId="23" fillId="0" borderId="20" xfId="0" applyFont="1" applyBorder="1" applyNumberFormat="1">
      <alignment horizontal="left" vertical="center" wrapText="1"/>
    </xf>
    <xf numFmtId="49" fontId="46" fillId="0" borderId="20" xfId="0" applyFont="1" applyBorder="1" applyNumberFormat="1">
      <alignment vertical="center" wrapText="1"/>
    </xf>
    <xf numFmtId="49" fontId="23" fillId="0" borderId="20" xfId="0" applyFont="1" applyBorder="1" applyNumberFormat="1">
      <alignment horizontal="center" vertical="center" wrapText="1"/>
    </xf>
    <xf numFmtId="0" fontId="23" fillId="0" borderId="20" xfId="0" applyFont="1" applyBorder="1">
      <alignment horizontal="left" vertical="center" wrapText="1"/>
    </xf>
    <xf numFmtId="49" fontId="23" fillId="0" borderId="20" xfId="0" applyFont="1" applyBorder="1" applyNumberFormat="1">
      <alignment vertical="center" wrapText="1"/>
    </xf>
    <xf numFmtId="49" fontId="23" fillId="0" borderId="0" xfId="0" applyFont="1" applyNumberFormat="1">
      <alignment vertical="center" wrapText="1"/>
    </xf>
    <xf numFmtId="49" fontId="23" fillId="0" borderId="0" xfId="0" applyFont="1" applyNumberFormat="1">
      <alignment horizontal="left" vertical="center" wrapText="1"/>
    </xf>
    <xf numFmtId="49" fontId="46" fillId="0" borderId="0" xfId="0" applyFont="1" applyNumberFormat="1">
      <alignment vertical="center" wrapText="1"/>
    </xf>
    <xf numFmtId="49" fontId="23" fillId="0" borderId="0" xfId="0" applyFont="1" applyNumberFormat="1">
      <alignment horizontal="center" vertical="center" wrapText="1"/>
    </xf>
    <xf numFmtId="0" fontId="23" fillId="0" borderId="0" xfId="0" applyFont="1">
      <alignment horizontal="left" vertical="center" wrapText="1"/>
    </xf>
    <xf numFmtId="0" fontId="49" fillId="0" borderId="0" xfId="0" applyFont="1">
      <alignment horizontal="left" vertical="center"/>
    </xf>
    <xf numFmtId="49" fontId="46" fillId="0" borderId="0" xfId="0" applyFont="1" applyNumberFormat="1">
      <alignment horizontal="center" vertical="center" wrapText="1"/>
    </xf>
    <xf numFmtId="0" fontId="49" fillId="0" borderId="0" xfId="0" applyFont="1">
      <alignment vertical="center"/>
    </xf>
    <xf numFmtId="49" fontId="73" fillId="0" borderId="28" xfId="0" applyFont="1" applyBorder="1" applyNumberFormat="1">
      <alignment vertical="top"/>
    </xf>
    <xf numFmtId="49" fontId="23" fillId="0" borderId="38" xfId="0" applyFont="1" applyBorder="1" applyNumberFormat="1">
      <alignment vertical="center" wrapText="1"/>
    </xf>
    <xf numFmtId="49" fontId="23" fillId="0" borderId="23" xfId="0" applyFont="1" applyBorder="1" applyNumberFormat="1">
      <alignment vertical="center" wrapText="1"/>
    </xf>
    <xf numFmtId="0" fontId="49" fillId="0" borderId="23" xfId="0" applyFont="1" applyBorder="1">
      <alignment horizontal="left" vertical="center"/>
    </xf>
    <xf numFmtId="49" fontId="73" fillId="0" borderId="29" xfId="0" applyFont="1" applyBorder="1" applyNumberFormat="1">
      <alignment vertical="top"/>
    </xf>
    <xf numFmtId="49" fontId="46" fillId="0" borderId="37" xfId="0" applyFont="1" applyBorder="1" applyNumberFormat="1">
      <alignment horizontal="center" vertical="center" wrapText="1"/>
    </xf>
    <xf numFmtId="49" fontId="23" fillId="0" borderId="37" xfId="0" applyFont="1" applyBorder="1" applyNumberFormat="1">
      <alignment horizontal="center" vertical="center" wrapText="1"/>
    </xf>
    <xf numFmtId="0" fontId="49" fillId="40" borderId="38" xfId="0" applyFont="1" applyFill="1" applyBorder="1">
      <alignment vertical="center"/>
    </xf>
    <xf numFmtId="49" fontId="0" fillId="0" borderId="13" xfId="0" applyFont="1" applyBorder="1" applyNumberFormat="1">
      <alignment horizontal="left" vertical="center" wrapText="1" indent="1"/>
    </xf>
    <xf numFmtId="49" fontId="0" fillId="0" borderId="0" xfId="0" applyFont="1" applyNumberFormat="1">
      <alignment vertical="top"/>
    </xf>
    <xf numFmtId="0" fontId="23" fillId="0" borderId="0" xfId="0" applyFont="1">
      <alignment vertical="center" wrapText="1"/>
    </xf>
    <xf numFmtId="0" fontId="41" fillId="0" borderId="0" xfId="0" applyFont="1">
      <alignment vertical="center" wrapText="1"/>
    </xf>
    <xf numFmtId="0" fontId="51" fillId="0" borderId="0" xfId="0" applyFont="1">
      <alignment vertical="center" wrapText="1"/>
    </xf>
    <xf numFmtId="0" fontId="23" fillId="0" borderId="0" xfId="0" applyFont="1">
      <alignment horizontal="left" vertical="center" wrapText="1"/>
    </xf>
    <xf numFmtId="0" fontId="64" fillId="0" borderId="0" xfId="0" applyFont="1">
      <alignment vertical="center" wrapText="1"/>
    </xf>
    <xf numFmtId="0" fontId="66" fillId="0" borderId="0" xfId="0" applyFont="1">
      <alignment vertical="center" wrapText="1"/>
    </xf>
    <xf numFmtId="0" fontId="94" fillId="0" borderId="0" xfId="0" applyFont="1">
      <alignment vertical="center" wrapText="1"/>
    </xf>
    <xf numFmtId="0" fontId="56" fillId="0" borderId="0" xfId="0" applyFont="1">
      <alignment vertical="center" wrapText="1"/>
    </xf>
    <xf numFmtId="0" fontId="70" fillId="0" borderId="0" xfId="0" applyFont="1">
      <alignment vertical="center" wrapText="1"/>
    </xf>
    <xf numFmtId="49" fontId="23" fillId="0" borderId="13" xfId="0" applyFont="1" applyBorder="1" applyNumberFormat="1">
      <alignment horizontal="center" vertical="center" wrapText="1"/>
    </xf>
    <xf numFmtId="0" fontId="46" fillId="36" borderId="13" xfId="0" applyFont="1" applyFill="1" applyBorder="1">
      <alignment horizontal="center" vertical="center" wrapText="1"/>
    </xf>
    <xf numFmtId="0" fontId="23" fillId="0" borderId="0" xfId="0" applyFont="1">
      <alignment vertical="center" wrapText="1"/>
    </xf>
    <xf numFmtId="0" fontId="46" fillId="36" borderId="0" xfId="0" applyFont="1" applyFill="1">
      <alignment horizontal="center" vertical="center" wrapText="1"/>
    </xf>
    <xf numFmtId="49" fontId="23" fillId="0" borderId="13" xfId="0" applyFont="1" applyBorder="1" applyNumberFormat="1">
      <alignment horizontal="center" vertical="center" wrapText="1"/>
    </xf>
    <xf numFmtId="3" fontId="23" fillId="41" borderId="13" xfId="0" applyFont="1" applyFill="1" applyBorder="1" applyNumberFormat="1">
      <alignment horizontal="right" vertical="center" wrapText="1"/>
      <protection locked="0"/>
    </xf>
    <xf numFmtId="0" fontId="56" fillId="0" borderId="0" xfId="0" applyFont="1">
      <alignment vertical="center" wrapText="1"/>
    </xf>
    <xf numFmtId="49" fontId="23" fillId="41" borderId="13" xfId="0" applyFont="1" applyFill="1" applyBorder="1" applyNumberFormat="1">
      <alignment horizontal="left" vertical="center" wrapText="1"/>
      <protection locked="0"/>
    </xf>
    <xf numFmtId="0" fontId="56" fillId="0" borderId="0" xfId="0" applyFont="1">
      <alignment vertical="center"/>
    </xf>
    <xf numFmtId="0" fontId="46" fillId="36" borderId="13" xfId="0" applyFont="1" applyFill="1" applyBorder="1">
      <alignment horizontal="center" vertical="center" wrapText="1"/>
    </xf>
    <xf numFmtId="0" fontId="55" fillId="0" borderId="23" xfId="0" applyFont="1" applyBorder="1">
      <alignment vertical="center"/>
    </xf>
    <xf numFmtId="0" fontId="55" fillId="0" borderId="23" xfId="0" applyFont="1" applyBorder="1">
      <alignment vertical="center"/>
    </xf>
    <xf numFmtId="0" fontId="23" fillId="0" borderId="18" xfId="0" applyFont="1" applyBorder="1">
      <alignment horizontal="left" vertical="center" wrapText="1" indent="1"/>
    </xf>
    <xf numFmtId="49" fontId="23" fillId="0" borderId="60" xfId="0" applyFont="1" applyBorder="1" applyNumberFormat="1">
      <alignment horizontal="center" vertical="center" wrapText="1"/>
    </xf>
    <xf numFmtId="49" fontId="23" fillId="0" borderId="30" xfId="0" applyFont="1" applyBorder="1" applyNumberFormat="1">
      <alignment horizontal="center" vertical="center" wrapText="1"/>
    </xf>
    <xf numFmtId="0" fontId="23" fillId="0" borderId="0" xfId="0" applyFont="1">
      <alignment vertical="center" wrapText="1"/>
    </xf>
    <xf numFmtId="0" fontId="41" fillId="0" borderId="0" xfId="0" applyFont="1">
      <alignment vertical="center" wrapText="1"/>
    </xf>
    <xf numFmtId="0" fontId="46" fillId="0" borderId="0" xfId="0" applyFont="1">
      <alignment horizontal="center" vertical="center" wrapText="1"/>
    </xf>
    <xf numFmtId="0" fontId="23" fillId="0" borderId="13" xfId="0" applyFont="1" applyBorder="1">
      <alignment horizontal="center" vertical="center" wrapText="1"/>
    </xf>
    <xf numFmtId="0" fontId="23" fillId="0" borderId="0" xfId="0" applyFont="1">
      <alignment vertical="center" wrapText="1"/>
    </xf>
    <xf numFmtId="0" fontId="56" fillId="0" borderId="0" xfId="0" applyFont="1">
      <alignment vertical="center" wrapText="1"/>
    </xf>
    <xf numFmtId="0" fontId="23" fillId="0" borderId="13" xfId="0" applyFont="1" applyBorder="1">
      <alignment horizontal="center" vertical="center" wrapText="1"/>
    </xf>
    <xf numFmtId="49" fontId="23" fillId="0" borderId="0" xfId="0" applyFont="1" applyNumberFormat="1">
      <alignment horizontal="center" vertical="center" wrapText="1"/>
    </xf>
    <xf numFmtId="0" fontId="23" fillId="0" borderId="13" xfId="0" applyFont="1" applyBorder="1">
      <alignment horizontal="center" vertical="center" wrapText="1"/>
    </xf>
    <xf numFmtId="0" fontId="60" fillId="0" borderId="0" xfId="0" applyFont="1">
      <alignment vertical="center"/>
    </xf>
    <xf numFmtId="0" fontId="79" fillId="0" borderId="0" xfId="0" applyFont="1">
      <alignment vertical="center" wrapText="1"/>
    </xf>
    <xf numFmtId="0" fontId="56" fillId="0" borderId="0" xfId="0" applyFont="1">
      <alignment vertical="center" wrapText="1"/>
    </xf>
    <xf numFmtId="0" fontId="23" fillId="0" borderId="14" xfId="0" applyFont="1" applyBorder="1">
      <alignment horizontal="center" vertical="center" wrapText="1"/>
    </xf>
    <xf numFmtId="0" fontId="23" fillId="0" borderId="18" xfId="0" applyFont="1" applyBorder="1">
      <alignment horizontal="center" vertical="center" wrapText="1"/>
    </xf>
    <xf numFmtId="0" fontId="23" fillId="0" borderId="16" xfId="0" applyFont="1" applyBorder="1">
      <alignment horizontal="right" vertical="center" wrapText="1" indent="1"/>
    </xf>
    <xf numFmtId="0" fontId="23" fillId="0" borderId="13" xfId="0" applyFont="1" applyBorder="1">
      <alignment horizontal="center" vertical="center" wrapText="1"/>
    </xf>
    <xf numFmtId="0" fontId="23" fillId="0" borderId="0" xfId="0" applyFont="1">
      <alignment horizontal="left" vertical="top" wrapText="1"/>
    </xf>
    <xf numFmtId="0" fontId="23" fillId="0" borderId="13" xfId="0" applyFont="1" applyBorder="1">
      <alignment horizontal="center" vertical="center" wrapText="1"/>
    </xf>
    <xf numFmtId="49" fontId="23" fillId="42" borderId="13" xfId="0" applyFont="1" applyFill="1" applyBorder="1" applyNumberFormat="1">
      <alignment horizontal="left" vertical="center" wrapText="1"/>
    </xf>
    <xf numFmtId="0" fontId="23" fillId="0" borderId="13" xfId="0" applyFont="1" applyBorder="1">
      <alignment horizontal="left" vertical="center" wrapText="1" indent="2"/>
    </xf>
    <xf numFmtId="0" fontId="56" fillId="0" borderId="18" xfId="0" applyFont="1" applyBorder="1">
      <alignment horizontal="center" vertical="center" wrapText="1"/>
    </xf>
    <xf numFmtId="0" fontId="23" fillId="38" borderId="15" xfId="0" applyFont="1" applyFill="1" applyBorder="1">
      <alignment horizontal="left" vertical="top" wrapText="1"/>
    </xf>
    <xf numFmtId="0" fontId="23" fillId="0" borderId="13" xfId="0" applyFont="1" applyBorder="1">
      <alignment horizontal="center" vertical="center" wrapText="1"/>
    </xf>
    <xf numFmtId="0" fontId="23" fillId="0" borderId="14" xfId="0" applyFont="1" applyBorder="1">
      <alignment horizontal="center" vertical="center" wrapText="1"/>
    </xf>
    <xf numFmtId="0" fontId="23" fillId="0" borderId="18" xfId="0" applyFont="1" applyBorder="1">
      <alignment horizontal="center" vertical="center" wrapText="1"/>
    </xf>
    <xf numFmtId="0" fontId="23" fillId="0" borderId="16" xfId="0" applyFont="1" applyBorder="1">
      <alignment horizontal="right" vertical="center" wrapText="1" indent="1"/>
    </xf>
    <xf numFmtId="0" fontId="23" fillId="0" borderId="13" xfId="0" applyFont="1" applyBorder="1">
      <alignment horizontal="center" vertical="center" wrapText="1"/>
    </xf>
    <xf numFmtId="0" fontId="23" fillId="0" borderId="13" xfId="0" applyFont="1" applyBorder="1">
      <alignment horizontal="center" vertical="center" wrapText="1"/>
    </xf>
    <xf numFmtId="0" fontId="23" fillId="38" borderId="15" xfId="0" applyFont="1" applyFill="1" applyBorder="1">
      <alignment horizontal="left" vertical="top" wrapText="1"/>
    </xf>
    <xf numFmtId="0" fontId="23" fillId="0" borderId="13" xfId="0" applyFont="1" applyBorder="1">
      <alignment horizontal="center" vertical="center" wrapText="1"/>
    </xf>
    <xf numFmtId="49" fontId="0" fillId="0" borderId="13" xfId="0" applyFont="1" applyBorder="1" applyNumberFormat="1">
      <alignment vertical="center" wrapText="1"/>
    </xf>
    <xf numFmtId="0" fontId="56" fillId="0" borderId="15" xfId="0" applyFont="1" applyBorder="1">
      <alignment vertical="center" wrapText="1"/>
    </xf>
    <xf numFmtId="0" fontId="56" fillId="0" borderId="15" xfId="0" applyFont="1" applyBorder="1">
      <alignment horizontal="left" vertical="top" wrapText="1"/>
    </xf>
    <xf numFmtId="49" fontId="23" fillId="0" borderId="61" xfId="0" applyFont="1" applyBorder="1" applyNumberFormat="1">
      <alignment horizontal="center" vertical="center" wrapText="1"/>
    </xf>
    <xf numFmtId="0" fontId="23" fillId="0" borderId="18" xfId="0" applyFont="1" applyBorder="1">
      <alignment horizontal="left" vertical="center" wrapText="1"/>
    </xf>
    <xf numFmtId="49" fontId="49" fillId="40" borderId="20" xfId="0" applyFont="1" applyFill="1" applyBorder="1" applyNumberFormat="1">
      <alignment horizontal="left" vertical="center" indent="2"/>
    </xf>
    <xf numFmtId="49" fontId="0" fillId="0" borderId="13" xfId="0" applyFont="1" applyBorder="1" applyNumberFormat="1">
      <alignment horizontal="left" vertical="center" wrapText="1" indent="1"/>
    </xf>
    <xf numFmtId="49" fontId="0" fillId="0" borderId="13" xfId="0" applyFont="1" applyBorder="1" applyNumberFormat="1">
      <alignment horizontal="left" vertical="center" wrapText="1" indent="2"/>
    </xf>
    <xf numFmtId="49" fontId="23" fillId="0" borderId="0" xfId="0" applyFont="1" applyNumberFormat="1">
      <alignment vertical="center" wrapText="1"/>
    </xf>
    <xf numFmtId="0" fontId="0" fillId="0" borderId="13" xfId="0" applyFont="1" applyBorder="1">
      <alignment horizontal="center" vertical="center" wrapText="1"/>
    </xf>
    <xf numFmtId="49" fontId="23" fillId="42" borderId="13" xfId="0" applyFont="1" applyFill="1" applyBorder="1" applyNumberFormat="1">
      <alignment horizontal="left" vertical="center" wrapText="1" indent="1"/>
    </xf>
    <xf numFmtId="0" fontId="0" fillId="0" borderId="13" xfId="0" applyFont="1" applyBorder="1">
      <alignment horizontal="left" vertical="center" wrapText="1" indent="1"/>
    </xf>
    <xf numFmtId="49" fontId="0" fillId="36" borderId="13" xfId="0" applyFont="1" applyFill="1" applyBorder="1" applyNumberFormat="1">
      <alignment horizontal="center" vertical="center" wrapText="1"/>
    </xf>
    <xf numFmtId="49" fontId="23" fillId="42" borderId="13" xfId="0" applyFont="1" applyFill="1" applyBorder="1" applyNumberFormat="1">
      <alignment horizontal="left" vertical="center" wrapText="1"/>
    </xf>
    <xf numFmtId="49" fontId="23" fillId="0" borderId="62" xfId="0" applyFont="1" applyBorder="1" applyNumberFormat="1">
      <alignment horizontal="center" vertical="center" wrapText="1"/>
    </xf>
    <xf numFmtId="4" fontId="23" fillId="41" borderId="18" xfId="0" applyFont="1" applyFill="1" applyBorder="1" applyNumberFormat="1">
      <alignment horizontal="right" vertical="center" wrapText="1"/>
      <protection locked="0"/>
    </xf>
    <xf numFmtId="49" fontId="49" fillId="0" borderId="20" xfId="0" applyFont="1" applyBorder="1" applyNumberFormat="1">
      <alignment horizontal="left" vertical="center"/>
    </xf>
    <xf numFmtId="49" fontId="49" fillId="0" borderId="20" xfId="0" applyFont="1" applyBorder="1" applyNumberFormat="1">
      <alignment horizontal="left" vertical="center" indent="2"/>
    </xf>
    <xf numFmtId="49" fontId="53" fillId="0" borderId="20" xfId="0" applyFont="1" applyBorder="1" applyNumberFormat="1">
      <alignment horizontal="center" vertical="top"/>
    </xf>
    <xf numFmtId="0" fontId="23" fillId="0" borderId="20" xfId="0" applyFont="1" applyBorder="1">
      <alignment horizontal="left" vertical="top" wrapText="1"/>
    </xf>
    <xf numFmtId="0" fontId="23" fillId="0" borderId="0" xfId="0" applyFont="1">
      <alignment horizontal="right" vertical="top" wrapText="1"/>
    </xf>
    <xf numFmtId="49" fontId="0" fillId="41" borderId="13" xfId="0" applyFont="1" applyFill="1" applyBorder="1" applyNumberFormat="1">
      <alignment horizontal="left" vertical="center" wrapText="1" indent="1"/>
      <protection locked="0"/>
    </xf>
    <xf numFmtId="49" fontId="55" fillId="0" borderId="0" xfId="0" applyFont="1" applyNumberFormat="1">
      <alignment vertical="top"/>
    </xf>
    <xf numFmtId="49" fontId="23" fillId="42" borderId="13" xfId="0" applyFont="1" applyFill="1" applyBorder="1" applyNumberFormat="1">
      <alignment horizontal="left" vertical="center" wrapText="1"/>
    </xf>
    <xf numFmtId="49" fontId="23" fillId="42" borderId="15" xfId="0" applyFont="1" applyFill="1" applyBorder="1" applyNumberFormat="1">
      <alignment horizontal="left" vertical="center" wrapText="1"/>
    </xf>
    <xf numFmtId="0" fontId="23" fillId="36" borderId="0" xfId="0" applyFont="1" applyFill="1"/>
    <xf numFmtId="0" fontId="23" fillId="0" borderId="0" xfId="80" applyFont="1">
      <alignment vertical="top" wrapText="1"/>
    </xf>
    <xf numFmtId="0" fontId="46" fillId="36" borderId="0" xfId="0" applyFont="1" applyFill="1">
      <alignment horizontal="center" vertical="center" wrapText="1"/>
    </xf>
    <xf numFmtId="0" fontId="0" fillId="36" borderId="24" xfId="0" applyFont="1" applyFill="1" applyBorder="1">
      <alignment vertical="center" wrapText="1"/>
    </xf>
    <xf numFmtId="49" fontId="0" fillId="0" borderId="0" xfId="0" applyFont="1" applyNumberFormat="1">
      <alignment vertical="top"/>
    </xf>
    <xf numFmtId="0" fontId="0" fillId="0" borderId="0" xfId="0" applyFont="1">
      <alignment vertical="top"/>
    </xf>
    <xf numFmtId="49" fontId="41" fillId="48" borderId="0" xfId="0" applyFont="1" applyFill="1" applyNumberFormat="1">
      <alignment horizontal="center" vertical="center"/>
    </xf>
    <xf numFmtId="0" fontId="0" fillId="49" borderId="0" xfId="0" applyFont="1" applyFill="1">
      <alignment horizontal="left" vertical="center"/>
    </xf>
    <xf numFmtId="49" fontId="0" fillId="0" borderId="0" xfId="0" applyFont="1" applyNumberFormat="1">
      <alignment vertical="center"/>
    </xf>
    <xf numFmtId="0" fontId="0" fillId="49" borderId="0" xfId="0" applyFont="1" applyFill="1">
      <alignment horizontal="right" vertical="center"/>
    </xf>
    <xf numFmtId="0" fontId="60" fillId="49" borderId="0" xfId="0" applyFont="1" applyFill="1">
      <alignment horizontal="left" vertical="center"/>
    </xf>
    <xf numFmtId="0" fontId="0" fillId="0" borderId="0" xfId="0" applyFont="1">
      <alignment horizontal="right" vertical="top"/>
    </xf>
    <xf numFmtId="0" fontId="0" fillId="49" borderId="12" xfId="0" applyFont="1" applyFill="1" applyBorder="1">
      <alignment horizontal="center"/>
    </xf>
    <xf numFmtId="0" fontId="0" fillId="0" borderId="12" xfId="0" applyFont="1" applyBorder="1">
      <alignment horizontal="center"/>
    </xf>
    <xf numFmtId="0" fontId="122" fillId="0" borderId="0" xfId="0" applyFont="1">
      <alignment wrapText="1"/>
    </xf>
    <xf numFmtId="49" fontId="72" fillId="0" borderId="0" xfId="0" applyFont="1" applyNumberFormat="1">
      <alignment wrapText="1"/>
    </xf>
    <xf numFmtId="49" fontId="72" fillId="0" borderId="0" xfId="0" applyFont="1" applyNumberFormat="1">
      <alignment vertical="center" wrapText="1"/>
    </xf>
    <xf numFmtId="49" fontId="123" fillId="0" borderId="0" xfId="0" applyFont="1" applyNumberFormat="1">
      <alignment wrapText="1"/>
    </xf>
    <xf numFmtId="0" fontId="37" fillId="0" borderId="0" xfId="0" applyFont="1"/>
    <xf numFmtId="0" fontId="108" fillId="0" borderId="0" xfId="0" applyFont="1">
      <alignment horizontal="left" vertical="center" wrapText="1"/>
    </xf>
    <xf numFmtId="49" fontId="124" fillId="0" borderId="0" xfId="0" applyFont="1" applyNumberFormat="1">
      <alignment wrapText="1"/>
    </xf>
    <xf numFmtId="0" fontId="22" fillId="0" borderId="0" xfId="0" applyFont="1">
      <alignment horizontal="left" vertical="top" wrapText="1"/>
    </xf>
    <xf numFmtId="49" fontId="23" fillId="0" borderId="0" xfId="0" applyFont="1" applyNumberFormat="1">
      <alignment vertical="top" wrapText="1"/>
    </xf>
    <xf numFmtId="0" fontId="72" fillId="0" borderId="0" xfId="0" applyFont="1">
      <alignment wrapText="1"/>
    </xf>
    <xf numFmtId="0" fontId="125" fillId="0" borderId="0" xfId="0" applyFont="1">
      <alignment horizontal="left" vertical="center" wrapText="1"/>
    </xf>
    <xf numFmtId="0" fontId="126" fillId="0" borderId="0" xfId="0" applyFont="1">
      <alignment vertical="center" wrapText="1"/>
    </xf>
    <xf numFmtId="0" fontId="72" fillId="0" borderId="39" xfId="0" applyFont="1" applyBorder="1">
      <alignment wrapText="1"/>
    </xf>
    <xf numFmtId="0" fontId="72" fillId="0" borderId="0" xfId="0" applyFont="1"/>
    <xf numFmtId="0" fontId="125" fillId="0" borderId="0" xfId="0" applyFont="1"/>
    <xf numFmtId="0" fontId="127" fillId="0" borderId="0" xfId="0" applyFont="1">
      <alignment wrapText="1"/>
    </xf>
    <xf numFmtId="0" fontId="0" fillId="33" borderId="63" xfId="0" applyFont="1" applyFill="1" applyBorder="1">
      <alignment horizontal="center" vertical="center" wrapText="1"/>
    </xf>
    <xf numFmtId="0" fontId="0" fillId="54" borderId="63" xfId="0" applyFont="1" applyFill="1" applyBorder="1">
      <alignment horizontal="center" vertical="center" wrapText="1"/>
    </xf>
    <xf numFmtId="0" fontId="0" fillId="38" borderId="63" xfId="0" applyFont="1" applyFill="1" applyBorder="1">
      <alignment horizontal="center" vertical="center" wrapText="1"/>
    </xf>
    <xf numFmtId="0" fontId="0" fillId="41" borderId="63" xfId="0" applyFont="1" applyFill="1" applyBorder="1">
      <alignment horizontal="center" vertical="center" wrapText="1"/>
    </xf>
    <xf numFmtId="0" fontId="125" fillId="0" borderId="39" xfId="0" applyFont="1" applyBorder="1">
      <alignment horizontal="left" vertical="center" wrapText="1"/>
    </xf>
    <xf numFmtId="0" fontId="125" fillId="0" borderId="64" xfId="0" applyFont="1" applyBorder="1">
      <alignment horizontal="left" vertical="center" wrapText="1"/>
    </xf>
    <xf numFmtId="0" fontId="127" fillId="0" borderId="0" xfId="0" applyFont="1"/>
    <xf numFmtId="0" fontId="127" fillId="0" borderId="39" xfId="0" applyFont="1" applyBorder="1">
      <alignment wrapText="1"/>
    </xf>
    <xf numFmtId="0" fontId="72" fillId="0" borderId="65" xfId="0" applyFont="1" applyBorder="1">
      <alignment wrapText="1"/>
    </xf>
    <xf numFmtId="0" fontId="72" fillId="0" borderId="40" xfId="0" applyFont="1" applyBorder="1">
      <alignment wrapText="1"/>
    </xf>
    <xf numFmtId="0" fontId="72" fillId="0" borderId="40" xfId="0" applyFont="1" applyBorder="1">
      <alignment vertical="center" wrapText="1"/>
    </xf>
    <xf numFmtId="0" fontId="123" fillId="0" borderId="0" xfId="0" applyFont="1"/>
    <xf numFmtId="0" fontId="45" fillId="0" borderId="25" xfId="0" applyFont="1" applyBorder="1">
      <alignment horizontal="center" vertical="center" wrapText="1"/>
    </xf>
    <xf numFmtId="49" fontId="23" fillId="0" borderId="14" xfId="0" applyFont="1" applyBorder="1" applyNumberFormat="1">
      <alignment horizontal="center" vertical="center" wrapText="1"/>
    </xf>
    <xf numFmtId="49" fontId="0" fillId="0" borderId="13" xfId="0" applyFont="1" applyBorder="1" applyNumberFormat="1">
      <alignment vertical="top"/>
    </xf>
    <xf numFmtId="0" fontId="45" fillId="0" borderId="13" xfId="0" applyFont="1" applyBorder="1">
      <alignment horizontal="center" vertical="center" wrapText="1"/>
    </xf>
    <xf numFmtId="49" fontId="128" fillId="0" borderId="0" xfId="0" applyFont="1" applyNumberFormat="1">
      <alignment horizontal="center" vertical="center" wrapText="1"/>
    </xf>
    <xf numFmtId="49" fontId="23" fillId="49" borderId="0" xfId="0" applyFont="1" applyFill="1" applyNumberFormat="1">
      <alignment horizontal="center" vertical="center"/>
    </xf>
    <xf numFmtId="250" fontId="0" fillId="41" borderId="13" xfId="0" applyFont="1" applyFill="1" applyBorder="1" applyNumberFormat="1">
      <alignment horizontal="left" vertical="center" wrapText="1" indent="1"/>
      <protection locked="0"/>
    </xf>
    <xf numFmtId="250" fontId="0" fillId="0" borderId="13" xfId="0" applyFont="1" applyBorder="1" applyNumberFormat="1">
      <alignment horizontal="left" vertical="center" wrapText="1" indent="1"/>
    </xf>
    <xf numFmtId="250" fontId="0" fillId="41" borderId="13" xfId="0" applyFont="1" applyFill="1" applyBorder="1" applyNumberFormat="1">
      <alignment horizontal="center" vertical="center" wrapText="1"/>
      <protection locked="0"/>
    </xf>
    <xf numFmtId="250" fontId="56" fillId="0" borderId="0" xfId="0" applyFont="1" applyNumberFormat="1">
      <alignment horizontal="center" vertical="center" wrapText="1"/>
    </xf>
    <xf numFmtId="250" fontId="56" fillId="0" borderId="13" xfId="0" applyFont="1" applyBorder="1" applyNumberFormat="1">
      <alignment horizontal="center" vertical="center" wrapText="1"/>
    </xf>
    <xf numFmtId="250" fontId="0" fillId="41" borderId="13" xfId="0" applyFont="1" applyFill="1" applyBorder="1" applyNumberFormat="1">
      <alignment horizontal="left" vertical="center" wrapText="1"/>
      <protection locked="0"/>
    </xf>
    <xf numFmtId="250" fontId="0" fillId="33" borderId="13" xfId="0" applyFont="1" applyFill="1" applyBorder="1" applyNumberFormat="1">
      <alignment horizontal="left" vertical="center" wrapText="1" indent="1"/>
      <protection locked="0"/>
    </xf>
    <xf numFmtId="250" fontId="0" fillId="41" borderId="14" xfId="0" applyFont="1" applyFill="1" applyBorder="1" applyNumberFormat="1">
      <alignment horizontal="left" vertical="center" wrapText="1"/>
      <protection locked="0"/>
    </xf>
    <xf numFmtId="0" fontId="23" fillId="0" borderId="13" xfId="0" applyFont="1" applyBorder="1">
      <alignment horizontal="center" vertical="center" wrapText="1"/>
    </xf>
    <xf numFmtId="0" fontId="23" fillId="0" borderId="37" xfId="0" applyFont="1" applyBorder="1">
      <alignment horizontal="center" vertical="center" wrapText="1"/>
    </xf>
    <xf numFmtId="0" fontId="46" fillId="0" borderId="25" xfId="0" applyFont="1" applyBorder="1">
      <alignment horizontal="center" vertical="center" wrapText="1"/>
    </xf>
    <xf numFmtId="0" fontId="23" fillId="0" borderId="0" xfId="0" applyFont="1">
      <alignment horizontal="left" vertical="top" indent="1"/>
    </xf>
    <xf numFmtId="0" fontId="23" fillId="38" borderId="28" xfId="0" applyFont="1" applyFill="1" applyBorder="1">
      <alignment horizontal="center" vertical="top"/>
    </xf>
    <xf numFmtId="0" fontId="0" fillId="0" borderId="35" xfId="0" applyFont="1" applyBorder="1">
      <alignment horizontal="center" vertical="center"/>
    </xf>
    <xf numFmtId="0" fontId="0" fillId="0" borderId="34" xfId="0" applyFont="1" applyBorder="1">
      <alignment horizontal="center" vertical="center"/>
    </xf>
    <xf numFmtId="0" fontId="23" fillId="42" borderId="37" xfId="0" applyFont="1" applyFill="1" applyBorder="1">
      <alignment horizontal="center" vertical="top" wrapText="1"/>
    </xf>
    <xf numFmtId="49" fontId="0" fillId="41" borderId="13" xfId="0" applyFont="1" applyFill="1" applyBorder="1" applyNumberFormat="1">
      <alignment horizontal="left" vertical="center" wrapText="1"/>
      <protection locked="0"/>
    </xf>
    <xf numFmtId="49" fontId="23" fillId="0" borderId="37" xfId="0" applyFont="1" applyBorder="1" applyNumberFormat="1">
      <alignment horizontal="center" vertical="top" wrapText="1"/>
    </xf>
    <xf numFmtId="49" fontId="23" fillId="33" borderId="13" xfId="0" applyFont="1" applyFill="1" applyBorder="1" applyNumberFormat="1">
      <alignment horizontal="left" vertical="center" wrapText="1"/>
      <protection locked="0"/>
    </xf>
    <xf numFmtId="49" fontId="23" fillId="0" borderId="13" xfId="0" applyFont="1" applyBorder="1" applyNumberFormat="1">
      <alignment horizontal="center" vertical="center" wrapText="1"/>
    </xf>
    <xf numFmtId="0" fontId="23" fillId="38" borderId="28" xfId="0" applyFont="1" applyFill="1" applyBorder="1">
      <alignment horizontal="left" vertical="top"/>
    </xf>
    <xf numFmtId="0" fontId="23" fillId="0" borderId="13" xfId="0" applyFont="1" applyBorder="1">
      <alignment horizontal="left" vertical="top"/>
    </xf>
    <xf numFmtId="49" fontId="23" fillId="0" borderId="0" xfId="0" applyFont="1" applyNumberFormat="1">
      <alignment horizontal="left" vertical="top"/>
    </xf>
    <xf numFmtId="0" fontId="23" fillId="42" borderId="37" xfId="0" applyFont="1" applyFill="1" applyBorder="1">
      <alignment horizontal="center" vertical="top" wrapText="1"/>
    </xf>
    <xf numFmtId="49" fontId="23" fillId="42" borderId="37" xfId="0" applyFont="1" applyFill="1" applyBorder="1" applyNumberFormat="1">
      <alignment horizontal="center" vertical="center" wrapText="1"/>
    </xf>
    <xf numFmtId="49" fontId="56" fillId="0" borderId="13" xfId="0" applyFont="1" applyBorder="1" applyNumberFormat="1">
      <alignment horizontal="center" vertical="center" wrapText="1"/>
    </xf>
    <xf numFmtId="49" fontId="23" fillId="33" borderId="13" xfId="0" applyFont="1" applyFill="1" applyBorder="1" applyNumberFormat="1">
      <alignment horizontal="left" vertical="center" wrapText="1"/>
      <protection locked="0"/>
    </xf>
    <xf numFmtId="0" fontId="54" fillId="0" borderId="13" xfId="0" applyFont="1" applyBorder="1">
      <alignment horizontal="center" vertical="center"/>
    </xf>
    <xf numFmtId="49" fontId="0" fillId="41" borderId="13" xfId="0" applyFont="1" applyFill="1" applyBorder="1" applyNumberFormat="1">
      <alignment horizontal="left" vertical="center" wrapText="1"/>
      <protection locked="0"/>
    </xf>
    <xf numFmtId="49" fontId="23" fillId="0" borderId="13" xfId="0" applyFont="1" applyBorder="1" applyNumberFormat="1">
      <alignment horizontal="center" vertical="center" wrapText="1"/>
    </xf>
    <xf numFmtId="0" fontId="0" fillId="38" borderId="37" xfId="0" applyFont="1" applyFill="1" applyBorder="1">
      <alignment horizontal="left" vertical="top" wrapText="1" indent="1"/>
    </xf>
    <xf numFmtId="49" fontId="23" fillId="42" borderId="37" xfId="0" applyFont="1" applyFill="1" applyBorder="1" applyNumberFormat="1">
      <alignment horizontal="center" vertical="top" wrapText="1"/>
    </xf>
    <xf numFmtId="49" fontId="0" fillId="41" borderId="37" xfId="0" applyFont="1" applyFill="1" applyBorder="1" applyNumberFormat="1">
      <alignment horizontal="center" vertical="top" wrapText="1"/>
      <protection locked="0"/>
    </xf>
    <xf numFmtId="49" fontId="0" fillId="33" borderId="37" xfId="0" applyFont="1" applyFill="1" applyBorder="1" applyNumberFormat="1">
      <alignment horizontal="center" vertical="top" wrapText="1"/>
      <protection locked="0"/>
    </xf>
    <xf numFmtId="49" fontId="23" fillId="42" borderId="37" xfId="0" applyFont="1" applyFill="1" applyBorder="1" applyNumberFormat="1">
      <alignment horizontal="left" vertical="top" wrapText="1"/>
    </xf>
    <xf numFmtId="49" fontId="23" fillId="41" borderId="37" xfId="0" applyFont="1" applyFill="1" applyBorder="1" applyNumberFormat="1">
      <alignment horizontal="left" vertical="top" wrapText="1"/>
      <protection locked="0"/>
    </xf>
    <xf numFmtId="49" fontId="0" fillId="38" borderId="37" xfId="0" applyFont="1" applyFill="1" applyBorder="1" applyNumberFormat="1">
      <alignment horizontal="center" vertical="top" wrapText="1"/>
    </xf>
    <xf numFmtId="0" fontId="23" fillId="38" borderId="37" xfId="0" applyFont="1" applyFill="1" applyBorder="1">
      <alignment horizontal="center" vertical="top" wrapText="1"/>
    </xf>
    <xf numFmtId="0" fontId="23" fillId="33" borderId="37" xfId="0" applyFont="1" applyFill="1" applyBorder="1">
      <alignment horizontal="left" vertical="top" wrapText="1"/>
      <protection locked="0"/>
    </xf>
    <xf numFmtId="49" fontId="0" fillId="0" borderId="37" xfId="0" applyFont="1" applyBorder="1" applyNumberFormat="1">
      <alignment vertical="top"/>
    </xf>
    <xf numFmtId="49" fontId="0" fillId="0" borderId="37" xfId="0" applyFont="1" applyBorder="1" applyNumberFormat="1">
      <alignment horizontal="left" vertical="top"/>
    </xf>
    <xf numFmtId="49" fontId="0" fillId="42" borderId="37" xfId="0" applyFont="1" applyFill="1" applyBorder="1" applyNumberFormat="1">
      <alignment horizontal="left" vertical="top"/>
    </xf>
    <xf numFmtId="0" fontId="49" fillId="0" borderId="37" xfId="0" applyFont="1" applyBorder="1">
      <alignment horizontal="left" vertical="center"/>
    </xf>
    <xf numFmtId="0" fontId="49" fillId="33" borderId="37" xfId="0" applyFont="1" applyFill="1" applyBorder="1">
      <alignment horizontal="left" vertical="center"/>
      <protection locked="0"/>
    </xf>
    <xf numFmtId="0" fontId="49" fillId="41" borderId="37" xfId="0" applyFont="1" applyFill="1" applyBorder="1">
      <alignment horizontal="left" vertical="center"/>
      <protection locked="0"/>
    </xf>
    <xf numFmtId="49" fontId="23" fillId="42" borderId="37" xfId="0" applyFont="1" applyFill="1" applyBorder="1" applyNumberFormat="1">
      <alignment horizontal="center" vertical="center" wrapText="1"/>
    </xf>
    <xf numFmtId="49" fontId="0" fillId="41" borderId="18" xfId="0" applyFont="1" applyFill="1" applyBorder="1" applyNumberFormat="1">
      <alignment vertical="top"/>
      <protection locked="0"/>
    </xf>
    <xf numFmtId="49" fontId="0" fillId="41" borderId="37" xfId="0" applyFont="1" applyFill="1" applyBorder="1" applyNumberFormat="1">
      <alignment vertical="top"/>
      <protection locked="0"/>
    </xf>
    <xf numFmtId="49" fontId="0" fillId="41" borderId="24" xfId="0" applyFont="1" applyFill="1" applyBorder="1" applyNumberFormat="1">
      <alignment vertical="top"/>
      <protection locked="0"/>
    </xf>
    <xf numFmtId="14" fontId="23" fillId="42" borderId="37" xfId="0" applyFont="1" applyFill="1" applyBorder="1" applyNumberFormat="1">
      <alignment horizontal="left" vertical="center" wrapText="1" indent="1"/>
    </xf>
    <xf numFmtId="49" fontId="23" fillId="42" borderId="0" xfId="0" applyFont="1" applyFill="1" applyNumberFormat="1">
      <alignment horizontal="center" vertical="center" wrapText="1"/>
    </xf>
    <xf numFmtId="49" fontId="0" fillId="33" borderId="37" xfId="0" applyFont="1" applyFill="1" applyBorder="1" applyNumberFormat="1">
      <alignment vertical="top"/>
      <protection locked="0"/>
    </xf>
    <xf numFmtId="49" fontId="0" fillId="42" borderId="37" xfId="0" applyFont="1" applyFill="1" applyBorder="1" applyNumberFormat="1">
      <alignment horizontal="left" vertical="center" wrapText="1"/>
      <protection locked="0"/>
    </xf>
    <xf numFmtId="49" fontId="0" fillId="33" borderId="37" xfId="0" applyFont="1" applyFill="1" applyBorder="1" applyNumberFormat="1">
      <alignment horizontal="left" vertical="top"/>
      <protection locked="0"/>
    </xf>
    <xf numFmtId="0" fontId="23" fillId="0" borderId="13" xfId="0" applyFont="1" applyBorder="1">
      <alignment horizontal="center" vertical="center" wrapText="1"/>
    </xf>
    <xf numFmtId="0" fontId="0" fillId="36" borderId="13" xfId="0" applyFont="1" applyFill="1" applyBorder="1">
      <alignment vertical="top" wrapText="1"/>
    </xf>
    <xf numFmtId="0" fontId="55" fillId="0" borderId="13" xfId="0" applyFont="1" applyBorder="1">
      <alignment vertical="top" wrapText="1"/>
    </xf>
    <xf numFmtId="49" fontId="0" fillId="41" borderId="13" xfId="0" applyFont="1" applyFill="1" applyBorder="1" applyNumberFormat="1">
      <alignment horizontal="left" vertical="center" wrapText="1"/>
      <protection locked="0"/>
    </xf>
    <xf numFmtId="0" fontId="55" fillId="0" borderId="0" xfId="0" applyFont="1">
      <alignment horizontal="center" vertical="center" wrapText="1"/>
    </xf>
    <xf numFmtId="49" fontId="23" fillId="42" borderId="18" xfId="0" applyFont="1" applyFill="1" applyBorder="1" applyNumberFormat="1">
      <alignment vertical="center" wrapText="1"/>
    </xf>
    <xf numFmtId="49" fontId="23" fillId="42" borderId="37" xfId="0" applyFont="1" applyFill="1" applyBorder="1" applyNumberFormat="1">
      <alignment vertical="center" wrapText="1"/>
    </xf>
    <xf numFmtId="49" fontId="23" fillId="42" borderId="24" xfId="0" applyFont="1" applyFill="1" applyBorder="1" applyNumberFormat="1">
      <alignment vertical="center" wrapText="1"/>
    </xf>
    <xf numFmtId="49" fontId="0" fillId="38" borderId="37" xfId="0" applyFont="1" applyFill="1" applyBorder="1" applyNumberFormat="1">
      <alignment vertical="top"/>
    </xf>
    <xf numFmtId="49" fontId="0" fillId="0" borderId="23" xfId="0" applyFont="1" applyBorder="1" applyNumberFormat="1">
      <alignment vertical="top"/>
    </xf>
    <xf numFmtId="0" fontId="108" fillId="0" borderId="0" xfId="0" applyFont="1">
      <alignment vertical="center" wrapText="1"/>
    </xf>
    <xf numFmtId="0" fontId="108" fillId="0" borderId="0" xfId="0" applyFont="1">
      <alignment vertical="center"/>
    </xf>
    <xf numFmtId="0" fontId="22" fillId="35" borderId="66" xfId="0" applyFont="1" applyFill="1" applyBorder="1">
      <alignment horizontal="center" vertical="center" wrapText="1"/>
    </xf>
    <xf numFmtId="0" fontId="22" fillId="35" borderId="67" xfId="0" applyFont="1" applyFill="1" applyBorder="1">
      <alignment horizontal="center" vertical="center" wrapText="1"/>
    </xf>
    <xf numFmtId="0" fontId="22" fillId="35" borderId="68" xfId="0" applyFont="1" applyFill="1" applyBorder="1">
      <alignment horizontal="center" vertical="center" wrapText="1"/>
    </xf>
    <xf numFmtId="0" fontId="22" fillId="47" borderId="39" xfId="0" applyFont="1" applyFill="1" applyBorder="1">
      <alignment horizontal="right" vertical="center" wrapText="1" indent="1"/>
    </xf>
    <xf numFmtId="0" fontId="22" fillId="47" borderId="69" xfId="0" applyFont="1" applyFill="1" applyBorder="1">
      <alignment horizontal="right" vertical="center" wrapText="1" indent="1"/>
    </xf>
    <xf numFmtId="0" fontId="22" fillId="47" borderId="0" xfId="0" applyFont="1" applyFill="1">
      <alignment horizontal="right" vertical="center" wrapText="1" indent="1"/>
    </xf>
    <xf numFmtId="0" fontId="127" fillId="0" borderId="39" xfId="0" applyFont="1" applyBorder="1">
      <alignment vertical="center" wrapText="1"/>
    </xf>
    <xf numFmtId="0" fontId="127" fillId="0" borderId="0" xfId="0" applyFont="1">
      <alignment vertical="center" wrapText="1"/>
    </xf>
    <xf numFmtId="0" fontId="127" fillId="0" borderId="39" xfId="0" applyFont="1" applyBorder="1">
      <alignment horizontal="left" vertical="center" wrapText="1"/>
    </xf>
    <xf numFmtId="0" fontId="127" fillId="0" borderId="0" xfId="0" applyFont="1">
      <alignment horizontal="left" vertical="center" wrapText="1"/>
    </xf>
    <xf numFmtId="0" fontId="22" fillId="47" borderId="63" xfId="0" applyFont="1" applyFill="1" applyBorder="1">
      <alignment horizontal="right" vertical="center" wrapText="1" indent="1"/>
    </xf>
    <xf numFmtId="0" fontId="22" fillId="47" borderId="70" xfId="0" applyFont="1" applyFill="1" applyBorder="1">
      <alignment horizontal="right" vertical="center" wrapText="1" indent="1"/>
    </xf>
    <xf numFmtId="0" fontId="22" fillId="47" borderId="65" xfId="0" applyFont="1" applyFill="1" applyBorder="1">
      <alignment horizontal="right" vertical="center" wrapText="1" indent="1"/>
    </xf>
    <xf numFmtId="0" fontId="22" fillId="47" borderId="40" xfId="0" applyFont="1" applyFill="1" applyBorder="1">
      <alignment horizontal="right" vertical="center" wrapText="1" indent="1"/>
    </xf>
    <xf numFmtId="0" fontId="127" fillId="0" borderId="0" xfId="0" applyFont="1">
      <alignment vertical="top" wrapText="1"/>
    </xf>
    <xf numFmtId="0" fontId="127" fillId="0" borderId="0" xfId="0" applyFont="1">
      <alignment vertical="top" wrapText="1"/>
    </xf>
    <xf numFmtId="49" fontId="72" fillId="0" borderId="0" xfId="0" applyFont="1" applyNumberFormat="1">
      <alignment vertical="top" wrapText="1"/>
    </xf>
    <xf numFmtId="0" fontId="23" fillId="0" borderId="14" xfId="0" applyFont="1" applyBorder="1">
      <alignment horizontal="center" vertical="center" wrapText="1"/>
    </xf>
    <xf numFmtId="0" fontId="23" fillId="0" borderId="15" xfId="0" applyFont="1" applyBorder="1">
      <alignment horizontal="center" vertical="center" wrapText="1"/>
    </xf>
    <xf numFmtId="0" fontId="102" fillId="0" borderId="0" xfId="80" applyFont="1">
      <alignment horizontal="left" vertical="center" wrapText="1"/>
    </xf>
    <xf numFmtId="14" fontId="99" fillId="0" borderId="13" xfId="80" applyFont="1" applyBorder="1" applyNumberFormat="1">
      <alignment horizontal="center" vertical="center" wrapText="1"/>
    </xf>
    <xf numFmtId="0" fontId="23" fillId="0" borderId="0" xfId="0" applyFont="1">
      <alignment horizontal="center" vertical="center" wrapText="1"/>
    </xf>
    <xf numFmtId="0" fontId="23" fillId="0" borderId="16" xfId="0" applyFont="1" applyBorder="1">
      <alignment horizontal="left" vertical="center" wrapText="1" indent="1"/>
    </xf>
    <xf numFmtId="0" fontId="23" fillId="0" borderId="15" xfId="0" applyFont="1" applyBorder="1">
      <alignment horizontal="center" vertical="center" wrapText="1"/>
    </xf>
    <xf numFmtId="0" fontId="23" fillId="0" borderId="16" xfId="0" applyFont="1" applyBorder="1">
      <alignment horizontal="center" vertical="center" wrapText="1"/>
    </xf>
    <xf numFmtId="0" fontId="23" fillId="0" borderId="14" xfId="0" applyFont="1" applyBorder="1">
      <alignment horizontal="center" vertical="center" wrapText="1"/>
    </xf>
    <xf numFmtId="4" fontId="23" fillId="0" borderId="13" xfId="0" applyFont="1" applyBorder="1" applyNumberFormat="1">
      <alignment horizontal="center" vertical="center" wrapText="1"/>
    </xf>
    <xf numFmtId="0" fontId="23" fillId="42" borderId="18" xfId="0" applyFont="1" applyFill="1" applyBorder="1">
      <alignment horizontal="left" vertical="center" wrapText="1" indent="1"/>
      <protection locked="0"/>
    </xf>
    <xf numFmtId="0" fontId="23" fillId="42" borderId="24" xfId="0" applyFont="1" applyFill="1" applyBorder="1">
      <alignment horizontal="left" vertical="center" wrapText="1" indent="1"/>
      <protection locked="0"/>
    </xf>
    <xf numFmtId="49" fontId="23" fillId="42" borderId="13" xfId="0" applyFont="1" applyFill="1" applyBorder="1" applyNumberFormat="1">
      <alignment horizontal="center" vertical="center" wrapText="1"/>
    </xf>
    <xf numFmtId="49" fontId="23" fillId="0" borderId="13" xfId="0" applyFont="1" applyBorder="1" applyNumberFormat="1">
      <alignment horizontal="center" vertical="center" wrapText="1"/>
    </xf>
    <xf numFmtId="0" fontId="23" fillId="42" borderId="18" xfId="0" applyFont="1" applyFill="1" applyBorder="1">
      <alignment horizontal="left" vertical="center" wrapText="1" indent="2"/>
    </xf>
    <xf numFmtId="0" fontId="23" fillId="42" borderId="37" xfId="0" applyFont="1" applyFill="1" applyBorder="1">
      <alignment horizontal="left" vertical="center" wrapText="1" indent="2"/>
    </xf>
    <xf numFmtId="0" fontId="23" fillId="42" borderId="24" xfId="0" applyFont="1" applyFill="1" applyBorder="1">
      <alignment horizontal="left" vertical="center" wrapText="1" indent="2"/>
    </xf>
    <xf numFmtId="49" fontId="23" fillId="42" borderId="24" xfId="0" applyFont="1" applyFill="1" applyBorder="1" applyNumberFormat="1">
      <alignment horizontal="center" vertical="center" wrapText="1"/>
    </xf>
    <xf numFmtId="14" fontId="87" fillId="0" borderId="71" xfId="0" applyFont="1" applyBorder="1" applyNumberFormat="1">
      <alignment horizontal="center" vertical="center" wrapText="1"/>
    </xf>
    <xf numFmtId="0" fontId="23" fillId="0" borderId="71" xfId="0" applyFont="1" applyBorder="1">
      <alignment horizontal="center" vertical="center" wrapText="1"/>
    </xf>
    <xf numFmtId="49" fontId="45" fillId="0" borderId="72" xfId="0" applyFont="1" applyBorder="1" applyNumberFormat="1">
      <alignment horizontal="center" vertical="center" wrapText="1"/>
    </xf>
    <xf numFmtId="49" fontId="45" fillId="0" borderId="73" xfId="0" applyFont="1" applyBorder="1" applyNumberFormat="1">
      <alignment horizontal="center" vertical="center" wrapText="1"/>
    </xf>
    <xf numFmtId="49" fontId="45" fillId="0" borderId="15" xfId="0" applyFont="1" applyBorder="1" applyNumberFormat="1">
      <alignment horizontal="center" vertical="center" wrapText="1"/>
    </xf>
    <xf numFmtId="49" fontId="45" fillId="0" borderId="14" xfId="0" applyFont="1" applyBorder="1" applyNumberFormat="1">
      <alignment horizontal="center" vertical="center" wrapText="1"/>
    </xf>
    <xf numFmtId="0" fontId="23" fillId="0" borderId="21" xfId="0" applyFont="1" applyBorder="1">
      <alignment horizontal="left" vertical="center" wrapText="1" indent="1"/>
    </xf>
    <xf numFmtId="0" fontId="23" fillId="0" borderId="18" xfId="0" applyFont="1" applyBorder="1">
      <alignment horizontal="left" vertical="center" wrapText="1" indent="1"/>
    </xf>
    <xf numFmtId="0" fontId="23" fillId="0" borderId="38" xfId="0" applyFont="1" applyBorder="1">
      <alignment horizontal="left" vertical="center" wrapText="1" indent="1"/>
    </xf>
    <xf numFmtId="0" fontId="23" fillId="0" borderId="31" xfId="0" applyFont="1" applyBorder="1">
      <alignment horizontal="left" vertical="center" indent="1"/>
    </xf>
    <xf numFmtId="0" fontId="23" fillId="0" borderId="24" xfId="0" applyFont="1" applyBorder="1">
      <alignment horizontal="left" vertical="center" indent="1"/>
    </xf>
    <xf numFmtId="0" fontId="23" fillId="0" borderId="28" xfId="0" applyFont="1" applyBorder="1">
      <alignment horizontal="left" vertical="center" indent="1"/>
    </xf>
    <xf numFmtId="0" fontId="23" fillId="0" borderId="0" xfId="0" applyFont="1">
      <alignment horizontal="center" vertical="center" wrapText="1"/>
    </xf>
    <xf numFmtId="0" fontId="23" fillId="43" borderId="0" xfId="0" applyFont="1" applyFill="1">
      <alignment horizontal="center" vertical="center" wrapText="1"/>
    </xf>
    <xf numFmtId="0" fontId="23" fillId="0" borderId="13" xfId="0" applyFont="1" applyBorder="1">
      <alignment horizontal="center" vertical="center" wrapText="1"/>
    </xf>
    <xf numFmtId="0" fontId="81" fillId="0" borderId="38" xfId="0" applyFont="1" applyBorder="1">
      <alignment horizontal="center" vertical="center" wrapText="1"/>
    </xf>
    <xf numFmtId="0" fontId="81" fillId="0" borderId="20" xfId="0" applyFont="1" applyBorder="1">
      <alignment horizontal="center" vertical="center" wrapText="1"/>
    </xf>
    <xf numFmtId="0" fontId="0" fillId="0" borderId="0" xfId="0" applyFont="1">
      <alignment horizontal="left" vertical="center" wrapText="1" indent="2"/>
    </xf>
    <xf numFmtId="0" fontId="0" fillId="0" borderId="0" xfId="0" applyFont="1">
      <alignment horizontal="left" vertical="center" indent="2"/>
    </xf>
    <xf numFmtId="0" fontId="81" fillId="0" borderId="13" xfId="0" applyFont="1" applyBorder="1">
      <alignment horizontal="center" vertical="center" wrapText="1"/>
    </xf>
    <xf numFmtId="0" fontId="23" fillId="0" borderId="74" xfId="0" applyFont="1" applyBorder="1">
      <alignment horizontal="center" vertical="center" wrapText="1"/>
    </xf>
    <xf numFmtId="0" fontId="23" fillId="0" borderId="75" xfId="0" applyFont="1" applyBorder="1">
      <alignment horizontal="center" vertical="center" wrapText="1"/>
    </xf>
    <xf numFmtId="49" fontId="23" fillId="0" borderId="20" xfId="0" applyFont="1" applyBorder="1" applyNumberFormat="1">
      <alignment horizontal="center" vertical="center" wrapText="1"/>
    </xf>
    <xf numFmtId="49" fontId="23" fillId="0" borderId="0" xfId="0" applyFont="1" applyNumberFormat="1">
      <alignment horizontal="center" vertical="center" wrapText="1"/>
    </xf>
    <xf numFmtId="0" fontId="0" fillId="0" borderId="20" xfId="0" applyFont="1" applyBorder="1">
      <alignment horizontal="left" vertical="center" wrapText="1"/>
    </xf>
    <xf numFmtId="0" fontId="0" fillId="0" borderId="0" xfId="0" applyFont="1">
      <alignment horizontal="left" vertical="center" wrapText="1"/>
    </xf>
    <xf numFmtId="49" fontId="0" fillId="0" borderId="0" xfId="0" applyFont="1" applyNumberFormat="1">
      <alignment horizontal="left" vertical="center" wrapText="1"/>
    </xf>
    <xf numFmtId="49" fontId="23" fillId="0" borderId="20" xfId="0" applyFont="1" applyBorder="1" applyNumberFormat="1">
      <alignment horizontal="center" vertical="center" wrapText="1"/>
    </xf>
    <xf numFmtId="49" fontId="23" fillId="0" borderId="0" xfId="0" applyFont="1" applyNumberFormat="1">
      <alignment horizontal="center" vertical="center" wrapText="1"/>
    </xf>
    <xf numFmtId="49" fontId="0" fillId="0" borderId="20" xfId="0" applyFont="1" applyBorder="1" applyNumberFormat="1">
      <alignment horizontal="left" vertical="center" wrapText="1"/>
    </xf>
    <xf numFmtId="0" fontId="0" fillId="0" borderId="13" xfId="0" applyFont="1" applyBorder="1">
      <alignment horizontal="center" vertical="top"/>
    </xf>
    <xf numFmtId="49" fontId="0" fillId="0" borderId="13" xfId="0" applyFont="1" applyBorder="1" applyNumberFormat="1">
      <alignment vertical="top"/>
    </xf>
    <xf numFmtId="0" fontId="23" fillId="0" borderId="13" xfId="0" applyFont="1" applyBorder="1">
      <alignment horizontal="left" vertical="top" wrapText="1"/>
    </xf>
    <xf numFmtId="49" fontId="0" fillId="0" borderId="13" xfId="0" applyFont="1" applyBorder="1" applyNumberFormat="1">
      <alignment horizontal="left" vertical="top"/>
    </xf>
    <xf numFmtId="0" fontId="23" fillId="42" borderId="18" xfId="0" applyFont="1" applyFill="1" applyBorder="1">
      <alignment horizontal="center" vertical="top" wrapText="1"/>
    </xf>
    <xf numFmtId="0" fontId="23" fillId="42" borderId="37" xfId="0" applyFont="1" applyFill="1" applyBorder="1">
      <alignment horizontal="center" vertical="top" wrapText="1"/>
    </xf>
    <xf numFmtId="0" fontId="23" fillId="42" borderId="24" xfId="0" applyFont="1" applyFill="1" applyBorder="1">
      <alignment horizontal="center" vertical="top" wrapText="1"/>
    </xf>
    <xf numFmtId="0" fontId="23" fillId="42" borderId="13" xfId="0" applyFont="1" applyFill="1" applyBorder="1">
      <alignment horizontal="left" vertical="top" wrapText="1"/>
    </xf>
    <xf numFmtId="49" fontId="0" fillId="42" borderId="13" xfId="0" applyFont="1" applyFill="1" applyBorder="1" applyNumberFormat="1">
      <alignment horizontal="left" vertical="top"/>
    </xf>
    <xf numFmtId="0" fontId="0" fillId="0" borderId="38" xfId="0" applyFont="1" applyBorder="1">
      <alignment horizontal="center" vertical="center"/>
    </xf>
    <xf numFmtId="0" fontId="0" fillId="0" borderId="23" xfId="0" applyFont="1" applyBorder="1">
      <alignment horizontal="center" vertical="center"/>
    </xf>
    <xf numFmtId="0" fontId="0" fillId="0" borderId="20" xfId="0" applyFont="1" applyBorder="1">
      <alignment horizontal="center" vertical="center"/>
    </xf>
    <xf numFmtId="0" fontId="0" fillId="0" borderId="0" xfId="0" applyFont="1">
      <alignment horizontal="center" vertical="center"/>
    </xf>
    <xf numFmtId="49" fontId="23" fillId="0" borderId="20" xfId="0" applyFont="1" applyBorder="1" applyNumberFormat="1">
      <alignment horizontal="left" vertical="center" wrapText="1"/>
    </xf>
    <xf numFmtId="49" fontId="23" fillId="0" borderId="0" xfId="0" applyFont="1" applyNumberFormat="1">
      <alignment horizontal="left" vertical="center" wrapText="1"/>
    </xf>
    <xf numFmtId="49" fontId="0" fillId="0" borderId="0" xfId="0" applyFont="1" applyNumberFormat="1">
      <alignment horizontal="left" vertical="top"/>
    </xf>
    <xf numFmtId="0" fontId="0" fillId="0" borderId="13" xfId="0" applyFont="1" applyBorder="1">
      <alignment horizontal="center" vertical="center" wrapText="1"/>
    </xf>
    <xf numFmtId="49" fontId="56" fillId="36" borderId="29" xfId="0" applyFont="1" applyFill="1" applyBorder="1" applyNumberFormat="1">
      <alignment horizontal="center" vertical="center" wrapText="1"/>
    </xf>
    <xf numFmtId="0" fontId="23" fillId="0" borderId="21" xfId="0" applyFont="1" applyBorder="1">
      <alignment horizontal="left" vertical="center" wrapText="1" indent="1"/>
    </xf>
    <xf numFmtId="0" fontId="23" fillId="0" borderId="18" xfId="0" applyFont="1" applyBorder="1">
      <alignment horizontal="left" vertical="center" wrapText="1" indent="1"/>
    </xf>
    <xf numFmtId="0" fontId="23" fillId="0" borderId="38" xfId="0" applyFont="1" applyBorder="1">
      <alignment horizontal="left" vertical="center" wrapText="1" indent="1"/>
    </xf>
    <xf numFmtId="0" fontId="79" fillId="0" borderId="25" xfId="0" applyFont="1" applyBorder="1">
      <alignment horizontal="left" vertical="center" wrapText="1" indent="1"/>
    </xf>
    <xf numFmtId="0" fontId="79" fillId="0" borderId="37" xfId="0" applyFont="1" applyBorder="1">
      <alignment horizontal="left" vertical="center" wrapText="1" indent="1"/>
    </xf>
    <xf numFmtId="0" fontId="79" fillId="0" borderId="23" xfId="0" applyFont="1" applyBorder="1">
      <alignment horizontal="left" vertical="center" wrapText="1" indent="1"/>
    </xf>
    <xf numFmtId="0" fontId="23" fillId="0" borderId="29" xfId="0" applyFont="1" applyBorder="1">
      <alignment horizontal="left" vertical="center" indent="1"/>
    </xf>
    <xf numFmtId="0" fontId="23" fillId="0" borderId="15" xfId="0" applyFont="1" applyBorder="1">
      <alignment horizontal="center" vertical="center" wrapText="1"/>
    </xf>
    <xf numFmtId="0" fontId="23" fillId="0" borderId="14" xfId="0" applyFont="1" applyBorder="1">
      <alignment horizontal="center" vertical="center" wrapText="1"/>
    </xf>
    <xf numFmtId="0" fontId="0" fillId="0" borderId="18" xfId="0" applyFont="1" applyBorder="1">
      <alignment horizontal="center" vertical="top"/>
    </xf>
    <xf numFmtId="0" fontId="0" fillId="0" borderId="37" xfId="0" applyFont="1" applyBorder="1">
      <alignment horizontal="center" vertical="top"/>
    </xf>
    <xf numFmtId="0" fontId="0" fillId="0" borderId="24" xfId="0" applyFont="1" applyBorder="1">
      <alignment horizontal="center" vertical="top"/>
    </xf>
    <xf numFmtId="0" fontId="23" fillId="0" borderId="18" xfId="0" applyFont="1" applyBorder="1">
      <alignment horizontal="left" vertical="top" wrapText="1"/>
    </xf>
    <xf numFmtId="0" fontId="23" fillId="0" borderId="37" xfId="0" applyFont="1" applyBorder="1">
      <alignment horizontal="left" vertical="top" wrapText="1"/>
    </xf>
    <xf numFmtId="0" fontId="23" fillId="0" borderId="24" xfId="0" applyFont="1" applyBorder="1">
      <alignment horizontal="left" vertical="top" wrapText="1"/>
    </xf>
    <xf numFmtId="0" fontId="23" fillId="42" borderId="18" xfId="0" applyFont="1" applyFill="1" applyBorder="1">
      <alignment horizontal="left" vertical="top" wrapText="1"/>
    </xf>
    <xf numFmtId="0" fontId="23" fillId="42" borderId="37" xfId="0" applyFont="1" applyFill="1" applyBorder="1">
      <alignment horizontal="left" vertical="top" wrapText="1"/>
    </xf>
    <xf numFmtId="0" fontId="23" fillId="42" borderId="24" xfId="0" applyFont="1" applyFill="1" applyBorder="1">
      <alignment horizontal="left" vertical="top" wrapText="1"/>
    </xf>
    <xf numFmtId="0" fontId="0" fillId="0" borderId="0" xfId="0" applyFont="1" quotePrefix="1">
      <alignment horizontal="left" vertical="top" wrapText="1" indent="1"/>
    </xf>
    <xf numFmtId="0" fontId="0" fillId="0" borderId="0" xfId="0" applyFont="1">
      <alignment horizontal="left" vertical="top" wrapText="1" indent="1"/>
    </xf>
    <xf numFmtId="0" fontId="0" fillId="0" borderId="0" xfId="0" applyFont="1">
      <alignment horizontal="left" vertical="top" wrapText="1"/>
    </xf>
    <xf numFmtId="0" fontId="23" fillId="0" borderId="18" xfId="0" applyFont="1" applyBorder="1">
      <alignment horizontal="center" vertical="center" wrapText="1"/>
    </xf>
    <xf numFmtId="0" fontId="22" fillId="0" borderId="29" xfId="0" applyFont="1" applyBorder="1">
      <alignment horizontal="left" vertical="center" wrapText="1" indent="1"/>
    </xf>
    <xf numFmtId="0" fontId="49" fillId="0" borderId="0" xfId="0" applyFont="1">
      <alignment horizontal="left" vertical="center"/>
    </xf>
    <xf numFmtId="0" fontId="49" fillId="0" borderId="25" xfId="0" applyFont="1" applyBorder="1">
      <alignment horizontal="left" vertical="center"/>
    </xf>
    <xf numFmtId="49" fontId="23" fillId="0" borderId="20" xfId="0" applyFont="1" applyBorder="1" applyNumberFormat="1">
      <alignment horizontal="left" vertical="center" wrapText="1"/>
    </xf>
    <xf numFmtId="49" fontId="23" fillId="0" borderId="0" xfId="0" applyFont="1" applyNumberFormat="1">
      <alignment horizontal="left" vertical="center" wrapText="1"/>
    </xf>
    <xf numFmtId="0" fontId="23" fillId="0" borderId="13" xfId="0" applyFont="1" applyBorder="1">
      <alignment horizontal="left" vertical="center" wrapText="1"/>
    </xf>
    <xf numFmtId="0" fontId="23" fillId="0" borderId="38" xfId="0" applyFont="1" applyBorder="1">
      <alignment horizontal="left" vertical="center" wrapText="1"/>
    </xf>
    <xf numFmtId="0" fontId="23" fillId="0" borderId="20" xfId="0" applyFont="1" applyBorder="1">
      <alignment horizontal="center" vertical="center"/>
    </xf>
    <xf numFmtId="0" fontId="23" fillId="0" borderId="0" xfId="0" applyFont="1">
      <alignment horizontal="center" vertical="center"/>
    </xf>
    <xf numFmtId="49" fontId="23" fillId="0" borderId="20" xfId="0" applyFont="1" applyBorder="1" applyNumberFormat="1">
      <alignment horizontal="left" vertical="center" wrapText="1"/>
    </xf>
    <xf numFmtId="49" fontId="23" fillId="0" borderId="0" xfId="0" applyFont="1" applyNumberFormat="1">
      <alignment horizontal="left" vertical="center" wrapText="1"/>
    </xf>
    <xf numFmtId="49" fontId="23" fillId="0" borderId="13" xfId="0" applyFont="1" applyBorder="1" applyNumberFormat="1">
      <alignment horizontal="center" vertical="center"/>
    </xf>
    <xf numFmtId="0" fontId="23" fillId="0" borderId="13" xfId="0" applyFont="1" applyBorder="1">
      <alignment horizontal="left" vertical="center" wrapText="1"/>
    </xf>
    <xf numFmtId="0" fontId="23" fillId="0" borderId="15" xfId="0" applyFont="1" applyBorder="1">
      <alignment horizontal="left" vertical="center" wrapText="1"/>
    </xf>
    <xf numFmtId="49" fontId="23" fillId="42" borderId="18" xfId="0" applyFont="1" applyFill="1" applyBorder="1" applyNumberFormat="1">
      <alignment horizontal="center" vertical="center" wrapText="1"/>
    </xf>
    <xf numFmtId="49" fontId="23" fillId="42" borderId="37" xfId="0" applyFont="1" applyFill="1" applyBorder="1" applyNumberFormat="1">
      <alignment horizontal="center" vertical="center" wrapText="1"/>
    </xf>
    <xf numFmtId="0" fontId="49" fillId="0" borderId="29" xfId="0" applyFont="1" applyBorder="1">
      <alignment horizontal="left" vertical="center"/>
    </xf>
    <xf numFmtId="0" fontId="49" fillId="0" borderId="31" xfId="0" applyFont="1" applyBorder="1">
      <alignment horizontal="left" vertical="center"/>
    </xf>
    <xf numFmtId="49" fontId="23" fillId="0" borderId="18" xfId="0" applyFont="1" applyBorder="1" applyNumberFormat="1">
      <alignment horizontal="center" vertical="center"/>
    </xf>
    <xf numFmtId="0" fontId="23" fillId="0" borderId="18" xfId="0" applyFont="1" applyBorder="1">
      <alignment horizontal="left" vertical="center" wrapText="1"/>
    </xf>
    <xf numFmtId="0" fontId="22" fillId="0" borderId="20" xfId="0" applyFont="1" applyBorder="1">
      <alignment horizontal="left" vertical="center" wrapText="1" indent="1"/>
    </xf>
    <xf numFmtId="0" fontId="23" fillId="0" borderId="38" xfId="0" applyFont="1" applyBorder="1">
      <alignment horizontal="center" vertical="center" wrapText="1"/>
    </xf>
    <xf numFmtId="0" fontId="23" fillId="0" borderId="21" xfId="0" applyFont="1" applyBorder="1">
      <alignment horizontal="center" vertical="center" wrapText="1"/>
    </xf>
    <xf numFmtId="0" fontId="23" fillId="0" borderId="23" xfId="0" applyFont="1" applyBorder="1">
      <alignment horizontal="center" vertical="center" wrapText="1"/>
    </xf>
    <xf numFmtId="0" fontId="23" fillId="0" borderId="25" xfId="0" applyFont="1" applyBorder="1">
      <alignment horizontal="center" vertical="center" wrapText="1"/>
    </xf>
    <xf numFmtId="0" fontId="23" fillId="0" borderId="18" xfId="0" applyFont="1" applyBorder="1">
      <alignment horizontal="center" vertical="center" wrapText="1"/>
    </xf>
    <xf numFmtId="0" fontId="23" fillId="0" borderId="15" xfId="0" applyFont="1" applyBorder="1">
      <alignment horizontal="center" vertical="center" wrapText="1"/>
    </xf>
    <xf numFmtId="0" fontId="23" fillId="0" borderId="16" xfId="0" applyFont="1" applyBorder="1">
      <alignment horizontal="center" vertical="center" wrapText="1"/>
    </xf>
    <xf numFmtId="0" fontId="23" fillId="0" borderId="13" xfId="0" applyFont="1" applyBorder="1">
      <alignment horizontal="center" vertical="center" wrapText="1"/>
    </xf>
    <xf numFmtId="0" fontId="23" fillId="0" borderId="37" xfId="0" applyFont="1" applyBorder="1">
      <alignment horizontal="center" vertical="center" wrapText="1"/>
    </xf>
    <xf numFmtId="0" fontId="23" fillId="0" borderId="28" xfId="0" applyFont="1" applyBorder="1">
      <alignment horizontal="center" vertical="center" wrapText="1"/>
    </xf>
    <xf numFmtId="0" fontId="23" fillId="0" borderId="31" xfId="0" applyFont="1" applyBorder="1">
      <alignment horizontal="center" vertical="center" wrapText="1"/>
    </xf>
    <xf numFmtId="0" fontId="23" fillId="0" borderId="21" xfId="0" applyFont="1" applyBorder="1">
      <alignment horizontal="left" vertical="center" wrapText="1" indent="1"/>
    </xf>
    <xf numFmtId="0" fontId="23" fillId="0" borderId="18" xfId="0" applyFont="1" applyBorder="1">
      <alignment horizontal="left" vertical="center" wrapText="1" indent="1"/>
    </xf>
    <xf numFmtId="0" fontId="23" fillId="0" borderId="38" xfId="0" applyFont="1" applyBorder="1">
      <alignment horizontal="left" vertical="center" wrapText="1" indent="1"/>
    </xf>
    <xf numFmtId="49" fontId="23" fillId="36" borderId="0" xfId="0" applyFont="1" applyFill="1" applyNumberFormat="1">
      <alignment horizontal="center" vertical="center" wrapText="1"/>
    </xf>
    <xf numFmtId="0" fontId="54" fillId="0" borderId="0" xfId="80" applyFont="1">
      <alignment horizontal="right" vertical="top" wrapText="1"/>
    </xf>
    <xf numFmtId="49" fontId="0" fillId="36" borderId="13" xfId="81" applyFont="1" applyFill="1" applyBorder="1" applyNumberFormat="1">
      <alignment horizontal="center" vertical="center" wrapText="1"/>
    </xf>
    <xf numFmtId="49" fontId="23" fillId="36" borderId="13" xfId="81" applyFont="1" applyFill="1" applyBorder="1" applyNumberFormat="1">
      <alignment horizontal="center" vertical="center" wrapText="1"/>
    </xf>
    <xf numFmtId="0" fontId="23" fillId="36" borderId="0" xfId="0" applyFont="1" applyFill="1">
      <alignment horizontal="center" vertical="center" wrapText="1"/>
    </xf>
    <xf numFmtId="0" fontId="54" fillId="0" borderId="0" xfId="80" applyFont="1">
      <alignment horizontal="left" vertical="top" wrapText="1" indent="1"/>
    </xf>
    <xf numFmtId="0" fontId="99" fillId="36" borderId="0" xfId="0" applyFont="1" applyFill="1">
      <alignment horizontal="left" vertical="center" wrapText="1"/>
    </xf>
    <xf numFmtId="0" fontId="0" fillId="36" borderId="13" xfId="0" applyFont="1" applyFill="1" applyBorder="1">
      <alignment horizontal="center" vertical="center" wrapText="1"/>
    </xf>
    <xf numFmtId="0" fontId="23" fillId="36" borderId="13" xfId="0" applyFont="1" applyFill="1" applyBorder="1">
      <alignment horizontal="center" vertical="center" wrapText="1"/>
    </xf>
    <xf numFmtId="0" fontId="23" fillId="36" borderId="25" xfId="0" applyFont="1" applyFill="1" applyBorder="1">
      <alignment horizontal="center" vertical="center" wrapText="1"/>
    </xf>
    <xf numFmtId="0" fontId="23" fillId="0" borderId="29" xfId="0" applyFont="1" applyBorder="1">
      <alignment horizontal="left" vertical="center" wrapText="1" indent="1"/>
    </xf>
    <xf numFmtId="0" fontId="23" fillId="36" borderId="18" xfId="0" applyFont="1" applyFill="1" applyBorder="1">
      <alignment horizontal="left" vertical="top" wrapText="1"/>
    </xf>
    <xf numFmtId="0" fontId="23" fillId="36" borderId="37" xfId="0" applyFont="1" applyFill="1" applyBorder="1">
      <alignment horizontal="left" vertical="top" wrapText="1"/>
    </xf>
    <xf numFmtId="0" fontId="23" fillId="36" borderId="24" xfId="0" applyFont="1" applyFill="1" applyBorder="1">
      <alignment horizontal="left" vertical="top" wrapText="1"/>
    </xf>
    <xf numFmtId="0" fontId="23" fillId="0" borderId="31" xfId="0" applyFont="1" applyBorder="1">
      <alignment horizontal="left" vertical="center" wrapText="1" indent="1"/>
    </xf>
    <xf numFmtId="0" fontId="23" fillId="0" borderId="24" xfId="0" applyFont="1" applyBorder="1">
      <alignment horizontal="left" vertical="center" wrapText="1" indent="1"/>
    </xf>
    <xf numFmtId="0" fontId="23" fillId="0" borderId="28" xfId="0" applyFont="1" applyBorder="1">
      <alignment horizontal="left" vertical="center" wrapText="1" indent="1"/>
    </xf>
    <xf numFmtId="0" fontId="55" fillId="0" borderId="0" xfId="0" applyFont="1">
      <alignment horizontal="center" vertical="center" wrapText="1"/>
    </xf>
    <xf numFmtId="0" fontId="0" fillId="0" borderId="15" xfId="0" applyFont="1" applyBorder="1">
      <alignment horizontal="center" vertical="center" wrapText="1"/>
    </xf>
    <xf numFmtId="0" fontId="0" fillId="0" borderId="16" xfId="0" applyFont="1" applyBorder="1">
      <alignment horizontal="center" vertical="center" wrapText="1"/>
    </xf>
    <xf numFmtId="0" fontId="0" fillId="0" borderId="14" xfId="0" applyFont="1" applyBorder="1">
      <alignment horizontal="center" vertical="center" wrapText="1"/>
    </xf>
    <xf numFmtId="0" fontId="0" fillId="0" borderId="18" xfId="0" applyFont="1" applyBorder="1">
      <alignment horizontal="left" vertical="top" wrapText="1"/>
    </xf>
    <xf numFmtId="0" fontId="0" fillId="0" borderId="24" xfId="0" applyFont="1" applyBorder="1">
      <alignment horizontal="left" vertical="top" wrapText="1"/>
    </xf>
    <xf numFmtId="0" fontId="0" fillId="0" borderId="13" xfId="0" applyFont="1" applyBorder="1">
      <alignment horizontal="center" vertical="center" wrapText="1"/>
    </xf>
    <xf numFmtId="0" fontId="23" fillId="0" borderId="13" xfId="0" applyFont="1" applyBorder="1">
      <alignment horizontal="center" vertical="center" wrapText="1"/>
    </xf>
    <xf numFmtId="0" fontId="0" fillId="0" borderId="13" xfId="0" applyFont="1" applyBorder="1">
      <alignment horizontal="center" vertical="center" wrapText="1"/>
    </xf>
    <xf numFmtId="0" fontId="0" fillId="0" borderId="18" xfId="0" applyFont="1" applyBorder="1">
      <alignment horizontal="center" vertical="center" wrapText="1"/>
    </xf>
    <xf numFmtId="0" fontId="0" fillId="0" borderId="24" xfId="0" applyFont="1" applyBorder="1">
      <alignment horizontal="center" vertical="center" wrapText="1"/>
    </xf>
    <xf numFmtId="0" fontId="0" fillId="0" borderId="38" xfId="0" applyFont="1" applyBorder="1">
      <alignment horizontal="center" vertical="center" wrapText="1"/>
    </xf>
    <xf numFmtId="0" fontId="0" fillId="0" borderId="28" xfId="0" applyFont="1" applyBorder="1">
      <alignment horizontal="center" vertical="center" wrapText="1"/>
    </xf>
    <xf numFmtId="0" fontId="0" fillId="0" borderId="18" xfId="0" applyFont="1" applyBorder="1">
      <alignment horizontal="center" vertical="center" wrapText="1"/>
    </xf>
    <xf numFmtId="0" fontId="0" fillId="0" borderId="24" xfId="0" applyFont="1" applyBorder="1">
      <alignment horizontal="center" vertical="center" wrapText="1"/>
    </xf>
    <xf numFmtId="0" fontId="0" fillId="0" borderId="21" xfId="0" applyFont="1" applyBorder="1">
      <alignment horizontal="center" vertical="center" wrapText="1"/>
    </xf>
    <xf numFmtId="0" fontId="0" fillId="0" borderId="31" xfId="0" applyFont="1" applyBorder="1">
      <alignment horizontal="center" vertical="center" wrapText="1"/>
    </xf>
    <xf numFmtId="0" fontId="23" fillId="0" borderId="18" xfId="0" applyFont="1" applyBorder="1">
      <alignment horizontal="left" vertical="top" wrapText="1"/>
    </xf>
    <xf numFmtId="0" fontId="23" fillId="0" borderId="37" xfId="0" applyFont="1" applyBorder="1">
      <alignment horizontal="left" vertical="top" wrapText="1"/>
    </xf>
    <xf numFmtId="0" fontId="23" fillId="0" borderId="24" xfId="0" applyFont="1" applyBorder="1">
      <alignment horizontal="left" vertical="top" wrapText="1"/>
    </xf>
    <xf numFmtId="0" fontId="23" fillId="0" borderId="38" xfId="0" applyFont="1" applyBorder="1">
      <alignment horizontal="center" vertical="center" wrapText="1"/>
    </xf>
    <xf numFmtId="0" fontId="23" fillId="0" borderId="21" xfId="0" applyFont="1" applyBorder="1">
      <alignment horizontal="center" vertical="center" wrapText="1"/>
    </xf>
    <xf numFmtId="0" fontId="23" fillId="0" borderId="28" xfId="0" applyFont="1" applyBorder="1">
      <alignment horizontal="center" vertical="center" wrapText="1"/>
    </xf>
    <xf numFmtId="0" fontId="23" fillId="0" borderId="31" xfId="0" applyFont="1" applyBorder="1">
      <alignment horizontal="center" vertical="center" wrapText="1"/>
    </xf>
    <xf numFmtId="0" fontId="23" fillId="0" borderId="18" xfId="0" applyFont="1" applyBorder="1">
      <alignment horizontal="center" vertical="center" wrapText="1"/>
    </xf>
    <xf numFmtId="0" fontId="23" fillId="0" borderId="24" xfId="0" applyFont="1" applyBorder="1">
      <alignment horizontal="center" vertical="center" wrapText="1"/>
    </xf>
    <xf numFmtId="49" fontId="0" fillId="0" borderId="38" xfId="0" applyFont="1" applyBorder="1" applyNumberFormat="1">
      <alignment horizontal="center" vertical="center" wrapText="1"/>
    </xf>
    <xf numFmtId="49" fontId="0" fillId="0" borderId="28" xfId="0" applyFont="1" applyBorder="1" applyNumberFormat="1">
      <alignment horizontal="center" vertical="center" wrapText="1"/>
    </xf>
    <xf numFmtId="0" fontId="23" fillId="42" borderId="20" xfId="0" applyFont="1" applyFill="1" applyBorder="1">
      <alignment horizontal="left" vertical="center" wrapText="1"/>
    </xf>
    <xf numFmtId="0" fontId="23" fillId="42" borderId="29" xfId="0" applyFont="1" applyFill="1" applyBorder="1">
      <alignment horizontal="left" vertical="center" wrapText="1"/>
    </xf>
    <xf numFmtId="0" fontId="0" fillId="36" borderId="13" xfId="0" applyFont="1" applyFill="1" applyBorder="1">
      <alignment horizontal="center" vertical="center" wrapText="1"/>
    </xf>
    <xf numFmtId="0" fontId="23" fillId="36" borderId="13" xfId="0" applyFont="1" applyFill="1" applyBorder="1">
      <alignment horizontal="center" vertical="center" wrapText="1"/>
    </xf>
    <xf numFmtId="0" fontId="0" fillId="0" borderId="37" xfId="0" applyFont="1" applyBorder="1">
      <alignment horizontal="left" vertical="top" wrapText="1"/>
    </xf>
    <xf numFmtId="49" fontId="101" fillId="0" borderId="13" xfId="0" applyFont="1" applyBorder="1" applyNumberFormat="1">
      <alignment horizontal="center" vertical="top" wrapText="1"/>
    </xf>
    <xf numFmtId="0" fontId="101" fillId="34" borderId="13" xfId="0" applyFont="1" applyFill="1" applyBorder="1">
      <alignment horizontal="center" vertical="center" wrapText="1"/>
    </xf>
    <xf numFmtId="49" fontId="101" fillId="0" borderId="38" xfId="0" applyFont="1" applyBorder="1" applyNumberFormat="1">
      <alignment horizontal="center" vertical="top" wrapText="1"/>
    </xf>
    <xf numFmtId="49" fontId="101" fillId="0" borderId="28" xfId="0" applyFont="1" applyBorder="1" applyNumberFormat="1">
      <alignment horizontal="center" vertical="top" wrapText="1"/>
    </xf>
    <xf numFmtId="49" fontId="101" fillId="0" borderId="15" xfId="0" applyFont="1" applyBorder="1" applyNumberFormat="1">
      <alignment horizontal="center" vertical="top" wrapText="1"/>
    </xf>
    <xf numFmtId="49" fontId="101" fillId="0" borderId="16" xfId="0" applyFont="1" applyBorder="1" applyNumberFormat="1">
      <alignment horizontal="center" vertical="top" wrapText="1"/>
    </xf>
    <xf numFmtId="49" fontId="101" fillId="0" borderId="14" xfId="0" applyFont="1" applyBorder="1" applyNumberFormat="1">
      <alignment horizontal="center" vertical="top" wrapText="1"/>
    </xf>
    <xf numFmtId="49" fontId="101" fillId="0" borderId="18" xfId="0" applyFont="1" applyBorder="1" applyNumberFormat="1">
      <alignment horizontal="center" vertical="top" wrapText="1"/>
    </xf>
    <xf numFmtId="49" fontId="101" fillId="0" borderId="37" xfId="0" applyFont="1" applyBorder="1" applyNumberFormat="1">
      <alignment horizontal="center" vertical="top" wrapText="1"/>
    </xf>
    <xf numFmtId="49" fontId="101" fillId="0" borderId="24" xfId="0" applyFont="1" applyBorder="1" applyNumberFormat="1">
      <alignment horizontal="center" vertical="top" wrapText="1"/>
    </xf>
    <xf numFmtId="49" fontId="0" fillId="41" borderId="13" xfId="0" applyFont="1" applyFill="1" applyBorder="1" applyNumberFormat="1">
      <alignment horizontal="left" vertical="center" wrapText="1"/>
      <protection locked="0"/>
    </xf>
    <xf numFmtId="49" fontId="56" fillId="0" borderId="13" xfId="0" applyFont="1" applyBorder="1" applyNumberFormat="1">
      <alignment horizontal="center" vertical="center" wrapText="1"/>
    </xf>
    <xf numFmtId="49" fontId="23" fillId="33" borderId="13" xfId="0" applyFont="1" applyFill="1" applyBorder="1" applyNumberFormat="1">
      <alignment horizontal="left" vertical="center" wrapText="1"/>
      <protection locked="0"/>
    </xf>
    <xf numFmtId="49" fontId="0" fillId="0" borderId="13" xfId="0" applyFont="1" applyBorder="1" applyNumberFormat="1">
      <alignment vertical="top"/>
    </xf>
    <xf numFmtId="0" fontId="0" fillId="42" borderId="13" xfId="0" applyFont="1" applyFill="1" applyBorder="1">
      <alignment horizontal="left" vertical="center" wrapText="1"/>
      <protection locked="0"/>
    </xf>
    <xf numFmtId="49" fontId="0" fillId="42" borderId="13" xfId="0" applyFont="1" applyFill="1" applyBorder="1" applyNumberFormat="1">
      <alignment horizontal="left" vertical="center" wrapText="1"/>
      <protection locked="0"/>
    </xf>
    <xf numFmtId="0" fontId="0" fillId="0" borderId="13" xfId="0" applyFont="1" applyBorder="1">
      <alignment horizontal="center" vertical="center"/>
    </xf>
    <xf numFmtId="49" fontId="23" fillId="33" borderId="13" xfId="0" applyFont="1" applyFill="1" applyBorder="1" applyNumberFormat="1">
      <alignment horizontal="left" vertical="center" wrapText="1"/>
      <protection locked="0"/>
    </xf>
    <xf numFmtId="49" fontId="0" fillId="33" borderId="13" xfId="0" applyFont="1" applyFill="1" applyBorder="1" applyNumberFormat="1">
      <alignment horizontal="left" vertical="top"/>
      <protection locked="0"/>
    </xf>
    <xf numFmtId="3" fontId="23" fillId="41" borderId="13" xfId="0" applyFont="1" applyFill="1" applyBorder="1" applyNumberFormat="1">
      <alignment horizontal="center" vertical="center" wrapText="1"/>
      <protection locked="0"/>
    </xf>
    <xf numFmtId="49" fontId="23" fillId="42" borderId="15" xfId="0" applyFont="1" applyFill="1" applyBorder="1" applyNumberFormat="1">
      <alignment horizontal="center" vertical="center" wrapText="1"/>
    </xf>
    <xf numFmtId="49" fontId="112" fillId="0" borderId="14" xfId="0" applyFont="1" applyBorder="1" applyNumberFormat="1">
      <alignment horizontal="center" vertical="center" wrapText="1"/>
    </xf>
    <xf numFmtId="0" fontId="54" fillId="0" borderId="13" xfId="0" applyFont="1" applyBorder="1">
      <alignment horizontal="center" vertical="center"/>
    </xf>
    <xf numFmtId="49" fontId="23" fillId="42" borderId="18" xfId="0" applyFont="1" applyFill="1" applyBorder="1" applyNumberFormat="1">
      <alignment horizontal="left" vertical="center" wrapText="1" indent="1"/>
    </xf>
    <xf numFmtId="49" fontId="23" fillId="42" borderId="37" xfId="0" applyFont="1" applyFill="1" applyBorder="1" applyNumberFormat="1">
      <alignment horizontal="left" vertical="center" wrapText="1" indent="1"/>
    </xf>
    <xf numFmtId="49" fontId="23" fillId="42" borderId="24" xfId="0" applyFont="1" applyFill="1" applyBorder="1" applyNumberFormat="1">
      <alignment horizontal="left" vertical="center" wrapText="1" indent="1"/>
    </xf>
    <xf numFmtId="49" fontId="23" fillId="0" borderId="13" xfId="0" applyFont="1" applyBorder="1" applyNumberFormat="1">
      <alignment horizontal="left" vertical="center" wrapText="1"/>
    </xf>
    <xf numFmtId="49" fontId="23" fillId="38" borderId="13" xfId="0" applyFont="1" applyFill="1" applyBorder="1" applyNumberFormat="1">
      <alignment horizontal="left" vertical="center" wrapText="1"/>
    </xf>
    <xf numFmtId="49" fontId="23" fillId="0" borderId="14" xfId="0" applyFont="1" applyBorder="1" applyNumberFormat="1">
      <alignment horizontal="center" vertical="center" wrapText="1"/>
    </xf>
    <xf numFmtId="49" fontId="23" fillId="42" borderId="14" xfId="0" applyFont="1" applyFill="1" applyBorder="1" applyNumberFormat="1">
      <alignment horizontal="left" vertical="center" wrapText="1"/>
    </xf>
    <xf numFmtId="49" fontId="23" fillId="42" borderId="13" xfId="0" applyFont="1" applyFill="1" applyBorder="1" applyNumberFormat="1">
      <alignment horizontal="left" vertical="center" wrapText="1"/>
    </xf>
    <xf numFmtId="49" fontId="23" fillId="41" borderId="13" xfId="0" applyFont="1" applyFill="1" applyBorder="1" applyNumberFormat="1">
      <alignment horizontal="left" vertical="center" wrapText="1"/>
      <protection locked="0"/>
    </xf>
    <xf numFmtId="49" fontId="23" fillId="0" borderId="13" xfId="0" applyFont="1" applyBorder="1" applyNumberFormat="1">
      <alignment horizontal="center" vertical="center" wrapText="1"/>
    </xf>
    <xf numFmtId="0" fontId="49" fillId="40" borderId="16" xfId="0" applyFont="1" applyFill="1" applyBorder="1">
      <alignment horizontal="left" vertical="center"/>
    </xf>
    <xf numFmtId="0" fontId="49" fillId="40" borderId="14" xfId="0" applyFont="1" applyFill="1" applyBorder="1">
      <alignment horizontal="left" vertical="center"/>
    </xf>
    <xf numFmtId="0" fontId="49" fillId="40" borderId="20" xfId="0" applyFont="1" applyFill="1" applyBorder="1">
      <alignment horizontal="left" vertical="center"/>
    </xf>
    <xf numFmtId="0" fontId="49" fillId="40" borderId="21" xfId="0" applyFont="1" applyFill="1" applyBorder="1">
      <alignment horizontal="left" vertical="center"/>
    </xf>
    <xf numFmtId="49" fontId="23" fillId="41" borderId="13" xfId="0" applyFont="1" applyFill="1" applyBorder="1" applyNumberFormat="1">
      <alignment horizontal="left" vertical="center" wrapText="1"/>
      <protection locked="0"/>
    </xf>
    <xf numFmtId="49" fontId="23" fillId="41" borderId="18" xfId="0" applyFont="1" applyFill="1" applyBorder="1" applyNumberFormat="1">
      <alignment horizontal="left" vertical="center" wrapText="1"/>
      <protection locked="0"/>
    </xf>
    <xf numFmtId="49" fontId="23" fillId="0" borderId="37" xfId="0" applyFont="1" applyBorder="1" applyNumberFormat="1">
      <alignment horizontal="center" vertical="center"/>
    </xf>
    <xf numFmtId="0" fontId="23" fillId="0" borderId="37" xfId="0" applyFont="1" applyBorder="1">
      <alignment horizontal="center" vertical="center" wrapText="1"/>
    </xf>
    <xf numFmtId="0" fontId="23" fillId="0" borderId="37" xfId="0" applyFont="1" applyBorder="1">
      <alignment horizontal="center" vertical="center" wrapText="1"/>
    </xf>
    <xf numFmtId="49" fontId="23" fillId="42" borderId="18" xfId="0" applyFont="1" applyFill="1" applyBorder="1" applyNumberFormat="1">
      <alignment horizontal="center" vertical="center" wrapText="1"/>
    </xf>
    <xf numFmtId="49" fontId="23" fillId="42" borderId="37" xfId="0" applyFont="1" applyFill="1" applyBorder="1" applyNumberFormat="1">
      <alignment horizontal="center" vertical="center" wrapText="1"/>
    </xf>
    <xf numFmtId="0" fontId="23" fillId="42" borderId="18" xfId="0" applyFont="1" applyFill="1" applyBorder="1">
      <alignment horizontal="left" vertical="center" wrapText="1"/>
    </xf>
    <xf numFmtId="0" fontId="23" fillId="42" borderId="37" xfId="0" applyFont="1" applyFill="1" applyBorder="1">
      <alignment horizontal="left" vertical="center" wrapText="1"/>
    </xf>
    <xf numFmtId="49" fontId="23" fillId="42" borderId="18" xfId="0" applyFont="1" applyFill="1" applyBorder="1" applyNumberFormat="1">
      <alignment horizontal="left" vertical="center" wrapText="1"/>
    </xf>
    <xf numFmtId="49" fontId="23" fillId="42" borderId="24" xfId="0" applyFont="1" applyFill="1" applyBorder="1" applyNumberFormat="1">
      <alignment horizontal="left" vertical="center" wrapText="1"/>
    </xf>
    <xf numFmtId="0" fontId="23" fillId="0" borderId="25" xfId="0" applyFont="1" applyBorder="1">
      <alignment horizontal="center" vertical="center"/>
    </xf>
    <xf numFmtId="49" fontId="23" fillId="33" borderId="18" xfId="0" applyFont="1" applyFill="1" applyBorder="1" applyNumberFormat="1">
      <alignment horizontal="left" vertical="center" wrapText="1"/>
      <protection locked="0"/>
    </xf>
    <xf numFmtId="49" fontId="49" fillId="40" borderId="52" xfId="0" applyFont="1" applyFill="1" applyBorder="1" applyNumberFormat="1">
      <alignment horizontal="left" vertical="center" indent="1"/>
    </xf>
    <xf numFmtId="49" fontId="23" fillId="38" borderId="13" xfId="0" applyFont="1" applyFill="1" applyBorder="1" applyNumberFormat="1">
      <alignment horizontal="center" vertical="center" wrapText="1"/>
    </xf>
    <xf numFmtId="49" fontId="23" fillId="38" borderId="59" xfId="0" applyFont="1" applyFill="1" applyBorder="1" applyNumberFormat="1">
      <alignment horizontal="center" vertical="center" wrapText="1"/>
    </xf>
    <xf numFmtId="49" fontId="23" fillId="42" borderId="13" xfId="0" applyFont="1" applyFill="1" applyBorder="1" applyNumberFormat="1">
      <alignment horizontal="center" vertical="top" wrapText="1"/>
    </xf>
    <xf numFmtId="49" fontId="23" fillId="42" borderId="15" xfId="0" applyFont="1" applyFill="1" applyBorder="1" applyNumberFormat="1">
      <alignment horizontal="center" vertical="top" wrapText="1"/>
    </xf>
    <xf numFmtId="0" fontId="23" fillId="33" borderId="13" xfId="0" applyFont="1" applyFill="1" applyBorder="1">
      <alignment horizontal="left" vertical="top" wrapText="1"/>
      <protection locked="0"/>
    </xf>
    <xf numFmtId="250" fontId="0" fillId="33" borderId="13" xfId="0" applyFont="1" applyFill="1" applyBorder="1" applyNumberFormat="1">
      <alignment horizontal="center" vertical="top" wrapText="1"/>
      <protection locked="0"/>
    </xf>
    <xf numFmtId="49" fontId="0" fillId="33" borderId="13" xfId="0" applyFont="1" applyFill="1" applyBorder="1" applyNumberFormat="1">
      <alignment horizontal="center" vertical="top" wrapText="1"/>
      <protection locked="0"/>
    </xf>
    <xf numFmtId="49" fontId="23" fillId="41" borderId="13" xfId="0" applyFont="1" applyFill="1" applyBorder="1" applyNumberFormat="1">
      <alignment horizontal="left" vertical="top" wrapText="1"/>
      <protection locked="0"/>
    </xf>
    <xf numFmtId="49" fontId="0" fillId="38" borderId="13" xfId="0" applyFont="1" applyFill="1" applyBorder="1" applyNumberFormat="1">
      <alignment horizontal="center" vertical="top" wrapText="1"/>
    </xf>
    <xf numFmtId="0" fontId="23" fillId="38" borderId="13" xfId="0" applyFont="1" applyFill="1" applyBorder="1">
      <alignment horizontal="center" vertical="top" wrapText="1"/>
    </xf>
    <xf numFmtId="0" fontId="23" fillId="42" borderId="13" xfId="0" applyFont="1" applyFill="1" applyBorder="1">
      <alignment horizontal="center" vertical="center" wrapText="1"/>
    </xf>
    <xf numFmtId="14" fontId="87" fillId="0" borderId="18" xfId="0" applyFont="1" applyBorder="1" applyNumberFormat="1">
      <alignment horizontal="center" vertical="center" wrapText="1"/>
    </xf>
    <xf numFmtId="14" fontId="87" fillId="0" borderId="37" xfId="0" applyFont="1" applyBorder="1" applyNumberFormat="1">
      <alignment horizontal="center" vertical="center" wrapText="1"/>
    </xf>
    <xf numFmtId="0" fontId="81" fillId="0" borderId="13" xfId="0" applyFont="1" applyBorder="1">
      <alignment horizontal="left" vertical="center" wrapText="1" indent="1"/>
    </xf>
    <xf numFmtId="0" fontId="81" fillId="0" borderId="13" xfId="0" applyFont="1" applyBorder="1">
      <alignment horizontal="left" vertical="top" indent="1"/>
    </xf>
    <xf numFmtId="0" fontId="45" fillId="0" borderId="13" xfId="0" applyFont="1" applyBorder="1">
      <alignment horizontal="center" vertical="center" wrapText="1"/>
    </xf>
    <xf numFmtId="0" fontId="23" fillId="42" borderId="13" xfId="0" applyFont="1" applyFill="1" applyBorder="1">
      <alignment horizontal="left" vertical="center" wrapText="1" indent="1"/>
    </xf>
    <xf numFmtId="0" fontId="0" fillId="0" borderId="13" xfId="0" applyFont="1" applyBorder="1">
      <alignment horizontal="center" vertical="center"/>
    </xf>
    <xf numFmtId="0" fontId="23" fillId="0" borderId="13" xfId="0" applyFont="1" applyBorder="1">
      <alignment horizontal="center" vertical="center" wrapText="1"/>
    </xf>
    <xf numFmtId="0" fontId="55" fillId="0" borderId="0" xfId="0" applyFont="1">
      <alignment horizontal="center" vertical="top"/>
    </xf>
    <xf numFmtId="0" fontId="0" fillId="0" borderId="15" xfId="0" applyFont="1" applyBorder="1">
      <alignment horizontal="right" vertical="center" wrapText="1" indent="1"/>
    </xf>
    <xf numFmtId="0" fontId="0" fillId="0" borderId="16" xfId="0" applyFont="1" applyBorder="1">
      <alignment horizontal="right" vertical="center" wrapText="1" indent="1"/>
    </xf>
    <xf numFmtId="0" fontId="0" fillId="0" borderId="14" xfId="0" applyFont="1" applyBorder="1">
      <alignment horizontal="right" vertical="center" wrapText="1" indent="1"/>
    </xf>
    <xf numFmtId="0" fontId="0" fillId="38" borderId="13" xfId="0" applyFont="1" applyFill="1" applyBorder="1">
      <alignment horizontal="left" vertical="center" wrapText="1" indent="1"/>
    </xf>
    <xf numFmtId="49" fontId="46" fillId="0" borderId="18" xfId="0" applyFont="1" applyBorder="1" applyNumberFormat="1">
      <alignment horizontal="center" vertical="top" wrapText="1"/>
    </xf>
    <xf numFmtId="49" fontId="23" fillId="0" borderId="37" xfId="0" applyFont="1" applyBorder="1" applyNumberFormat="1">
      <alignment horizontal="center" vertical="top" wrapText="1"/>
    </xf>
    <xf numFmtId="49" fontId="23" fillId="0" borderId="24" xfId="0" applyFont="1" applyBorder="1" applyNumberFormat="1">
      <alignment horizontal="center" vertical="top" wrapText="1"/>
    </xf>
    <xf numFmtId="49" fontId="23" fillId="41" borderId="15" xfId="0" applyFont="1" applyFill="1" applyBorder="1" applyNumberFormat="1">
      <alignment horizontal="left" vertical="center" wrapText="1" indent="1"/>
      <protection locked="0"/>
    </xf>
    <xf numFmtId="49" fontId="23" fillId="41" borderId="13" xfId="0" applyFont="1" applyFill="1" applyBorder="1" applyNumberFormat="1">
      <alignment horizontal="left" vertical="center" wrapText="1" indent="1"/>
      <protection locked="0"/>
    </xf>
    <xf numFmtId="0" fontId="0" fillId="0" borderId="13" xfId="0" applyFont="1" applyBorder="1">
      <alignment horizontal="center" vertical="center" wrapText="1"/>
    </xf>
    <xf numFmtId="0" fontId="23" fillId="0" borderId="13" xfId="0" applyFont="1" applyBorder="1">
      <alignment horizontal="left" vertical="center" wrapText="1"/>
    </xf>
    <xf numFmtId="0" fontId="0" fillId="41" borderId="13" xfId="0" applyFont="1" applyFill="1" applyBorder="1">
      <alignment horizontal="left" vertical="center" wrapText="1"/>
      <protection locked="0"/>
    </xf>
    <xf numFmtId="49" fontId="0" fillId="41" borderId="15" xfId="0" applyFont="1" applyFill="1" applyBorder="1" applyNumberFormat="1">
      <alignment horizontal="left" vertical="center" wrapText="1"/>
      <protection locked="0"/>
    </xf>
    <xf numFmtId="49" fontId="0" fillId="41" borderId="13" xfId="0" applyFont="1" applyFill="1" applyBorder="1" applyNumberFormat="1">
      <alignment horizontal="left" vertical="center" wrapText="1"/>
      <protection locked="0"/>
    </xf>
    <xf numFmtId="0" fontId="23" fillId="0" borderId="24" xfId="0" applyFont="1" applyBorder="1">
      <alignment horizontal="left" vertical="center" wrapText="1"/>
    </xf>
    <xf numFmtId="0" fontId="56" fillId="0" borderId="0" xfId="0" applyFont="1">
      <alignment horizontal="center" vertical="center" wrapText="1"/>
    </xf>
    <xf numFmtId="49" fontId="23" fillId="0" borderId="18" xfId="0" applyFont="1" applyBorder="1" applyNumberFormat="1">
      <alignment horizontal="center" vertical="center" wrapText="1"/>
    </xf>
    <xf numFmtId="49" fontId="23" fillId="0" borderId="37" xfId="0" applyFont="1" applyBorder="1" applyNumberFormat="1">
      <alignment horizontal="center" vertical="center" wrapText="1"/>
    </xf>
    <xf numFmtId="49" fontId="23" fillId="0" borderId="24" xfId="0" applyFont="1" applyBorder="1" applyNumberFormat="1">
      <alignment horizontal="center" vertical="center" wrapText="1"/>
    </xf>
    <xf numFmtId="49" fontId="112" fillId="0" borderId="13" xfId="0" applyFont="1" applyBorder="1" applyNumberFormat="1">
      <alignment horizontal="center" vertical="center" wrapText="1"/>
    </xf>
    <xf numFmtId="49" fontId="23" fillId="0" borderId="13" xfId="0" applyFont="1" applyBorder="1" applyNumberFormat="1">
      <alignment horizontal="center" vertical="top" wrapText="1"/>
    </xf>
    <xf numFmtId="0" fontId="0" fillId="38" borderId="13" xfId="0" applyFont="1" applyFill="1" applyBorder="1">
      <alignment horizontal="left" vertical="top" wrapText="1" indent="1"/>
    </xf>
    <xf numFmtId="49" fontId="23" fillId="42" borderId="18" xfId="0" applyFont="1" applyFill="1" applyBorder="1" applyNumberFormat="1">
      <alignment horizontal="center" vertical="top" wrapText="1"/>
    </xf>
    <xf numFmtId="49" fontId="23" fillId="42" borderId="24" xfId="0" applyFont="1" applyFill="1" applyBorder="1" applyNumberFormat="1">
      <alignment horizontal="center" vertical="top" wrapText="1"/>
    </xf>
    <xf numFmtId="250" fontId="0" fillId="41" borderId="13" xfId="0" applyFont="1" applyFill="1" applyBorder="1" applyNumberFormat="1">
      <alignment horizontal="center" vertical="top" wrapText="1"/>
      <protection locked="0"/>
    </xf>
    <xf numFmtId="49" fontId="0" fillId="41" borderId="13" xfId="0" applyFont="1" applyFill="1" applyBorder="1" applyNumberFormat="1">
      <alignment horizontal="center" vertical="top" wrapText="1"/>
      <protection locked="0"/>
    </xf>
    <xf numFmtId="49" fontId="23" fillId="42" borderId="13" xfId="0" applyFont="1" applyFill="1" applyBorder="1" applyNumberFormat="1">
      <alignment horizontal="left" vertical="top" wrapText="1"/>
    </xf>
    <xf numFmtId="0" fontId="23" fillId="0" borderId="21" xfId="0" applyFont="1" applyBorder="1">
      <alignment horizontal="left" vertical="center" wrapText="1" indent="1"/>
    </xf>
    <xf numFmtId="0" fontId="23" fillId="0" borderId="18" xfId="0" applyFont="1" applyBorder="1">
      <alignment horizontal="left" vertical="center" wrapText="1" indent="1"/>
    </xf>
    <xf numFmtId="0" fontId="23" fillId="0" borderId="38" xfId="0" applyFont="1" applyBorder="1">
      <alignment horizontal="left" vertical="center" wrapText="1" indent="1"/>
    </xf>
    <xf numFmtId="0" fontId="23" fillId="0" borderId="31" xfId="0" applyFont="1" applyBorder="1">
      <alignment horizontal="left" vertical="center" wrapText="1" indent="1"/>
    </xf>
    <xf numFmtId="0" fontId="23" fillId="0" borderId="24" xfId="0" applyFont="1" applyBorder="1">
      <alignment horizontal="left" vertical="center" wrapText="1" indent="1"/>
    </xf>
    <xf numFmtId="0" fontId="23" fillId="0" borderId="28" xfId="0" applyFont="1" applyBorder="1">
      <alignment horizontal="left" vertical="center" wrapText="1" indent="1"/>
    </xf>
    <xf numFmtId="0" fontId="23" fillId="36" borderId="13" xfId="0" applyFont="1" applyFill="1" applyBorder="1">
      <alignment horizontal="center" vertical="center"/>
    </xf>
    <xf numFmtId="4" fontId="23" fillId="38" borderId="15" xfId="0" applyFont="1" applyFill="1" applyBorder="1" applyNumberFormat="1">
      <alignment horizontal="left" vertical="center" wrapText="1"/>
    </xf>
    <xf numFmtId="4" fontId="23" fillId="38" borderId="16" xfId="0" applyFont="1" applyFill="1" applyBorder="1" applyNumberFormat="1">
      <alignment horizontal="left" vertical="center" wrapText="1"/>
    </xf>
    <xf numFmtId="4" fontId="23" fillId="38" borderId="14" xfId="0" applyFont="1" applyFill="1" applyBorder="1" applyNumberFormat="1">
      <alignment horizontal="left" vertical="center" wrapText="1"/>
    </xf>
    <xf numFmtId="0" fontId="23" fillId="42" borderId="15" xfId="0" applyFont="1" applyFill="1" applyBorder="1">
      <alignment horizontal="left" vertical="center" wrapText="1"/>
    </xf>
    <xf numFmtId="0" fontId="23" fillId="42" borderId="16" xfId="0" applyFont="1" applyFill="1" applyBorder="1">
      <alignment horizontal="left" vertical="center" wrapText="1"/>
    </xf>
    <xf numFmtId="0" fontId="23" fillId="42" borderId="14" xfId="0" applyFont="1" applyFill="1" applyBorder="1">
      <alignment horizontal="left" vertical="center" wrapText="1"/>
    </xf>
    <xf numFmtId="0" fontId="22" fillId="0" borderId="20" xfId="0" applyFont="1" applyBorder="1">
      <alignment horizontal="left" vertical="center" wrapText="1" indent="1"/>
    </xf>
    <xf numFmtId="0" fontId="22" fillId="0" borderId="29" xfId="0" applyFont="1" applyBorder="1">
      <alignment horizontal="left" vertical="center" wrapText="1" indent="1"/>
    </xf>
    <xf numFmtId="0" fontId="0" fillId="36" borderId="13" xfId="80" applyFont="1" applyFill="1" applyBorder="1">
      <alignment horizontal="right" vertical="center" wrapText="1" indent="1"/>
    </xf>
    <xf numFmtId="0" fontId="23" fillId="38" borderId="13" xfId="0" applyFont="1" applyFill="1" applyBorder="1">
      <alignment horizontal="left" vertical="center" wrapText="1" indent="1"/>
    </xf>
    <xf numFmtId="0" fontId="46" fillId="0" borderId="29" xfId="0" applyFont="1" applyBorder="1">
      <alignment horizontal="center" vertical="center" wrapText="1"/>
    </xf>
    <xf numFmtId="0" fontId="54" fillId="0" borderId="18" xfId="0" applyFont="1" applyBorder="1">
      <alignment horizontal="left" vertical="top" wrapText="1"/>
    </xf>
    <xf numFmtId="0" fontId="54" fillId="0" borderId="37" xfId="0" applyFont="1" applyBorder="1">
      <alignment horizontal="left" vertical="top" wrapText="1"/>
    </xf>
    <xf numFmtId="0" fontId="54" fillId="0" borderId="24" xfId="0" applyFont="1" applyBorder="1">
      <alignment horizontal="left" vertical="top" wrapText="1"/>
    </xf>
    <xf numFmtId="0" fontId="55" fillId="0" borderId="13" xfId="0" applyFont="1" applyBorder="1">
      <alignment horizontal="center" vertical="center" wrapText="1"/>
    </xf>
    <xf numFmtId="0" fontId="56" fillId="0" borderId="0" xfId="0" applyFont="1">
      <alignment horizontal="center" vertical="center" wrapText="1"/>
    </xf>
    <xf numFmtId="0" fontId="55" fillId="0" borderId="13" xfId="0" applyFont="1" applyBorder="1">
      <alignment horizontal="center" vertical="center"/>
    </xf>
    <xf numFmtId="0" fontId="55" fillId="0" borderId="15" xfId="0" applyFont="1" applyBorder="1">
      <alignment horizontal="center" vertical="center"/>
    </xf>
    <xf numFmtId="0" fontId="23" fillId="0" borderId="18" xfId="0" applyFont="1" applyBorder="1">
      <alignment horizontal="center" vertical="center" wrapText="1"/>
    </xf>
    <xf numFmtId="0" fontId="23" fillId="0" borderId="24" xfId="0" applyFont="1" applyBorder="1">
      <alignment horizontal="center" vertical="center" wrapText="1"/>
    </xf>
    <xf numFmtId="0" fontId="23" fillId="0" borderId="15" xfId="0" applyFont="1" applyBorder="1">
      <alignment horizontal="center" vertical="center" wrapText="1"/>
    </xf>
    <xf numFmtId="0" fontId="23" fillId="0" borderId="14" xfId="0" applyFont="1" applyBorder="1">
      <alignment horizontal="center" vertical="center" wrapText="1"/>
    </xf>
    <xf numFmtId="250" fontId="0" fillId="41" borderId="13" xfId="0" applyFont="1" applyFill="1" applyBorder="1" applyNumberFormat="1">
      <alignment horizontal="center" vertical="center" wrapText="1"/>
      <protection locked="0"/>
    </xf>
    <xf numFmtId="49" fontId="0" fillId="41" borderId="13" xfId="0" applyFont="1" applyFill="1" applyBorder="1" applyNumberFormat="1">
      <alignment horizontal="center" vertical="center" wrapText="1"/>
      <protection locked="0"/>
    </xf>
    <xf numFmtId="250" fontId="55" fillId="0" borderId="13" xfId="0" applyFont="1" applyBorder="1" applyNumberFormat="1">
      <alignment horizontal="center" vertical="center" wrapText="1"/>
    </xf>
    <xf numFmtId="49" fontId="55" fillId="0" borderId="13" xfId="0" applyFont="1" applyBorder="1" applyNumberFormat="1">
      <alignment horizontal="center" vertical="center" wrapText="1"/>
    </xf>
    <xf numFmtId="0" fontId="23" fillId="0" borderId="15" xfId="0" applyFont="1" applyBorder="1">
      <alignment horizontal="center" vertical="center" wrapText="1"/>
    </xf>
    <xf numFmtId="0" fontId="23" fillId="0" borderId="16" xfId="0" applyFont="1" applyBorder="1">
      <alignment horizontal="center" vertical="center" wrapText="1"/>
    </xf>
    <xf numFmtId="0" fontId="23" fillId="0" borderId="14" xfId="0" applyFont="1" applyBorder="1">
      <alignment horizontal="center" vertical="center" wrapText="1"/>
    </xf>
    <xf numFmtId="0" fontId="0" fillId="0" borderId="15" xfId="0" applyFont="1" applyBorder="1">
      <alignment horizontal="center" vertical="center" wrapText="1"/>
    </xf>
    <xf numFmtId="0" fontId="0" fillId="0" borderId="14" xfId="0" applyFont="1" applyBorder="1">
      <alignment horizontal="center" vertical="center" wrapText="1"/>
    </xf>
    <xf numFmtId="0" fontId="86" fillId="36" borderId="20" xfId="0" applyFont="1" applyFill="1" applyBorder="1">
      <alignment horizontal="center" vertical="center" wrapText="1"/>
    </xf>
    <xf numFmtId="0" fontId="23" fillId="36" borderId="13" xfId="0" applyFont="1" applyFill="1" applyBorder="1">
      <alignment horizontal="left" vertical="center" wrapText="1"/>
    </xf>
    <xf numFmtId="0" fontId="0" fillId="36" borderId="15" xfId="0" applyFont="1" applyFill="1" applyBorder="1">
      <alignment horizontal="center" vertical="center" wrapText="1"/>
    </xf>
    <xf numFmtId="0" fontId="0" fillId="36" borderId="16" xfId="0" applyFont="1" applyFill="1" applyBorder="1">
      <alignment horizontal="center" vertical="center" wrapText="1"/>
    </xf>
    <xf numFmtId="0" fontId="0" fillId="36" borderId="14" xfId="0" applyFont="1" applyFill="1" applyBorder="1">
      <alignment horizontal="center" vertical="center" wrapText="1"/>
    </xf>
    <xf numFmtId="0" fontId="23" fillId="36" borderId="18" xfId="0" applyFont="1" applyFill="1" applyBorder="1">
      <alignment horizontal="center" vertical="center" wrapText="1"/>
    </xf>
    <xf numFmtId="0" fontId="23" fillId="36" borderId="37" xfId="0" applyFont="1" applyFill="1" applyBorder="1">
      <alignment horizontal="center" vertical="center" wrapText="1"/>
    </xf>
    <xf numFmtId="0" fontId="23" fillId="36" borderId="24" xfId="0" applyFont="1" applyFill="1" applyBorder="1">
      <alignment horizontal="center" vertical="center" wrapText="1"/>
    </xf>
    <xf numFmtId="49" fontId="49" fillId="40" borderId="18" xfId="0" applyFont="1" applyFill="1" applyBorder="1" applyNumberFormat="1">
      <alignment horizontal="center" vertical="center" textRotation="90" wrapText="1"/>
    </xf>
    <xf numFmtId="49" fontId="49" fillId="40" borderId="37" xfId="0" applyFont="1" applyFill="1" applyBorder="1" applyNumberFormat="1">
      <alignment horizontal="center" vertical="center" textRotation="90" wrapText="1"/>
    </xf>
    <xf numFmtId="49" fontId="49" fillId="40" borderId="24" xfId="0" applyFont="1" applyFill="1" applyBorder="1" applyNumberFormat="1">
      <alignment horizontal="center" vertical="center" textRotation="90" wrapText="1"/>
    </xf>
    <xf numFmtId="0" fontId="55" fillId="0" borderId="18" xfId="0" applyFont="1" applyBorder="1">
      <alignment horizontal="center" vertical="center" wrapText="1"/>
    </xf>
    <xf numFmtId="0" fontId="55" fillId="0" borderId="24" xfId="0" applyFont="1" applyBorder="1">
      <alignment horizontal="center" vertical="center" wrapText="1"/>
    </xf>
    <xf numFmtId="0" fontId="23" fillId="0" borderId="0" xfId="0" applyFont="1">
      <alignment horizontal="left" vertical="top" wrapText="1"/>
    </xf>
    <xf numFmtId="0" fontId="55" fillId="0" borderId="13" xfId="0" applyFont="1" applyBorder="1">
      <alignment horizontal="center" vertical="center" wrapText="1"/>
    </xf>
    <xf numFmtId="0" fontId="55" fillId="0" borderId="15" xfId="0" applyFont="1" applyBorder="1">
      <alignment horizontal="center" vertical="center" wrapText="1"/>
    </xf>
    <xf numFmtId="0" fontId="55" fillId="0" borderId="15" xfId="0" applyFont="1" applyBorder="1">
      <alignment horizontal="center" vertical="center" wrapText="1"/>
    </xf>
    <xf numFmtId="250" fontId="0" fillId="41" borderId="18" xfId="0" applyFont="1" applyFill="1" applyBorder="1" applyNumberFormat="1">
      <alignment horizontal="center" vertical="center" wrapText="1"/>
      <protection locked="0"/>
    </xf>
    <xf numFmtId="49" fontId="0" fillId="41" borderId="24" xfId="0" applyFont="1" applyFill="1" applyBorder="1" applyNumberFormat="1">
      <alignment horizontal="center" vertical="center" wrapText="1"/>
      <protection locked="0"/>
    </xf>
    <xf numFmtId="0" fontId="0" fillId="36" borderId="20" xfId="0" applyFont="1" applyFill="1" applyBorder="1">
      <alignment horizontal="center" vertical="center" wrapText="1"/>
    </xf>
    <xf numFmtId="0" fontId="56" fillId="0" borderId="18" xfId="0" applyFont="1" applyBorder="1">
      <alignment horizontal="center" vertical="center" wrapText="1"/>
    </xf>
    <xf numFmtId="0" fontId="56" fillId="0" borderId="24" xfId="0" applyFont="1" applyBorder="1">
      <alignment horizontal="center" vertical="center" wrapText="1"/>
    </xf>
    <xf numFmtId="0" fontId="23" fillId="0" borderId="38" xfId="0" applyFont="1" applyBorder="1">
      <alignment horizontal="center" vertical="center" wrapText="1"/>
    </xf>
    <xf numFmtId="0" fontId="23" fillId="0" borderId="28" xfId="0" applyFont="1" applyBorder="1">
      <alignment horizontal="center" vertical="center" wrapText="1"/>
    </xf>
    <xf numFmtId="0" fontId="56" fillId="0" borderId="15" xfId="0" applyFont="1" applyBorder="1">
      <alignment horizontal="left" vertical="center" wrapText="1"/>
    </xf>
    <xf numFmtId="0" fontId="56" fillId="0" borderId="16" xfId="0" applyFont="1" applyBorder="1">
      <alignment horizontal="left" vertical="center" wrapText="1"/>
    </xf>
    <xf numFmtId="0" fontId="56" fillId="0" borderId="14" xfId="0" applyFont="1" applyBorder="1">
      <alignment horizontal="left" vertical="center" wrapText="1"/>
    </xf>
    <xf numFmtId="0" fontId="0" fillId="0" borderId="0" xfId="0" applyFont="1">
      <alignment horizontal="left" vertical="top" wrapText="1"/>
    </xf>
    <xf numFmtId="0" fontId="23" fillId="0" borderId="13" xfId="0" applyFont="1" applyBorder="1">
      <alignment horizontal="center" vertical="center"/>
    </xf>
    <xf numFmtId="0" fontId="23" fillId="0" borderId="15" xfId="0" applyFont="1" applyBorder="1">
      <alignment horizontal="center" vertical="center"/>
    </xf>
    <xf numFmtId="0" fontId="23" fillId="0" borderId="13" xfId="0" applyFont="1" applyBorder="1">
      <alignment horizontal="center" vertical="center" wrapText="1"/>
    </xf>
    <xf numFmtId="0" fontId="23" fillId="0" borderId="15" xfId="0" applyFont="1" applyBorder="1">
      <alignment horizontal="center" vertical="center" wrapText="1"/>
    </xf>
    <xf numFmtId="0" fontId="23" fillId="42" borderId="20" xfId="0" applyFont="1" applyFill="1" applyBorder="1">
      <alignment horizontal="left" vertical="center" wrapText="1"/>
    </xf>
    <xf numFmtId="0" fontId="23" fillId="42" borderId="21" xfId="0" applyFont="1" applyFill="1" applyBorder="1">
      <alignment horizontal="left" vertical="center" wrapText="1"/>
    </xf>
    <xf numFmtId="49" fontId="0" fillId="41" borderId="13" xfId="0" applyFont="1" applyFill="1" applyBorder="1" applyNumberFormat="1">
      <alignment horizontal="center" vertical="center" wrapText="1"/>
      <protection locked="0"/>
    </xf>
    <xf numFmtId="0" fontId="23" fillId="0" borderId="13" xfId="0" applyFont="1" applyBorder="1">
      <alignment horizontal="center" vertical="center"/>
    </xf>
    <xf numFmtId="0" fontId="23" fillId="0" borderId="15" xfId="0" applyFont="1" applyBorder="1">
      <alignment horizontal="center" vertical="center"/>
    </xf>
    <xf numFmtId="0" fontId="23" fillId="0" borderId="13" xfId="0" applyFont="1" applyBorder="1">
      <alignment horizontal="center" vertical="center" wrapText="1"/>
    </xf>
    <xf numFmtId="0" fontId="23" fillId="0" borderId="38" xfId="0" applyFont="1" applyBorder="1">
      <alignment horizontal="center" vertical="center" wrapText="1"/>
    </xf>
    <xf numFmtId="0" fontId="23" fillId="0" borderId="20" xfId="0" applyFont="1" applyBorder="1">
      <alignment horizontal="center" vertical="center" wrapText="1"/>
    </xf>
    <xf numFmtId="0" fontId="23" fillId="0" borderId="21" xfId="0" applyFont="1" applyBorder="1">
      <alignment horizontal="center" vertical="center" wrapText="1"/>
    </xf>
    <xf numFmtId="0" fontId="23" fillId="0" borderId="28" xfId="0" applyFont="1" applyBorder="1">
      <alignment horizontal="center" vertical="center" wrapText="1"/>
    </xf>
    <xf numFmtId="0" fontId="23" fillId="0" borderId="29" xfId="0" applyFont="1" applyBorder="1">
      <alignment horizontal="center" vertical="center" wrapText="1"/>
    </xf>
    <xf numFmtId="0" fontId="23" fillId="0" borderId="31" xfId="0" applyFont="1" applyBorder="1">
      <alignment horizontal="center" vertical="center" wrapText="1"/>
    </xf>
    <xf numFmtId="0" fontId="0" fillId="0" borderId="18" xfId="0" applyFont="1" applyBorder="1">
      <alignment horizontal="center" vertical="center" wrapText="1"/>
    </xf>
    <xf numFmtId="0" fontId="0" fillId="0" borderId="37" xfId="0" applyFont="1" applyBorder="1">
      <alignment horizontal="center" vertical="center" wrapText="1"/>
    </xf>
    <xf numFmtId="0" fontId="0" fillId="0" borderId="24" xfId="0" applyFont="1" applyBorder="1">
      <alignment horizontal="center" vertical="center" wrapText="1"/>
    </xf>
    <xf numFmtId="0" fontId="0" fillId="0" borderId="15" xfId="0" applyFont="1" applyBorder="1">
      <alignment horizontal="center" vertical="center" wrapText="1"/>
    </xf>
    <xf numFmtId="0" fontId="0" fillId="0" borderId="16" xfId="0" applyFont="1" applyBorder="1">
      <alignment horizontal="center" vertical="center" wrapText="1"/>
    </xf>
    <xf numFmtId="0" fontId="0" fillId="0" borderId="14" xfId="0" applyFont="1" applyBorder="1">
      <alignment horizontal="center" vertical="center" wrapText="1"/>
    </xf>
    <xf numFmtId="0" fontId="0" fillId="0" borderId="18" xfId="0" applyFont="1" applyBorder="1">
      <alignment horizontal="center" vertical="center" wrapText="1"/>
    </xf>
    <xf numFmtId="0" fontId="0" fillId="0" borderId="24" xfId="0" applyFont="1" applyBorder="1">
      <alignment horizontal="center" vertical="center" wrapText="1"/>
    </xf>
    <xf numFmtId="0" fontId="0" fillId="0" borderId="38" xfId="0" applyFont="1" applyBorder="1">
      <alignment horizontal="center" vertical="center" wrapText="1"/>
    </xf>
    <xf numFmtId="0" fontId="0" fillId="0" borderId="21" xfId="0" applyFont="1" applyBorder="1">
      <alignment horizontal="center" vertical="center" wrapText="1"/>
    </xf>
    <xf numFmtId="0" fontId="0" fillId="0" borderId="28" xfId="0" applyFont="1" applyBorder="1">
      <alignment horizontal="center" vertical="center" wrapText="1"/>
    </xf>
    <xf numFmtId="0" fontId="0" fillId="0" borderId="31" xfId="0" applyFont="1" applyBorder="1">
      <alignment horizontal="center" vertical="center" wrapText="1"/>
    </xf>
    <xf numFmtId="0" fontId="23" fillId="0" borderId="23" xfId="0" applyFont="1" applyBorder="1">
      <alignment horizontal="center" vertical="center" wrapText="1"/>
    </xf>
    <xf numFmtId="0" fontId="46" fillId="0" borderId="13" xfId="0" applyFont="1" applyBorder="1">
      <alignment horizontal="center" vertical="center" wrapText="1"/>
    </xf>
    <xf numFmtId="49" fontId="23" fillId="36" borderId="13" xfId="0" applyFont="1" applyFill="1" applyBorder="1" applyNumberFormat="1">
      <alignment horizontal="center" vertical="center" wrapText="1"/>
    </xf>
    <xf numFmtId="49" fontId="23" fillId="42" borderId="13" xfId="0" applyFont="1" applyFill="1" applyBorder="1" applyNumberFormat="1">
      <alignment horizontal="left" vertical="center" wrapText="1" indent="1"/>
    </xf>
    <xf numFmtId="0" fontId="0" fillId="36" borderId="38" xfId="0" applyFont="1" applyFill="1" applyBorder="1">
      <alignment horizontal="center" vertical="center" wrapText="1"/>
    </xf>
    <xf numFmtId="0" fontId="0" fillId="36" borderId="21" xfId="0" applyFont="1" applyFill="1" applyBorder="1">
      <alignment horizontal="center" vertical="center" wrapText="1"/>
    </xf>
    <xf numFmtId="0" fontId="0" fillId="36" borderId="23" xfId="0" applyFont="1" applyFill="1" applyBorder="1">
      <alignment horizontal="center" vertical="center" wrapText="1"/>
    </xf>
    <xf numFmtId="0" fontId="0" fillId="36" borderId="0" xfId="0" applyFont="1" applyFill="1">
      <alignment horizontal="center" vertical="center" wrapText="1"/>
    </xf>
    <xf numFmtId="0" fontId="0" fillId="36" borderId="25" xfId="0" applyFont="1" applyFill="1" applyBorder="1">
      <alignment horizontal="center" vertical="center" wrapText="1"/>
    </xf>
    <xf numFmtId="0" fontId="0" fillId="36" borderId="28" xfId="0" applyFont="1" applyFill="1" applyBorder="1">
      <alignment horizontal="center" vertical="center" wrapText="1"/>
    </xf>
    <xf numFmtId="0" fontId="0" fillId="36" borderId="29" xfId="0" applyFont="1" applyFill="1" applyBorder="1">
      <alignment horizontal="center" vertical="center" wrapText="1"/>
    </xf>
    <xf numFmtId="0" fontId="0" fillId="36" borderId="31" xfId="0" applyFont="1" applyFill="1" applyBorder="1">
      <alignment horizontal="center" vertical="center" wrapText="1"/>
    </xf>
    <xf numFmtId="0" fontId="23" fillId="36" borderId="18" xfId="0" applyFont="1" applyFill="1" applyBorder="1">
      <alignment horizontal="left" vertical="center" wrapText="1"/>
    </xf>
    <xf numFmtId="0" fontId="23" fillId="36" borderId="37" xfId="0" applyFont="1" applyFill="1" applyBorder="1">
      <alignment horizontal="left" vertical="center" wrapText="1"/>
    </xf>
    <xf numFmtId="0" fontId="23" fillId="36" borderId="24" xfId="0" applyFont="1" applyFill="1" applyBorder="1">
      <alignment horizontal="left" vertical="center" wrapText="1"/>
    </xf>
    <xf numFmtId="49" fontId="23" fillId="41" borderId="18" xfId="0" applyFont="1" applyFill="1" applyBorder="1" applyNumberFormat="1">
      <alignment horizontal="left" vertical="center" wrapText="1" indent="6"/>
      <protection locked="0"/>
    </xf>
    <xf numFmtId="49" fontId="23" fillId="41" borderId="37" xfId="0" applyFont="1" applyFill="1" applyBorder="1" applyNumberFormat="1">
      <alignment horizontal="left" vertical="center" wrapText="1" indent="6"/>
      <protection locked="0"/>
    </xf>
    <xf numFmtId="49" fontId="23" fillId="41" borderId="24" xfId="0" applyFont="1" applyFill="1" applyBorder="1" applyNumberFormat="1">
      <alignment horizontal="left" vertical="center" wrapText="1" indent="6"/>
      <protection locked="0"/>
    </xf>
    <xf numFmtId="0" fontId="56" fillId="0" borderId="25" xfId="0" applyFont="1" applyBorder="1">
      <alignment horizontal="center" vertical="top" wrapText="1"/>
    </xf>
    <xf numFmtId="49" fontId="23" fillId="0" borderId="13" xfId="0" applyFont="1" applyBorder="1" applyNumberFormat="1">
      <alignment horizontal="left" vertical="center" wrapText="1" indent="1"/>
    </xf>
    <xf numFmtId="0" fontId="55" fillId="0" borderId="0" xfId="0" applyFont="1">
      <alignment horizontal="center" vertical="center" wrapText="1"/>
    </xf>
    <xf numFmtId="250" fontId="0" fillId="41" borderId="13" xfId="0" applyFont="1" applyFill="1" applyBorder="1" applyNumberFormat="1">
      <alignment horizontal="center" vertical="center" wrapText="1"/>
      <protection locked="0"/>
    </xf>
    <xf numFmtId="0" fontId="23" fillId="0" borderId="0" xfId="0" applyFont="1">
      <alignment horizontal="right" vertical="center" wrapText="1"/>
    </xf>
    <xf numFmtId="4" fontId="23" fillId="38" borderId="13" xfId="0" applyFont="1" applyFill="1" applyBorder="1" applyNumberFormat="1">
      <alignment horizontal="left" vertical="center" wrapText="1"/>
    </xf>
    <xf numFmtId="0" fontId="55" fillId="0" borderId="0" xfId="0" applyFont="1">
      <alignment horizontal="center" vertical="center" wrapText="1"/>
    </xf>
    <xf numFmtId="0" fontId="23" fillId="42" borderId="13" xfId="0" applyFont="1" applyFill="1" applyBorder="1">
      <alignment horizontal="left" vertical="center" wrapText="1"/>
      <protection locked="0"/>
    </xf>
    <xf numFmtId="0" fontId="23" fillId="42" borderId="15" xfId="0" applyFont="1" applyFill="1" applyBorder="1">
      <alignment horizontal="left" vertical="center" wrapText="1"/>
      <protection locked="0"/>
    </xf>
    <xf numFmtId="0" fontId="23" fillId="42" borderId="16" xfId="0" applyFont="1" applyFill="1" applyBorder="1">
      <alignment horizontal="left" vertical="center" wrapText="1"/>
      <protection locked="0"/>
    </xf>
    <xf numFmtId="0" fontId="23" fillId="42" borderId="14" xfId="0" applyFont="1" applyFill="1" applyBorder="1">
      <alignment horizontal="left" vertical="center" wrapText="1"/>
      <protection locked="0"/>
    </xf>
    <xf numFmtId="0" fontId="23" fillId="0" borderId="0" xfId="0" applyFont="1">
      <alignment horizontal="center" vertical="center" wrapText="1"/>
    </xf>
    <xf numFmtId="0" fontId="23" fillId="0" borderId="0" xfId="0" applyFont="1">
      <alignment horizontal="center" vertical="center" wrapText="1"/>
    </xf>
    <xf numFmtId="0" fontId="22" fillId="0" borderId="16" xfId="0" applyFont="1" applyBorder="1">
      <alignment horizontal="left" vertical="center" wrapText="1" indent="1"/>
    </xf>
    <xf numFmtId="0" fontId="23" fillId="38" borderId="15" xfId="0" applyFont="1" applyFill="1" applyBorder="1">
      <alignment horizontal="left" vertical="center" wrapText="1" indent="1"/>
    </xf>
    <xf numFmtId="0" fontId="23" fillId="38" borderId="16" xfId="0" applyFont="1" applyFill="1" applyBorder="1">
      <alignment horizontal="left" vertical="center" wrapText="1" indent="1"/>
    </xf>
    <xf numFmtId="0" fontId="23" fillId="38" borderId="14" xfId="0" applyFont="1" applyFill="1" applyBorder="1">
      <alignment horizontal="left" vertical="center" wrapText="1" indent="1"/>
    </xf>
    <xf numFmtId="0" fontId="88" fillId="0" borderId="0" xfId="0" applyFont="1">
      <alignment horizontal="center" vertical="center" wrapText="1"/>
    </xf>
    <xf numFmtId="0" fontId="0" fillId="36" borderId="13" xfId="0" applyFont="1" applyFill="1" applyBorder="1">
      <alignment horizontal="center" vertical="center" wrapText="1"/>
    </xf>
    <xf numFmtId="49" fontId="49" fillId="40" borderId="13" xfId="0" applyFont="1" applyFill="1" applyBorder="1" applyNumberFormat="1">
      <alignment horizontal="center" vertical="center" textRotation="90" wrapText="1"/>
    </xf>
    <xf numFmtId="0" fontId="23" fillId="38" borderId="13" xfId="0" applyFont="1" applyFill="1" applyBorder="1">
      <alignment horizontal="left" vertical="center" wrapText="1"/>
    </xf>
    <xf numFmtId="0" fontId="23" fillId="0" borderId="13" xfId="0" applyFont="1" applyBorder="1">
      <alignment horizontal="center" vertical="center" wrapText="1"/>
    </xf>
    <xf numFmtId="0" fontId="0" fillId="0" borderId="13" xfId="0" applyFont="1" applyBorder="1">
      <alignment horizontal="center" vertical="center" wrapText="1"/>
    </xf>
    <xf numFmtId="0" fontId="45" fillId="36" borderId="0" xfId="0" applyFont="1" applyFill="1">
      <alignment horizontal="center" vertical="center" wrapText="1"/>
    </xf>
    <xf numFmtId="0" fontId="0" fillId="0" borderId="13" xfId="0" applyFont="1" applyBorder="1">
      <alignment horizontal="left" vertical="center" wrapText="1" indent="1"/>
    </xf>
    <xf numFmtId="0" fontId="23" fillId="0" borderId="13" xfId="0" applyFont="1" applyBorder="1">
      <alignment horizontal="left" vertical="top" wrapText="1"/>
    </xf>
    <xf numFmtId="0" fontId="0" fillId="0" borderId="13" xfId="0" applyFont="1" applyBorder="1">
      <alignment horizontal="left" vertical="center" wrapText="1"/>
    </xf>
    <xf numFmtId="0" fontId="0" fillId="0" borderId="13" xfId="0" applyFont="1" applyBorder="1">
      <alignment horizontal="left" vertical="center" wrapText="1"/>
    </xf>
    <xf numFmtId="0" fontId="23" fillId="0" borderId="0" xfId="0" applyFont="1">
      <alignment horizontal="left" vertical="top" wrapText="1"/>
    </xf>
    <xf numFmtId="0" fontId="23" fillId="0" borderId="37" xfId="0" applyFont="1" applyBorder="1">
      <alignment horizontal="center" vertical="center" wrapText="1"/>
    </xf>
    <xf numFmtId="0" fontId="23" fillId="38" borderId="15" xfId="0" applyFont="1" applyFill="1" applyBorder="1">
      <alignment horizontal="left" vertical="top" wrapText="1" indent="1"/>
    </xf>
    <xf numFmtId="0" fontId="23" fillId="38" borderId="14" xfId="0" applyFont="1" applyFill="1" applyBorder="1">
      <alignment horizontal="left" vertical="top" wrapText="1" indent="1"/>
    </xf>
    <xf numFmtId="0" fontId="23" fillId="0" borderId="16" xfId="0" applyFont="1" applyBorder="1">
      <alignment horizontal="right" vertical="center" wrapText="1" indent="1"/>
    </xf>
    <xf numFmtId="0" fontId="23" fillId="0" borderId="14" xfId="0" applyFont="1" applyBorder="1">
      <alignment horizontal="right" vertical="center" wrapText="1" indent="1"/>
    </xf>
    <xf numFmtId="0" fontId="23" fillId="0" borderId="15" xfId="0" applyFont="1" applyBorder="1">
      <alignment horizontal="right" vertical="center" wrapText="1"/>
    </xf>
    <xf numFmtId="0" fontId="23" fillId="0" borderId="16" xfId="0" applyFont="1" applyBorder="1">
      <alignment horizontal="right" vertical="center" wrapText="1"/>
    </xf>
    <xf numFmtId="0" fontId="23" fillId="0" borderId="18" xfId="0" applyFont="1" applyBorder="1">
      <alignment horizontal="left" vertical="top" wrapText="1"/>
    </xf>
    <xf numFmtId="0" fontId="23" fillId="0" borderId="24" xfId="0" applyFont="1" applyBorder="1">
      <alignment horizontal="left" vertical="top" wrapText="1"/>
    </xf>
    <xf numFmtId="0" fontId="23" fillId="0" borderId="20" xfId="0" applyFont="1" applyBorder="1">
      <alignment horizontal="left" vertical="center" wrapText="1" indent="1"/>
    </xf>
    <xf numFmtId="0" fontId="23" fillId="0" borderId="29" xfId="0" applyFont="1" applyBorder="1">
      <alignment horizontal="left" vertical="center" wrapText="1" indent="1"/>
    </xf>
    <xf numFmtId="0" fontId="23" fillId="0" borderId="25" xfId="0" applyFont="1" applyBorder="1">
      <alignment horizontal="center" vertical="center" wrapText="1"/>
    </xf>
    <xf numFmtId="49" fontId="23" fillId="0" borderId="0" xfId="0" applyFont="1" applyNumberFormat="1">
      <alignment vertical="center" wrapText="1"/>
    </xf>
    <xf numFmtId="0" fontId="46" fillId="0" borderId="25" xfId="0" applyFont="1" applyBorder="1">
      <alignment horizontal="center" vertical="center" wrapText="1"/>
    </xf>
    <xf numFmtId="0" fontId="48" fillId="36" borderId="25" xfId="0" applyFont="1" applyFill="1" applyBorder="1">
      <alignment horizontal="center" vertical="top" wrapText="1"/>
    </xf>
    <xf numFmtId="49" fontId="0" fillId="36" borderId="18" xfId="0" applyFont="1" applyFill="1" applyBorder="1" applyNumberFormat="1">
      <alignment horizontal="center" vertical="center" wrapText="1"/>
    </xf>
    <xf numFmtId="49" fontId="0" fillId="36" borderId="24" xfId="0" applyFont="1" applyFill="1" applyBorder="1" applyNumberFormat="1">
      <alignment horizontal="center" vertical="center" wrapText="1"/>
    </xf>
    <xf numFmtId="0" fontId="0" fillId="38" borderId="13" xfId="0" applyFont="1" applyFill="1" applyBorder="1">
      <alignment horizontal="left" vertical="center" wrapText="1" indent="1"/>
    </xf>
    <xf numFmtId="0" fontId="0" fillId="38" borderId="13" xfId="0" applyFont="1" applyFill="1" applyBorder="1">
      <alignment horizontal="left" vertical="center" wrapText="1" indent="1"/>
    </xf>
    <xf numFmtId="49" fontId="0" fillId="36" borderId="13" xfId="0" applyFont="1" applyFill="1" applyBorder="1" applyNumberFormat="1">
      <alignment horizontal="center" vertical="center" wrapText="1"/>
    </xf>
    <xf numFmtId="0" fontId="0" fillId="0" borderId="18" xfId="0" applyFont="1" applyBorder="1">
      <alignment horizontal="center" vertical="center" wrapText="1"/>
    </xf>
    <xf numFmtId="0" fontId="0" fillId="0" borderId="24" xfId="0" applyFont="1" applyBorder="1">
      <alignment horizontal="center" vertical="center" wrapText="1"/>
    </xf>
    <xf numFmtId="0" fontId="0" fillId="0" borderId="15" xfId="0" applyFont="1" applyBorder="1">
      <alignment horizontal="center" vertical="center" wrapText="1"/>
    </xf>
    <xf numFmtId="0" fontId="0" fillId="0" borderId="14" xfId="0" applyFont="1" applyBorder="1">
      <alignment horizontal="center" vertical="center" wrapText="1"/>
    </xf>
    <xf numFmtId="49" fontId="45" fillId="36" borderId="16" xfId="0" applyFont="1" applyFill="1" applyBorder="1" applyNumberFormat="1">
      <alignment horizontal="center" vertical="center" wrapText="1"/>
    </xf>
    <xf numFmtId="0" fontId="0" fillId="0" borderId="37" xfId="0" applyFont="1" applyBorder="1">
      <alignment horizontal="left" vertical="center" wrapText="1"/>
    </xf>
    <xf numFmtId="0" fontId="0" fillId="0" borderId="37" xfId="0" applyFont="1" applyBorder="1">
      <alignment horizontal="left" vertical="center" wrapText="1"/>
    </xf>
    <xf numFmtId="0" fontId="0" fillId="0" borderId="24" xfId="0" applyFont="1" applyBorder="1">
      <alignment horizontal="left" vertical="center" wrapText="1"/>
    </xf>
    <xf numFmtId="0" fontId="23" fillId="36" borderId="15" xfId="0" applyFont="1" applyFill="1" applyBorder="1">
      <alignment horizontal="center" vertical="center" wrapText="1"/>
    </xf>
    <xf numFmtId="0" fontId="23" fillId="36" borderId="16" xfId="0" applyFont="1" applyFill="1" applyBorder="1">
      <alignment horizontal="center" vertical="center" wrapText="1"/>
    </xf>
    <xf numFmtId="0" fontId="23" fillId="36" borderId="14" xfId="0" applyFont="1" applyFill="1" applyBorder="1">
      <alignment horizontal="center" vertical="center" wrapText="1"/>
    </xf>
    <xf numFmtId="0" fontId="54" fillId="0" borderId="13" xfId="0" applyFont="1" applyBorder="1">
      <alignment horizontal="left" vertical="top" wrapText="1"/>
    </xf>
    <xf numFmtId="0" fontId="23" fillId="33" borderId="15" xfId="0" applyFont="1" applyFill="1" applyBorder="1">
      <alignment horizontal="left" vertical="center" wrapText="1"/>
      <protection locked="0"/>
    </xf>
    <xf numFmtId="0" fontId="23" fillId="33" borderId="16" xfId="0" applyFont="1" applyFill="1" applyBorder="1">
      <alignment horizontal="left" vertical="center" wrapText="1"/>
      <protection locked="0"/>
    </xf>
    <xf numFmtId="0" fontId="23" fillId="33" borderId="14" xfId="0" applyFont="1" applyFill="1" applyBorder="1">
      <alignment horizontal="left" vertical="center" wrapText="1"/>
      <protection locked="0"/>
    </xf>
    <xf numFmtId="49" fontId="23" fillId="33" borderId="15" xfId="0" applyFont="1" applyFill="1" applyBorder="1" applyNumberFormat="1">
      <alignment horizontal="left" vertical="center" wrapText="1"/>
      <protection locked="0"/>
    </xf>
    <xf numFmtId="49" fontId="23" fillId="33" borderId="16" xfId="0" applyFont="1" applyFill="1" applyBorder="1" applyNumberFormat="1">
      <alignment horizontal="left" vertical="center" wrapText="1"/>
      <protection locked="0"/>
    </xf>
    <xf numFmtId="49" fontId="23" fillId="33" borderId="14" xfId="0" applyFont="1" applyFill="1" applyBorder="1" applyNumberFormat="1">
      <alignment horizontal="left" vertical="center" wrapText="1"/>
      <protection locked="0"/>
    </xf>
    <xf numFmtId="0" fontId="23" fillId="0" borderId="38" xfId="0" applyFont="1" applyBorder="1">
      <alignment horizontal="center" vertical="center" wrapText="1"/>
    </xf>
    <xf numFmtId="0" fontId="23" fillId="0" borderId="28" xfId="0" applyFont="1" applyBorder="1">
      <alignment horizontal="center" vertical="center" wrapText="1"/>
    </xf>
    <xf numFmtId="4" fontId="23" fillId="41" borderId="13" xfId="0" applyFont="1" applyFill="1" applyBorder="1" applyNumberFormat="1">
      <alignment horizontal="center" vertical="center" wrapText="1"/>
      <protection locked="0"/>
    </xf>
    <xf numFmtId="49" fontId="23" fillId="42" borderId="21" xfId="0" applyFont="1" applyFill="1" applyBorder="1" applyNumberFormat="1">
      <alignment horizontal="center" vertical="center" wrapText="1"/>
    </xf>
    <xf numFmtId="49" fontId="23" fillId="42" borderId="31" xfId="0" applyFont="1" applyFill="1" applyBorder="1" applyNumberFormat="1">
      <alignment horizontal="center" vertical="center" wrapText="1"/>
    </xf>
    <xf numFmtId="49" fontId="23" fillId="33" borderId="18" xfId="0" applyFont="1" applyFill="1" applyBorder="1" applyNumberFormat="1">
      <alignment horizontal="left" vertical="center" wrapText="1" indent="6"/>
      <protection locked="0"/>
    </xf>
    <xf numFmtId="49" fontId="23" fillId="33" borderId="37" xfId="0" applyFont="1" applyFill="1" applyBorder="1" applyNumberFormat="1">
      <alignment horizontal="left" vertical="center" wrapText="1" indent="6"/>
      <protection locked="0"/>
    </xf>
    <xf numFmtId="49" fontId="23" fillId="33" borderId="24" xfId="0" applyFont="1" applyFill="1" applyBorder="1" applyNumberFormat="1">
      <alignment horizontal="left" vertical="center" wrapText="1" indent="6"/>
      <protection locked="0"/>
    </xf>
    <xf numFmtId="49" fontId="23" fillId="42" borderId="13" xfId="0" applyFont="1" applyFill="1" applyBorder="1" applyNumberFormat="1">
      <alignment horizontal="left" vertical="center" wrapText="1" indent="1"/>
      <protection locked="0"/>
    </xf>
    <xf numFmtId="4" fontId="23" fillId="41" borderId="13" xfId="0" applyFont="1" applyFill="1" applyBorder="1" applyNumberFormat="1">
      <alignment horizontal="left" vertical="center" wrapText="1" indent="1"/>
      <protection locked="0"/>
    </xf>
    <xf numFmtId="0" fontId="56" fillId="0" borderId="20" xfId="0" applyFont="1" applyBorder="1">
      <alignment horizontal="left" vertical="center" wrapText="1"/>
    </xf>
    <xf numFmtId="49" fontId="97" fillId="47" borderId="0" xfId="0" applyFont="1" applyFill="1" applyNumberFormat="1">
      <alignment horizontal="center" vertical="center" textRotation="90" wrapText="1"/>
    </xf>
    <xf numFmtId="0" fontId="79" fillId="0" borderId="0" xfId="0" applyFont="1">
      <alignment horizontal="center" vertical="center" wrapText="1"/>
    </xf>
    <xf numFmtId="49" fontId="97" fillId="47" borderId="0" xfId="0" applyFont="1" applyFill="1" applyNumberFormat="1">
      <alignment horizontal="center" vertical="center" textRotation="90" wrapText="1"/>
    </xf>
    <xf numFmtId="49" fontId="56" fillId="0" borderId="18" xfId="0" applyFont="1" applyBorder="1" applyNumberFormat="1">
      <alignment horizontal="center" vertical="center" wrapText="1"/>
    </xf>
    <xf numFmtId="49" fontId="56" fillId="0" borderId="37" xfId="0" applyFont="1" applyBorder="1" applyNumberFormat="1">
      <alignment horizontal="center" vertical="center" wrapText="1"/>
    </xf>
    <xf numFmtId="49" fontId="56" fillId="0" borderId="24" xfId="0" applyFont="1" applyBorder="1" applyNumberFormat="1">
      <alignment horizontal="center" vertical="center" wrapText="1"/>
    </xf>
    <xf numFmtId="0" fontId="54" fillId="0" borderId="0" xfId="0" applyFont="1">
      <alignment horizontal="left" vertical="top" wrapText="1"/>
    </xf>
    <xf numFmtId="0" fontId="23" fillId="0" borderId="20" xfId="0" applyFont="1" applyBorder="1">
      <alignment horizontal="left" vertical="center" wrapText="1" indent="1"/>
    </xf>
    <xf numFmtId="0" fontId="23" fillId="0" borderId="29" xfId="0" applyFont="1" applyBorder="1">
      <alignment horizontal="left" vertical="center" wrapText="1" indent="1"/>
    </xf>
    <xf numFmtId="0" fontId="56" fillId="0" borderId="16" xfId="0" applyFont="1" applyBorder="1">
      <alignment horizontal="right" vertical="center" wrapText="1" indent="1"/>
    </xf>
    <xf numFmtId="0" fontId="56" fillId="0" borderId="14" xfId="0" applyFont="1" applyBorder="1">
      <alignment horizontal="right" vertical="center" wrapText="1" indent="1"/>
    </xf>
    <xf numFmtId="49" fontId="23" fillId="55" borderId="0" xfId="0" applyFont="1" applyFill="1" applyNumberFormat="1">
      <alignment horizontal="center" vertical="center" textRotation="90" wrapText="1"/>
    </xf>
    <xf numFmtId="0" fontId="23" fillId="0" borderId="0" xfId="0" applyFont="1">
      <alignment horizontal="left" vertical="top" wrapText="1"/>
    </xf>
    <xf numFmtId="0" fontId="23" fillId="0" borderId="21" xfId="0" applyFont="1" applyBorder="1">
      <alignment horizontal="left" vertical="center" wrapText="1" indent="1"/>
    </xf>
    <xf numFmtId="0" fontId="23" fillId="0" borderId="18" xfId="0" applyFont="1" applyBorder="1">
      <alignment horizontal="left" vertical="center" wrapText="1" indent="1"/>
    </xf>
    <xf numFmtId="0" fontId="23" fillId="0" borderId="38" xfId="0" applyFont="1" applyBorder="1">
      <alignment horizontal="left" vertical="center" wrapText="1" indent="1"/>
    </xf>
    <xf numFmtId="0" fontId="23" fillId="0" borderId="18" xfId="0" applyFont="1" applyBorder="1">
      <alignment horizontal="center" vertical="center" wrapText="1"/>
    </xf>
    <xf numFmtId="0" fontId="23" fillId="0" borderId="37" xfId="0" applyFont="1" applyBorder="1">
      <alignment horizontal="center" vertical="center" wrapText="1"/>
    </xf>
    <xf numFmtId="0" fontId="23" fillId="0" borderId="24" xfId="0" applyFont="1" applyBorder="1">
      <alignment horizontal="center" vertical="center" wrapText="1"/>
    </xf>
    <xf numFmtId="0" fontId="23" fillId="38" borderId="15" xfId="0" applyFont="1" applyFill="1" applyBorder="1">
      <alignment horizontal="left" vertical="top" wrapText="1"/>
    </xf>
    <xf numFmtId="0" fontId="23" fillId="38" borderId="14" xfId="0" applyFont="1" applyFill="1" applyBorder="1">
      <alignment horizontal="left" vertical="top" wrapText="1"/>
    </xf>
    <xf numFmtId="0" fontId="23" fillId="0" borderId="31" xfId="0" applyFont="1" applyBorder="1">
      <alignment horizontal="left" vertical="center" wrapText="1" indent="1"/>
    </xf>
    <xf numFmtId="0" fontId="23" fillId="0" borderId="24" xfId="0" applyFont="1" applyBorder="1">
      <alignment horizontal="left" vertical="center" wrapText="1" indent="1"/>
    </xf>
    <xf numFmtId="0" fontId="23" fillId="0" borderId="28" xfId="0" applyFont="1" applyBorder="1">
      <alignment horizontal="left" vertical="center" wrapText="1" indent="1"/>
    </xf>
    <xf numFmtId="0" fontId="23" fillId="0" borderId="29" xfId="0" applyFont="1" applyBorder="1">
      <alignment horizontal="left" vertical="center" wrapText="1" indent="1"/>
    </xf>
    <xf numFmtId="0" fontId="0" fillId="36" borderId="15" xfId="0" applyFont="1" applyFill="1" applyBorder="1">
      <alignment horizontal="center" vertical="center" wrapText="1"/>
    </xf>
    <xf numFmtId="0" fontId="0" fillId="36" borderId="16" xfId="0" applyFont="1" applyFill="1" applyBorder="1">
      <alignment horizontal="center" vertical="center" wrapText="1"/>
    </xf>
    <xf numFmtId="0" fontId="0" fillId="36" borderId="14" xfId="0" applyFont="1" applyFill="1" applyBorder="1">
      <alignment horizontal="center" vertical="center" wrapText="1"/>
    </xf>
    <xf numFmtId="49" fontId="0" fillId="0" borderId="13" xfId="0" applyFont="1" applyBorder="1" applyNumberFormat="1">
      <alignment horizontal="center" vertical="center" wrapText="1"/>
    </xf>
    <xf numFmtId="0" fontId="0" fillId="0" borderId="13" xfId="0" applyFont="1" applyBorder="1">
      <alignment horizontal="left" vertical="center" wrapText="1" indent="1"/>
    </xf>
    <xf numFmtId="49" fontId="23" fillId="0" borderId="13" xfId="0" applyFont="1" applyBorder="1" applyNumberFormat="1">
      <alignment horizontal="left" vertical="center" wrapText="1"/>
    </xf>
    <xf numFmtId="49" fontId="23" fillId="0" borderId="13" xfId="0" applyFont="1" applyBorder="1" applyNumberFormat="1">
      <alignment horizontal="center" vertical="center" wrapText="1"/>
    </xf>
    <xf numFmtId="49" fontId="23" fillId="0" borderId="15" xfId="0" applyFont="1" applyBorder="1" applyNumberFormat="1">
      <alignment horizontal="center" vertical="center" wrapText="1"/>
    </xf>
    <xf numFmtId="0" fontId="23" fillId="0" borderId="20" xfId="0" applyFont="1" applyBorder="1">
      <alignment horizontal="left" vertical="center" wrapText="1" indent="1"/>
    </xf>
    <xf numFmtId="0" fontId="23" fillId="36" borderId="13" xfId="80" applyFont="1" applyFill="1" applyBorder="1">
      <alignment horizontal="center" vertical="center" wrapText="1"/>
    </xf>
    <xf numFmtId="49" fontId="56" fillId="0" borderId="13" xfId="0" applyFont="1" applyBorder="1" applyNumberFormat="1">
      <alignment horizontal="center" vertical="center" wrapText="1"/>
    </xf>
    <xf numFmtId="49" fontId="23" fillId="0" borderId="13" xfId="0" applyFont="1" applyBorder="1" applyNumberFormat="1">
      <alignment horizontal="left" vertical="center" wrapText="1"/>
    </xf>
    <xf numFmtId="0" fontId="23" fillId="0" borderId="0" xfId="0" applyFont="1">
      <alignment horizontal="left" vertical="center" wrapText="1"/>
    </xf>
    <xf numFmtId="0" fontId="23" fillId="36" borderId="13" xfId="0" applyFont="1" applyFill="1" applyBorder="1">
      <alignment horizontal="center" vertical="center" wrapText="1"/>
    </xf>
    <xf numFmtId="0" fontId="23" fillId="36" borderId="38" xfId="0" applyFont="1" applyFill="1" applyBorder="1">
      <alignment horizontal="center" vertical="center" wrapText="1"/>
    </xf>
    <xf numFmtId="0" fontId="23" fillId="36" borderId="21" xfId="0" applyFont="1" applyFill="1" applyBorder="1">
      <alignment horizontal="center" vertical="center" wrapText="1"/>
    </xf>
    <xf numFmtId="0" fontId="23" fillId="36" borderId="23" xfId="0" applyFont="1" applyFill="1" applyBorder="1">
      <alignment horizontal="center" vertical="center" wrapText="1"/>
    </xf>
    <xf numFmtId="0" fontId="23" fillId="36" borderId="25" xfId="0" applyFont="1" applyFill="1" applyBorder="1">
      <alignment horizontal="center" vertical="center" wrapText="1"/>
    </xf>
    <xf numFmtId="0" fontId="23" fillId="36" borderId="28" xfId="0" applyFont="1" applyFill="1" applyBorder="1">
      <alignment horizontal="center" vertical="center" wrapText="1"/>
    </xf>
    <xf numFmtId="0" fontId="23" fillId="36" borderId="31" xfId="0" applyFont="1" applyFill="1" applyBorder="1">
      <alignment horizontal="center" vertical="center" wrapText="1"/>
    </xf>
    <xf numFmtId="0" fontId="23" fillId="0" borderId="29" xfId="0" applyFont="1" applyBorder="1">
      <alignment horizontal="left" vertical="center" wrapText="1" indent="1"/>
    </xf>
    <xf numFmtId="0" fontId="23" fillId="0" borderId="63" xfId="0" applyFont="1" applyBorder="1">
      <alignment horizontal="center" vertical="center"/>
    </xf>
    <xf numFmtId="0" fontId="23" fillId="0" borderId="64" xfId="0" applyFont="1" applyBorder="1">
      <alignment horizontal="center" vertical="center"/>
    </xf>
    <xf numFmtId="0" fontId="23" fillId="0" borderId="70" xfId="0" applyFont="1" applyBorder="1">
      <alignment horizontal="center" vertical="center"/>
    </xf>
    <xf numFmtId="0" fontId="0" fillId="0" borderId="13" xfId="0" applyFont="1" applyBorder="1">
      <alignment horizontal="center" vertical="center" wrapText="1"/>
    </xf>
    <xf numFmtId="0" fontId="23" fillId="0" borderId="23" xfId="0" applyFont="1" applyBorder="1">
      <alignment horizontal="center" vertical="center" wrapText="1"/>
    </xf>
    <xf numFmtId="0" fontId="23" fillId="0" borderId="13" xfId="0" applyFont="1" applyBorder="1">
      <alignment horizontal="center" vertical="center" wrapText="1"/>
    </xf>
    <xf numFmtId="0" fontId="23" fillId="0" borderId="76" xfId="0" applyFont="1" applyBorder="1">
      <alignment horizontal="center" vertical="center"/>
    </xf>
    <xf numFmtId="0" fontId="23" fillId="0" borderId="44" xfId="0" applyFont="1" applyBorder="1">
      <alignment horizontal="center" vertical="center"/>
    </xf>
    <xf numFmtId="49" fontId="0" fillId="0" borderId="13" xfId="0" applyFont="1" applyBorder="1" applyNumberFormat="1">
      <alignment vertical="center" wrapText="1"/>
    </xf>
    <xf numFmtId="49" fontId="0" fillId="0" borderId="13" xfId="0" applyFont="1" applyBorder="1" applyNumberFormat="1">
      <alignment horizontal="left" vertical="center" wrapText="1"/>
    </xf>
    <xf numFmtId="49" fontId="0" fillId="0" borderId="18" xfId="0" applyFont="1" applyBorder="1" applyNumberFormat="1">
      <alignment horizontal="center" vertical="center" wrapText="1"/>
    </xf>
    <xf numFmtId="49" fontId="0" fillId="0" borderId="37" xfId="0" applyFont="1" applyBorder="1" applyNumberFormat="1">
      <alignment horizontal="center" vertical="center" wrapText="1"/>
    </xf>
    <xf numFmtId="49" fontId="0" fillId="0" borderId="24" xfId="0" applyFont="1" applyBorder="1" applyNumberFormat="1">
      <alignment horizontal="center" vertical="center" wrapText="1"/>
    </xf>
    <xf numFmtId="49" fontId="0" fillId="0" borderId="13" xfId="0" applyFont="1" applyBorder="1" applyNumberFormat="1">
      <alignment horizontal="center" vertical="center" wrapText="1"/>
    </xf>
    <xf numFmtId="0" fontId="0" fillId="38" borderId="13" xfId="0" applyFont="1" applyFill="1" applyBorder="1">
      <alignment horizontal="center" vertical="center" wrapText="1"/>
    </xf>
    <xf numFmtId="49" fontId="0" fillId="0" borderId="13" xfId="0" applyFont="1" applyBorder="1" applyNumberFormat="1">
      <alignment horizontal="center" vertical="center"/>
    </xf>
    <xf numFmtId="49" fontId="23" fillId="0" borderId="15" xfId="0" applyFont="1" applyBorder="1" applyNumberFormat="1">
      <alignment horizontal="center" vertical="center" wrapText="1"/>
    </xf>
    <xf numFmtId="49" fontId="23" fillId="0" borderId="16" xfId="0" applyFont="1" applyBorder="1" applyNumberFormat="1">
      <alignment horizontal="center" vertical="center" wrapText="1"/>
    </xf>
    <xf numFmtId="49" fontId="23" fillId="0" borderId="14" xfId="0" applyFont="1" applyBorder="1" applyNumberFormat="1">
      <alignment horizontal="center" vertical="center" wrapText="1"/>
    </xf>
    <xf numFmtId="0" fontId="23" fillId="0" borderId="21" xfId="0" applyFont="1" applyBorder="1">
      <alignment horizontal="left" vertical="center" wrapText="1" indent="1"/>
    </xf>
    <xf numFmtId="0" fontId="23" fillId="0" borderId="18" xfId="0" applyFont="1" applyBorder="1">
      <alignment horizontal="left" vertical="center" wrapText="1" indent="1"/>
    </xf>
    <xf numFmtId="0" fontId="23" fillId="0" borderId="31" xfId="0" applyFont="1" applyBorder="1">
      <alignment horizontal="left" vertical="center" wrapText="1" indent="1"/>
    </xf>
    <xf numFmtId="0" fontId="23" fillId="0" borderId="24" xfId="0" applyFont="1" applyBorder="1">
      <alignment horizontal="left" vertical="center" wrapText="1" indent="1"/>
    </xf>
    <xf numFmtId="0" fontId="23" fillId="36" borderId="15" xfId="0" applyFont="1" applyFill="1" applyBorder="1">
      <alignment horizontal="center" vertical="center" wrapText="1"/>
    </xf>
    <xf numFmtId="0" fontId="23" fillId="36" borderId="16" xfId="0" applyFont="1" applyFill="1" applyBorder="1">
      <alignment horizontal="center" vertical="center" wrapText="1"/>
    </xf>
    <xf numFmtId="0" fontId="23" fillId="36" borderId="14" xfId="0" applyFont="1" applyFill="1" applyBorder="1">
      <alignment horizontal="center" vertical="center" wrapText="1"/>
    </xf>
    <xf numFmtId="0" fontId="23" fillId="34" borderId="13" xfId="0" applyFont="1" applyFill="1" applyBorder="1">
      <alignment horizontal="center" vertical="center" wrapText="1"/>
    </xf>
    <xf numFmtId="0" fontId="23" fillId="36" borderId="38" xfId="0" applyFont="1" applyFill="1" applyBorder="1">
      <alignment horizontal="center" vertical="center" wrapText="1"/>
    </xf>
    <xf numFmtId="0" fontId="23" fillId="36" borderId="21" xfId="0" applyFont="1" applyFill="1" applyBorder="1">
      <alignment horizontal="center" vertical="center" wrapText="1"/>
    </xf>
    <xf numFmtId="0" fontId="23" fillId="36" borderId="28" xfId="0" applyFont="1" applyFill="1" applyBorder="1">
      <alignment horizontal="center" vertical="center" wrapText="1"/>
    </xf>
    <xf numFmtId="0" fontId="23" fillId="36" borderId="31" xfId="0" applyFont="1" applyFill="1" applyBorder="1">
      <alignment horizontal="center" vertical="center" wrapText="1"/>
    </xf>
    <xf numFmtId="0" fontId="23" fillId="34" borderId="14" xfId="0" applyFont="1" applyFill="1" applyBorder="1">
      <alignment horizontal="center" vertical="center" wrapText="1"/>
    </xf>
    <xf numFmtId="0" fontId="23" fillId="36" borderId="23" xfId="0" applyFont="1" applyFill="1" applyBorder="1">
      <alignment horizontal="center" vertical="center" wrapText="1"/>
    </xf>
    <xf numFmtId="0" fontId="23" fillId="36" borderId="25" xfId="0" applyFont="1" applyFill="1" applyBorder="1">
      <alignment horizontal="center" vertical="center" wrapText="1"/>
    </xf>
    <xf numFmtId="49" fontId="23" fillId="36" borderId="13" xfId="0" applyFont="1" applyFill="1" applyBorder="1" applyNumberFormat="1">
      <alignment horizontal="center" vertical="center" wrapText="1"/>
    </xf>
    <xf numFmtId="49" fontId="23" fillId="36" borderId="13" xfId="0" applyFont="1" applyFill="1" applyBorder="1" applyNumberFormat="1">
      <alignment horizontal="center" vertical="center" wrapText="1"/>
    </xf>
    <xf numFmtId="49" fontId="23" fillId="34" borderId="13" xfId="0" applyFont="1" applyFill="1" applyBorder="1" applyNumberFormat="1">
      <alignment horizontal="center" vertical="center" wrapText="1"/>
    </xf>
    <xf numFmtId="0" fontId="23" fillId="36" borderId="13" xfId="0" applyFont="1" applyFill="1" applyBorder="1">
      <alignment horizontal="center" vertical="center" wrapText="1"/>
    </xf>
    <xf numFmtId="0" fontId="23" fillId="0" borderId="13" xfId="0" applyFont="1" applyBorder="1">
      <alignment horizontal="center" vertical="center" wrapText="1"/>
    </xf>
    <xf numFmtId="49" fontId="55" fillId="48" borderId="15" xfId="0" applyFont="1" applyFill="1" applyBorder="1" applyNumberFormat="1">
      <alignment horizontal="center" vertical="center" wrapText="1"/>
    </xf>
    <xf numFmtId="49" fontId="55" fillId="48" borderId="16" xfId="0" applyFont="1" applyFill="1" applyBorder="1" applyNumberFormat="1">
      <alignment horizontal="center" vertical="center" wrapText="1"/>
    </xf>
    <xf numFmtId="49" fontId="55" fillId="48" borderId="14" xfId="0" applyFont="1" applyFill="1" applyBorder="1" applyNumberFormat="1">
      <alignment horizontal="center" vertical="center" wrapText="1"/>
    </xf>
    <xf numFmtId="49" fontId="55" fillId="51" borderId="15" xfId="0" applyFont="1" applyFill="1" applyBorder="1" applyNumberFormat="1">
      <alignment horizontal="center" vertical="center" wrapText="1"/>
    </xf>
    <xf numFmtId="49" fontId="55" fillId="51" borderId="16" xfId="0" applyFont="1" applyFill="1" applyBorder="1" applyNumberFormat="1">
      <alignment horizontal="center" vertical="center" wrapText="1"/>
    </xf>
    <xf numFmtId="49" fontId="55" fillId="51" borderId="14" xfId="0" applyFont="1" applyFill="1" applyBorder="1" applyNumberFormat="1">
      <alignment horizontal="center" vertical="center" wrapText="1"/>
    </xf>
    <xf numFmtId="49" fontId="23" fillId="52" borderId="15" xfId="0" applyFont="1" applyFill="1" applyBorder="1" applyNumberFormat="1">
      <alignment horizontal="center" vertical="center" wrapText="1"/>
    </xf>
    <xf numFmtId="49" fontId="23" fillId="52" borderId="16" xfId="0" applyFont="1" applyFill="1" applyBorder="1" applyNumberFormat="1">
      <alignment horizontal="center" vertical="center" wrapText="1"/>
    </xf>
    <xf numFmtId="49" fontId="23" fillId="34" borderId="20" xfId="0" applyFont="1" applyFill="1" applyBorder="1" applyNumberFormat="1">
      <alignment horizontal="center" vertical="center" wrapText="1"/>
    </xf>
    <xf numFmtId="49" fontId="23" fillId="34" borderId="0" xfId="0" applyFont="1" applyFill="1" applyNumberFormat="1">
      <alignment horizontal="center" vertical="center" wrapText="1"/>
    </xf>
    <xf numFmtId="49" fontId="23" fillId="34" borderId="29" xfId="0" applyFont="1" applyFill="1" applyBorder="1" applyNumberFormat="1">
      <alignment horizontal="center" vertical="center" wrapText="1"/>
    </xf>
    <xf numFmtId="0" fontId="23" fillId="50" borderId="15" xfId="0" applyFont="1" applyFill="1" applyBorder="1">
      <alignment horizontal="center" vertical="center" wrapText="1"/>
    </xf>
    <xf numFmtId="0" fontId="23" fillId="50" borderId="16" xfId="0" applyFont="1" applyFill="1" applyBorder="1">
      <alignment horizontal="center" vertical="center" wrapText="1"/>
    </xf>
    <xf numFmtId="0" fontId="23" fillId="50" borderId="14" xfId="0" applyFont="1" applyFill="1" applyBorder="1">
      <alignment horizontal="center" vertical="center" wrapText="1"/>
    </xf>
    <xf numFmtId="0" fontId="23" fillId="34" borderId="15" xfId="0" applyFont="1" applyFill="1" applyBorder="1">
      <alignment horizontal="center" vertical="center" wrapText="1"/>
    </xf>
    <xf numFmtId="49" fontId="23" fillId="0" borderId="0" xfId="0" applyFont="1" applyNumberFormat="1">
      <alignment horizontal="left" vertical="top" wrapText="1"/>
    </xf>
    <xf numFmtId="0" fontId="23" fillId="36" borderId="13" xfId="0" applyFont="1" applyFill="1" applyBorder="1">
      <alignment horizontal="center" vertical="center" wrapText="1"/>
    </xf>
    <xf numFmtId="0" fontId="23" fillId="0" borderId="14" xfId="0" applyFont="1" applyBorder="1">
      <alignment horizontal="left" vertical="center" wrapText="1" indent="1"/>
    </xf>
    <xf numFmtId="0" fontId="23" fillId="0" borderId="15" xfId="0" applyFont="1" applyBorder="1">
      <alignment horizontal="left" vertical="center" wrapText="1" indent="1"/>
    </xf>
    <xf numFmtId="49" fontId="23" fillId="0" borderId="0" xfId="0" applyFont="1" applyNumberFormat="1">
      <alignment horizontal="left" vertical="top" wrapText="1"/>
    </xf>
    <xf numFmtId="0" fontId="0" fillId="36" borderId="18" xfId="0" applyFont="1" applyFill="1" applyBorder="1">
      <alignment horizontal="left" vertical="top" wrapText="1"/>
    </xf>
    <xf numFmtId="0" fontId="0" fillId="36" borderId="37" xfId="0" applyFont="1" applyFill="1" applyBorder="1">
      <alignment horizontal="left" vertical="top" wrapText="1"/>
    </xf>
    <xf numFmtId="0" fontId="0" fillId="36" borderId="24" xfId="0" applyFont="1" applyFill="1" applyBorder="1">
      <alignment horizontal="left" vertical="top" wrapText="1"/>
    </xf>
    <xf numFmtId="4" fontId="23" fillId="0" borderId="18" xfId="0" applyFont="1" applyBorder="1" applyNumberFormat="1">
      <alignment horizontal="center" vertical="center" wrapText="1"/>
    </xf>
    <xf numFmtId="4" fontId="23" fillId="0" borderId="24" xfId="0" applyFont="1" applyBorder="1" applyNumberFormat="1">
      <alignment horizontal="center" vertical="center" wrapText="1"/>
    </xf>
    <xf numFmtId="49" fontId="23" fillId="0" borderId="21" xfId="0" applyFont="1" applyBorder="1" applyNumberFormat="1">
      <alignment horizontal="left" vertical="top" wrapText="1"/>
    </xf>
    <xf numFmtId="49" fontId="23" fillId="0" borderId="31" xfId="0" applyFont="1" applyBorder="1" applyNumberFormat="1">
      <alignment horizontal="left" vertical="top" wrapText="1"/>
    </xf>
    <xf numFmtId="4" fontId="23" fillId="0" borderId="37" xfId="0" applyFont="1" applyBorder="1" applyNumberFormat="1">
      <alignment horizontal="center" vertical="center" wrapText="1"/>
    </xf>
    <xf numFmtId="249" fontId="23" fillId="0" borderId="18" xfId="0" applyFont="1" applyBorder="1" applyNumberFormat="1">
      <alignment horizontal="center" vertical="center" wrapText="1"/>
    </xf>
    <xf numFmtId="249" fontId="23" fillId="0" borderId="24" xfId="0" applyFont="1" applyBorder="1" applyNumberFormat="1">
      <alignment horizontal="center" vertical="center" wrapText="1"/>
    </xf>
    <xf numFmtId="249" fontId="23" fillId="0" borderId="18" xfId="0" applyFont="1" applyBorder="1" applyNumberFormat="1">
      <alignment horizontal="center" vertical="center" wrapText="1"/>
    </xf>
    <xf numFmtId="249" fontId="23" fillId="0" borderId="24" xfId="0" applyFont="1" applyBorder="1" applyNumberFormat="1">
      <alignment horizontal="center" vertical="center" wrapText="1"/>
    </xf>
    <xf numFmtId="249" fontId="23" fillId="0" borderId="15" xfId="0" applyFont="1" applyBorder="1" applyNumberFormat="1">
      <alignment horizontal="center" vertical="center" wrapText="1"/>
    </xf>
    <xf numFmtId="249" fontId="23" fillId="0" borderId="16" xfId="0" applyFont="1" applyBorder="1" applyNumberFormat="1">
      <alignment horizontal="center" vertical="center" wrapText="1"/>
    </xf>
    <xf numFmtId="249" fontId="23" fillId="0" borderId="14" xfId="0" applyFont="1" applyBorder="1" applyNumberFormat="1">
      <alignment horizontal="center" vertical="center" wrapText="1"/>
    </xf>
    <xf numFmtId="0" fontId="23" fillId="0" borderId="24" xfId="0" applyFont="1" applyBorder="1">
      <alignment horizontal="center" vertical="center" wrapText="1"/>
    </xf>
    <xf numFmtId="0" fontId="23" fillId="38" borderId="24" xfId="0" applyFont="1" applyFill="1" applyBorder="1">
      <alignment horizontal="left" vertical="center" wrapText="1"/>
    </xf>
    <xf numFmtId="14" fontId="23" fillId="42" borderId="24" xfId="0" applyFont="1" applyFill="1" applyBorder="1" applyNumberFormat="1">
      <alignment horizontal="left" vertical="center" wrapText="1"/>
    </xf>
    <xf numFmtId="249" fontId="23" fillId="0" borderId="13" xfId="0" applyFont="1" applyBorder="1" applyNumberFormat="1">
      <alignment horizontal="center" vertical="center" wrapText="1"/>
    </xf>
    <xf numFmtId="249" fontId="23" fillId="0" borderId="13" xfId="0" applyFont="1" applyBorder="1" applyNumberFormat="1">
      <alignment horizontal="center" vertical="center" wrapText="1"/>
    </xf>
    <xf numFmtId="249" fontId="54" fillId="0" borderId="58" xfId="0" applyFont="1" applyBorder="1" applyNumberFormat="1">
      <alignment horizontal="center" vertical="center" wrapText="1"/>
    </xf>
    <xf numFmtId="249" fontId="54" fillId="0" borderId="52" xfId="0" applyFont="1" applyBorder="1" applyNumberFormat="1">
      <alignment horizontal="center" vertical="center" wrapText="1"/>
    </xf>
    <xf numFmtId="249" fontId="54" fillId="0" borderId="77" xfId="0" applyFont="1" applyBorder="1" applyNumberFormat="1">
      <alignment horizontal="center" vertical="center" wrapText="1"/>
    </xf>
    <xf numFmtId="49" fontId="23" fillId="42" borderId="28" xfId="0" applyFont="1" applyFill="1" applyBorder="1" applyNumberFormat="1">
      <alignment horizontal="left" vertical="center" wrapText="1"/>
    </xf>
    <xf numFmtId="14" fontId="23" fillId="42" borderId="13" xfId="0" applyFont="1" applyFill="1" applyBorder="1" applyNumberFormat="1">
      <alignment horizontal="left" vertical="center" wrapText="1"/>
    </xf>
    <xf numFmtId="49" fontId="23" fillId="42" borderId="15" xfId="0" applyFont="1" applyFill="1" applyBorder="1" applyNumberFormat="1">
      <alignment horizontal="left" vertical="center" wrapText="1"/>
    </xf>
    <xf numFmtId="49" fontId="0" fillId="0" borderId="16" xfId="0" applyFont="1" applyBorder="1" applyNumberFormat="1">
      <alignment horizontal="left" vertical="center" indent="1"/>
    </xf>
    <xf numFmtId="49" fontId="0" fillId="0" borderId="13" xfId="0" applyFont="1" applyBorder="1" applyNumberFormat="1">
      <alignment horizontal="center" vertical="top"/>
    </xf>
    <xf numFmtId="49" fontId="0" fillId="0" borderId="15" xfId="0" applyFont="1" applyBorder="1" applyNumberFormat="1">
      <alignment horizontal="center" vertical="top"/>
    </xf>
    <xf numFmtId="250" fontId="0" fillId="41" borderId="14" xfId="0" applyFont="1" applyFill="1" applyBorder="1" applyNumberFormat="1">
      <alignment horizontal="left" vertical="center" wrapText="1" indent="1"/>
      <protection locked="0"/>
    </xf>
    <xf numFmtId="0" fontId="0" fillId="41" borderId="14" xfId="0" applyFont="1" applyFill="1" applyBorder="1">
      <alignment horizontal="left" vertical="center" wrapText="1" indent="1"/>
      <protection locked="0"/>
    </xf>
    <xf numFmtId="0" fontId="23" fillId="36" borderId="13" xfId="80" applyFont="1" applyFill="1" applyBorder="1">
      <alignment horizontal="right" vertical="center" wrapText="1" indent="1"/>
    </xf>
    <xf numFmtId="49" fontId="23" fillId="33" borderId="13" xfId="80" applyFont="1" applyFill="1" applyBorder="1" applyNumberFormat="1">
      <alignment horizontal="left" vertical="center" wrapText="1" indent="1"/>
      <protection locked="0"/>
    </xf>
    <xf numFmtId="0" fontId="122" fillId="0" borderId="0" xfId="0" applyFont="1">
      <alignment wrapText="1"/>
    </xf>
    <xf numFmtId="49" fontId="72" fillId="0" borderId="0" xfId="0" applyFont="1" applyNumberFormat="1">
      <alignment wrapText="1"/>
    </xf>
    <xf numFmtId="49" fontId="72" fillId="0" borderId="0" xfId="0" applyFont="1" applyNumberFormat="1">
      <alignment vertical="center" wrapText="1"/>
    </xf>
    <xf numFmtId="49" fontId="123" fillId="0" borderId="0" xfId="0" applyFont="1" applyNumberFormat="1">
      <alignment wrapText="1"/>
    </xf>
    <xf numFmtId="0" fontId="108" fillId="0" borderId="0" xfId="0" applyFont="1">
      <alignment vertical="center" wrapText="1"/>
    </xf>
    <xf numFmtId="0" fontId="108" fillId="0" borderId="0" xfId="0" applyFont="1">
      <alignment horizontal="left" vertical="center" wrapText="1"/>
    </xf>
    <xf numFmtId="49" fontId="124" fillId="0" borderId="0" xfId="0" applyFont="1" applyNumberFormat="1">
      <alignment wrapText="1"/>
    </xf>
    <xf numFmtId="0" fontId="108" fillId="0" borderId="0" xfId="0" applyFont="1">
      <alignment vertical="center"/>
    </xf>
    <xf numFmtId="0" fontId="22" fillId="0" borderId="0" xfId="0" applyFont="1">
      <alignment horizontal="left" vertical="top" wrapText="1"/>
    </xf>
    <xf numFmtId="49" fontId="23" fillId="0" borderId="0" xfId="0" applyFont="1" applyNumberFormat="1">
      <alignment vertical="top" wrapText="1"/>
    </xf>
    <xf numFmtId="0" fontId="22" fillId="35" borderId="66" xfId="0" applyFont="1" applyFill="1" applyBorder="1">
      <alignment horizontal="center" vertical="center" wrapText="1"/>
    </xf>
    <xf numFmtId="0" fontId="22" fillId="35" borderId="67" xfId="0" applyFont="1" applyFill="1" applyBorder="1">
      <alignment horizontal="center" vertical="center" wrapText="1"/>
    </xf>
    <xf numFmtId="0" fontId="22" fillId="35" borderId="68" xfId="0" applyFont="1" applyFill="1" applyBorder="1">
      <alignment horizontal="center" vertical="center" wrapText="1"/>
    </xf>
    <xf numFmtId="0" fontId="72" fillId="0" borderId="0" xfId="0" applyFont="1">
      <alignment wrapText="1"/>
    </xf>
    <xf numFmtId="0" fontId="22" fillId="47" borderId="39" xfId="0" applyFont="1" applyFill="1" applyBorder="1">
      <alignment horizontal="right" vertical="center" wrapText="1" indent="1"/>
    </xf>
    <xf numFmtId="0" fontId="22" fillId="47" borderId="69" xfId="0" applyFont="1" applyFill="1" applyBorder="1">
      <alignment horizontal="right" vertical="center" wrapText="1" indent="1"/>
    </xf>
    <xf numFmtId="0" fontId="125" fillId="0" borderId="0" xfId="0" applyFont="1">
      <alignment horizontal="left" vertical="center" wrapText="1"/>
    </xf>
    <xf numFmtId="0" fontId="126" fillId="0" borderId="0" xfId="0" applyFont="1">
      <alignment vertical="center" wrapText="1"/>
    </xf>
    <xf numFmtId="0" fontId="72" fillId="0" borderId="39" xfId="0" applyFont="1" applyBorder="1">
      <alignment wrapText="1"/>
    </xf>
    <xf numFmtId="0" fontId="72" fillId="0" borderId="0" xfId="0" applyFont="1"/>
    <xf numFmtId="0" fontId="125" fillId="0" borderId="0" xfId="0" applyFont="1"/>
    <xf numFmtId="0" fontId="127" fillId="0" borderId="0" xfId="0" applyFont="1">
      <alignment wrapText="1"/>
    </xf>
    <xf numFmtId="0" fontId="0" fillId="33" borderId="63" xfId="0" applyFont="1" applyFill="1" applyBorder="1">
      <alignment horizontal="center" vertical="center" wrapText="1"/>
    </xf>
    <xf numFmtId="0" fontId="127" fillId="0" borderId="39" xfId="0" applyFont="1" applyBorder="1">
      <alignment vertical="center" wrapText="1"/>
    </xf>
    <xf numFmtId="0" fontId="127" fillId="0" borderId="0" xfId="0" applyFont="1">
      <alignment vertical="center" wrapText="1"/>
    </xf>
    <xf numFmtId="0" fontId="0" fillId="54" borderId="63" xfId="0" applyFont="1" applyFill="1" applyBorder="1">
      <alignment horizontal="center" vertical="center" wrapText="1"/>
    </xf>
    <xf numFmtId="0" fontId="127" fillId="0" borderId="39" xfId="0" applyFont="1" applyBorder="1">
      <alignment horizontal="left" vertical="center" wrapText="1"/>
    </xf>
    <xf numFmtId="0" fontId="127" fillId="0" borderId="0" xfId="0" applyFont="1">
      <alignment horizontal="left" vertical="center" wrapText="1"/>
    </xf>
    <xf numFmtId="0" fontId="0" fillId="38" borderId="63" xfId="0" applyFont="1" applyFill="1" applyBorder="1">
      <alignment horizontal="center" vertical="center" wrapText="1"/>
    </xf>
    <xf numFmtId="0" fontId="0" fillId="41" borderId="63" xfId="0" applyFont="1" applyFill="1" applyBorder="1">
      <alignment horizontal="center" vertical="center" wrapText="1"/>
    </xf>
    <xf numFmtId="0" fontId="22" fillId="47" borderId="0" xfId="0" applyFont="1" applyFill="1">
      <alignment horizontal="right" vertical="center" wrapText="1" indent="1"/>
    </xf>
    <xf numFmtId="0" fontId="125" fillId="0" borderId="39" xfId="0" applyFont="1" applyBorder="1">
      <alignment horizontal="left" vertical="center" wrapText="1"/>
    </xf>
    <xf numFmtId="0" fontId="125" fillId="0" borderId="64" xfId="0" applyFont="1" applyBorder="1">
      <alignment horizontal="left" vertical="center" wrapText="1"/>
    </xf>
    <xf numFmtId="0" fontId="22" fillId="47" borderId="63" xfId="0" applyFont="1" applyFill="1" applyBorder="1">
      <alignment horizontal="right" vertical="center" wrapText="1" indent="1"/>
    </xf>
    <xf numFmtId="0" fontId="22" fillId="47" borderId="70" xfId="0" applyFont="1" applyFill="1" applyBorder="1">
      <alignment horizontal="right" vertical="center" wrapText="1" indent="1"/>
    </xf>
    <xf numFmtId="0" fontId="127" fillId="0" borderId="0" xfId="0" applyFont="1"/>
    <xf numFmtId="0" fontId="127" fillId="0" borderId="39" xfId="0" applyFont="1" applyBorder="1">
      <alignment wrapText="1"/>
    </xf>
    <xf numFmtId="0" fontId="127" fillId="0" borderId="0" xfId="0" applyFont="1">
      <alignment vertical="top" wrapText="1"/>
    </xf>
    <xf numFmtId="0" fontId="22" fillId="47" borderId="65" xfId="0" applyFont="1" applyFill="1" applyBorder="1">
      <alignment horizontal="right" vertical="center" wrapText="1" indent="1"/>
    </xf>
    <xf numFmtId="0" fontId="22" fillId="47" borderId="40" xfId="0" applyFont="1" applyFill="1" applyBorder="1">
      <alignment horizontal="right" vertical="center" wrapText="1" indent="1"/>
    </xf>
    <xf numFmtId="0" fontId="72" fillId="0" borderId="65" xfId="0" applyFont="1" applyBorder="1">
      <alignment wrapText="1"/>
    </xf>
    <xf numFmtId="0" fontId="72" fillId="0" borderId="40" xfId="0" applyFont="1" applyBorder="1">
      <alignment wrapText="1"/>
    </xf>
    <xf numFmtId="0" fontId="72" fillId="0" borderId="40" xfId="0" applyFont="1" applyBorder="1">
      <alignment vertical="center" wrapText="1"/>
    </xf>
    <xf numFmtId="0" fontId="123" fillId="0" borderId="0" xfId="0" applyFont="1"/>
    <xf numFmtId="0" fontId="127" fillId="0" borderId="0" xfId="0" applyFont="1">
      <alignment vertical="top" wrapText="1"/>
    </xf>
    <xf numFmtId="49" fontId="72" fillId="0" borderId="0" xfId="0" applyFont="1" applyNumberFormat="1">
      <alignment vertical="top" wrapText="1"/>
    </xf>
    <xf numFmtId="0" fontId="37" fillId="0" borderId="0" xfId="0" applyFont="1"/>
    <xf numFmtId="0" fontId="69" fillId="0" borderId="0" xfId="0" applyFont="1">
      <alignment vertical="center" wrapText="1"/>
    </xf>
    <xf numFmtId="0" fontId="97" fillId="0" borderId="0" xfId="0" applyFont="1">
      <alignment horizontal="left" vertical="center" wrapText="1"/>
    </xf>
    <xf numFmtId="0" fontId="69" fillId="0" borderId="0" xfId="0" applyFont="1">
      <alignment horizontal="left" vertical="center" wrapText="1"/>
    </xf>
    <xf numFmtId="0" fontId="41" fillId="0" borderId="0" xfId="0" applyFont="1">
      <alignment horizontal="center" vertical="center" wrapText="1"/>
    </xf>
    <xf numFmtId="0" fontId="41" fillId="0" borderId="0" xfId="0" applyFont="1">
      <alignment vertical="center" wrapText="1"/>
    </xf>
    <xf numFmtId="0" fontId="56" fillId="0" borderId="0" xfId="0" applyFont="1">
      <alignment vertical="center" wrapText="1"/>
    </xf>
    <xf numFmtId="0" fontId="41" fillId="0" borderId="0" xfId="0" applyFont="1">
      <alignment horizontal="left" vertical="center" wrapText="1"/>
    </xf>
    <xf numFmtId="0" fontId="23" fillId="0" borderId="0" xfId="0" applyFont="1">
      <alignment horizontal="left" vertical="top" indent="1"/>
    </xf>
    <xf numFmtId="49" fontId="72" fillId="0" borderId="0" xfId="0" applyFont="1" applyNumberFormat="1">
      <alignment vertical="top"/>
    </xf>
    <xf numFmtId="49" fontId="129" fillId="0" borderId="0" xfId="0" applyFont="1" applyNumberFormat="1">
      <alignment vertical="center" wrapText="1"/>
    </xf>
    <xf numFmtId="49" fontId="130" fillId="0" borderId="0" xfId="0" applyFont="1" applyNumberFormat="1">
      <alignment vertical="center" wrapText="1"/>
    </xf>
    <xf numFmtId="0" fontId="0" fillId="0" borderId="0" xfId="0" applyFont="1">
      <alignment horizontal="left" vertical="center" indent="1"/>
    </xf>
    <xf numFmtId="49" fontId="0" fillId="0" borderId="0" xfId="0" applyFont="1" applyNumberFormat="1">
      <alignment vertical="top"/>
    </xf>
    <xf numFmtId="49" fontId="55" fillId="0" borderId="0" xfId="0" applyFont="1" applyNumberFormat="1">
      <alignment vertical="top"/>
    </xf>
    <xf numFmtId="49" fontId="0" fillId="0" borderId="0" xfId="0" applyFont="1" applyNumberFormat="1">
      <alignment vertical="top"/>
    </xf>
    <xf numFmtId="0" fontId="66" fillId="0" borderId="0" xfId="0" applyFont="1">
      <alignment vertical="center" wrapText="1"/>
    </xf>
    <xf numFmtId="0" fontId="97" fillId="0" borderId="0" xfId="0" applyFont="1">
      <alignment horizontal="left" vertical="center" wrapText="1"/>
    </xf>
    <xf numFmtId="0" fontId="64" fillId="0" borderId="0" xfId="0" applyFont="1">
      <alignment horizontal="left" vertical="center" wrapText="1"/>
    </xf>
    <xf numFmtId="0" fontId="65" fillId="0" borderId="0" xfId="0" applyFont="1">
      <alignment vertical="center" wrapText="1"/>
    </xf>
    <xf numFmtId="0" fontId="66" fillId="36" borderId="0" xfId="0" applyFont="1" applyFill="1">
      <alignment vertical="center" wrapText="1"/>
    </xf>
    <xf numFmtId="0" fontId="66" fillId="0" borderId="0" xfId="0" applyFont="1">
      <alignment vertical="center" wrapText="1"/>
    </xf>
    <xf numFmtId="0" fontId="66" fillId="0" borderId="0" xfId="0" applyFont="1">
      <alignment horizontal="right" vertical="center"/>
    </xf>
    <xf numFmtId="0" fontId="23" fillId="0" borderId="0" xfId="0" applyFont="1">
      <alignment horizontal="center" vertical="center" wrapText="1"/>
    </xf>
    <xf numFmtId="0" fontId="23" fillId="0" borderId="0" xfId="0" applyFont="1">
      <alignment vertical="center" wrapText="1"/>
    </xf>
    <xf numFmtId="0" fontId="94" fillId="0" borderId="0" xfId="0" applyFont="1">
      <alignment vertical="center" wrapText="1"/>
    </xf>
    <xf numFmtId="0" fontId="43" fillId="36" borderId="0" xfId="0" applyFont="1" applyFill="1">
      <alignment vertical="center" wrapText="1"/>
    </xf>
    <xf numFmtId="0" fontId="23" fillId="0" borderId="14" xfId="0" applyFont="1" applyBorder="1">
      <alignment horizontal="center" vertical="center" wrapText="1"/>
    </xf>
    <xf numFmtId="0" fontId="23" fillId="0" borderId="15" xfId="0" applyFont="1" applyBorder="1">
      <alignment horizontal="center" vertical="center" wrapText="1"/>
    </xf>
    <xf numFmtId="0" fontId="35" fillId="36" borderId="0" xfId="0" applyFont="1" applyFill="1">
      <alignment vertical="center" wrapText="1"/>
    </xf>
    <xf numFmtId="0" fontId="102" fillId="0" borderId="0" xfId="0" applyFont="1">
      <alignment vertical="center" wrapText="1"/>
    </xf>
    <xf numFmtId="0" fontId="66" fillId="36" borderId="0" xfId="0" applyFont="1" applyFill="1">
      <alignment horizontal="right" vertical="center" wrapText="1" indent="1"/>
    </xf>
    <xf numFmtId="0" fontId="68" fillId="36" borderId="0" xfId="0" applyFont="1" applyFill="1">
      <alignment horizontal="center" vertical="center" wrapText="1"/>
    </xf>
    <xf numFmtId="0" fontId="23" fillId="36" borderId="27" xfId="0" applyFont="1" applyFill="1" applyBorder="1">
      <alignment horizontal="right" vertical="center" wrapText="1" indent="1"/>
    </xf>
    <xf numFmtId="0" fontId="0" fillId="38" borderId="13" xfId="0" applyFont="1" applyFill="1" applyBorder="1">
      <alignment horizontal="left" vertical="center" wrapText="1" indent="1"/>
    </xf>
    <xf numFmtId="14" fontId="97" fillId="36" borderId="0" xfId="0" applyFont="1" applyFill="1" applyNumberFormat="1">
      <alignment horizontal="left" vertical="center" wrapText="1"/>
    </xf>
    <xf numFmtId="0" fontId="64" fillId="36" borderId="0" xfId="0" applyFont="1" applyFill="1">
      <alignment horizontal="center" vertical="center" wrapText="1"/>
    </xf>
    <xf numFmtId="0" fontId="66" fillId="36" borderId="0" xfId="0" applyFont="1" applyFill="1">
      <alignment horizontal="left" vertical="center" wrapText="1" indent="1"/>
    </xf>
    <xf numFmtId="0" fontId="23" fillId="36" borderId="0" xfId="0" applyFont="1" applyFill="1">
      <alignment horizontal="center" vertical="center" wrapText="1"/>
    </xf>
    <xf numFmtId="0" fontId="94" fillId="0" borderId="0" xfId="0" applyFont="1">
      <alignment horizontal="center" vertical="center" wrapText="1"/>
    </xf>
    <xf numFmtId="14" fontId="99" fillId="0" borderId="13" xfId="0" applyFont="1" applyBorder="1" applyNumberFormat="1">
      <alignment horizontal="center" vertical="center" wrapText="1"/>
    </xf>
    <xf numFmtId="0" fontId="23" fillId="36" borderId="13" xfId="0" applyFont="1" applyFill="1" applyBorder="1">
      <alignment horizontal="right" vertical="center" wrapText="1" indent="1"/>
    </xf>
    <xf numFmtId="250" fontId="0" fillId="41" borderId="14" xfId="0" applyFont="1" applyFill="1" applyBorder="1" applyNumberFormat="1">
      <alignment horizontal="left" vertical="center" wrapText="1" indent="1"/>
      <protection locked="0"/>
    </xf>
    <xf numFmtId="0" fontId="29" fillId="0" borderId="0" xfId="0" applyFont="1">
      <alignment horizontal="left" vertical="center" indent="1"/>
    </xf>
    <xf numFmtId="0" fontId="55" fillId="0" borderId="0" xfId="0" applyFont="1">
      <alignment vertical="center" wrapText="1"/>
    </xf>
    <xf numFmtId="0" fontId="23" fillId="36" borderId="0" xfId="0" applyFont="1" applyFill="1">
      <alignment vertical="center" wrapText="1"/>
    </xf>
    <xf numFmtId="14" fontId="99" fillId="0" borderId="13" xfId="0" applyFont="1" applyBorder="1" applyNumberFormat="1">
      <alignment horizontal="left" vertical="center" wrapText="1"/>
    </xf>
    <xf numFmtId="0" fontId="42" fillId="0" borderId="0" xfId="0" applyFont="1">
      <alignment vertical="center" wrapText="1"/>
    </xf>
    <xf numFmtId="0" fontId="43" fillId="36" borderId="0" xfId="0" applyFont="1" applyFill="1">
      <alignment vertical="center" wrapText="1"/>
    </xf>
    <xf numFmtId="0" fontId="0" fillId="41" borderId="14" xfId="0" applyFont="1" applyFill="1" applyBorder="1">
      <alignment horizontal="left" vertical="center" wrapText="1" indent="1"/>
      <protection locked="0"/>
    </xf>
    <xf numFmtId="49" fontId="23" fillId="41" borderId="13" xfId="0" applyFont="1" applyFill="1" applyBorder="1" applyNumberFormat="1">
      <alignment horizontal="left" vertical="center" wrapText="1" indent="1"/>
      <protection locked="0"/>
    </xf>
    <xf numFmtId="250" fontId="0" fillId="0" borderId="13" xfId="0" applyFont="1" applyBorder="1" applyNumberFormat="1">
      <alignment horizontal="left" vertical="center" wrapText="1" indent="1"/>
    </xf>
    <xf numFmtId="0" fontId="0" fillId="36" borderId="0" xfId="0" applyFont="1" applyFill="1">
      <alignment horizontal="right" vertical="center" wrapText="1" indent="1"/>
    </xf>
    <xf numFmtId="0" fontId="102" fillId="0" borderId="0" xfId="0" applyFont="1">
      <alignment horizontal="left" vertical="center" wrapText="1"/>
    </xf>
    <xf numFmtId="0" fontId="23" fillId="36" borderId="0" xfId="0" applyFont="1" applyFill="1">
      <alignment horizontal="right" vertical="center" wrapText="1" indent="1"/>
    </xf>
    <xf numFmtId="0" fontId="23" fillId="0" borderId="0" xfId="0" applyFont="1">
      <alignment horizontal="center" vertical="center" wrapText="1"/>
    </xf>
    <xf numFmtId="0" fontId="23" fillId="36" borderId="0" xfId="0" applyFont="1" applyFill="1">
      <alignment horizontal="center" vertical="center" wrapText="1"/>
    </xf>
    <xf numFmtId="250" fontId="0" fillId="41" borderId="13" xfId="0" applyFont="1" applyFill="1" applyBorder="1" applyNumberFormat="1">
      <alignment horizontal="left" vertical="center" wrapText="1" indent="1"/>
      <protection locked="0"/>
    </xf>
    <xf numFmtId="0" fontId="0" fillId="36" borderId="0" xfId="0" applyFont="1" applyFill="1">
      <alignment horizontal="left" vertical="center" wrapText="1" indent="1"/>
    </xf>
    <xf numFmtId="49" fontId="23" fillId="0" borderId="13" xfId="0" applyFont="1" applyBorder="1" applyNumberFormat="1">
      <alignment horizontal="left" vertical="center" wrapText="1" indent="1"/>
    </xf>
    <xf numFmtId="0" fontId="42" fillId="0" borderId="0" xfId="0" applyFont="1">
      <alignment horizontal="center" vertical="center" wrapText="1"/>
    </xf>
    <xf numFmtId="0" fontId="44" fillId="36" borderId="0" xfId="0" applyFont="1" applyFill="1">
      <alignment horizontal="center" vertical="center" wrapText="1"/>
    </xf>
    <xf numFmtId="49" fontId="23" fillId="38" borderId="13" xfId="0" applyFont="1" applyFill="1" applyBorder="1" applyNumberFormat="1">
      <alignment horizontal="left" vertical="center" wrapText="1" indent="1"/>
    </xf>
    <xf numFmtId="14" fontId="23" fillId="36" borderId="0" xfId="0" applyFont="1" applyFill="1" applyNumberFormat="1">
      <alignment horizontal="center" vertical="center" wrapText="1"/>
    </xf>
    <xf numFmtId="0" fontId="0" fillId="36" borderId="27" xfId="0" applyFont="1" applyFill="1" applyBorder="1">
      <alignment horizontal="right" vertical="center" wrapText="1" indent="1"/>
    </xf>
    <xf numFmtId="49" fontId="23" fillId="33" borderId="13" xfId="0" applyFont="1" applyFill="1" applyBorder="1" applyNumberFormat="1">
      <alignment horizontal="left" vertical="center" wrapText="1" indent="1"/>
      <protection locked="0"/>
    </xf>
    <xf numFmtId="0" fontId="23" fillId="0" borderId="0" xfId="0" applyFont="1">
      <alignment vertical="center"/>
    </xf>
    <xf numFmtId="14" fontId="23" fillId="36" borderId="0" xfId="0" applyFont="1" applyFill="1" applyNumberFormat="1">
      <alignment horizontal="left" vertical="center" wrapText="1"/>
    </xf>
    <xf numFmtId="0" fontId="23" fillId="41" borderId="13" xfId="0" applyFont="1" applyFill="1" applyBorder="1">
      <alignment horizontal="left" vertical="center" wrapText="1" indent="1"/>
      <protection locked="0"/>
    </xf>
    <xf numFmtId="0" fontId="67" fillId="36" borderId="0" xfId="0" applyFont="1" applyFill="1">
      <alignment horizontal="right" vertical="center" wrapText="1" indent="1"/>
    </xf>
    <xf numFmtId="0" fontId="67" fillId="36" borderId="0" xfId="0" applyFont="1" applyFill="1">
      <alignment horizontal="left" vertical="center" wrapText="1" indent="1"/>
    </xf>
    <xf numFmtId="49" fontId="23" fillId="42" borderId="13" xfId="0" applyFont="1" applyFill="1" applyBorder="1" applyNumberFormat="1">
      <alignment horizontal="left" vertical="center" wrapText="1" indent="1"/>
    </xf>
    <xf numFmtId="0" fontId="66" fillId="0" borderId="0" xfId="0" applyFont="1">
      <alignment vertical="center" wrapText="1"/>
    </xf>
    <xf numFmtId="0" fontId="64" fillId="0" borderId="0" xfId="0" applyFont="1">
      <alignment horizontal="left" vertical="center" wrapText="1"/>
    </xf>
    <xf numFmtId="0" fontId="65" fillId="0" borderId="0" xfId="0" applyFont="1">
      <alignment vertical="center" wrapText="1"/>
    </xf>
    <xf numFmtId="0" fontId="66" fillId="36" borderId="0" xfId="0" applyFont="1" applyFill="1">
      <alignment vertical="center" wrapText="1"/>
    </xf>
    <xf numFmtId="0" fontId="67" fillId="36" borderId="0" xfId="0" applyFont="1" applyFill="1">
      <alignment horizontal="right" vertical="center" wrapText="1" indent="1"/>
    </xf>
    <xf numFmtId="0" fontId="41" fillId="0" borderId="0" xfId="0" applyFont="1">
      <alignment horizontal="left" vertical="center" wrapText="1"/>
    </xf>
    <xf numFmtId="0" fontId="23" fillId="36" borderId="27" xfId="0" applyFont="1" applyFill="1" applyBorder="1">
      <alignment horizontal="right" vertical="center" wrapText="1" indent="1"/>
    </xf>
    <xf numFmtId="49" fontId="32" fillId="41" borderId="13" xfId="0" applyFont="1" applyFill="1" applyBorder="1" applyNumberFormat="1">
      <alignment horizontal="left" vertical="center" wrapText="1" indent="1"/>
      <protection locked="0"/>
    </xf>
    <xf numFmtId="0" fontId="41" fillId="0" borderId="0" xfId="0" applyFont="1">
      <alignment horizontal="left" vertical="center" wrapText="1"/>
    </xf>
    <xf numFmtId="0" fontId="23" fillId="0" borderId="0" xfId="0" applyFont="1">
      <alignment vertical="center" wrapText="1"/>
    </xf>
    <xf numFmtId="14" fontId="98" fillId="0" borderId="0" xfId="0" applyFont="1" applyNumberFormat="1">
      <alignment horizontal="center" vertical="center" wrapText="1"/>
    </xf>
    <xf numFmtId="0" fontId="42" fillId="0" borderId="0" xfId="0" applyFont="1">
      <alignment vertical="center" wrapText="1"/>
    </xf>
    <xf numFmtId="0" fontId="41" fillId="0" borderId="0" xfId="0" applyFont="1">
      <alignment horizontal="center" vertical="center" wrapText="1"/>
    </xf>
    <xf numFmtId="0" fontId="23" fillId="0" borderId="0" xfId="0" applyFont="1">
      <alignment horizontal="center" vertical="center" wrapText="1"/>
    </xf>
    <xf numFmtId="0" fontId="55" fillId="0" borderId="0" xfId="0" applyFont="1">
      <alignment horizontal="center" vertical="center" wrapText="1"/>
    </xf>
    <xf numFmtId="0" fontId="55" fillId="0" borderId="0" xfId="0" applyFont="1">
      <alignment vertical="center" wrapText="1"/>
    </xf>
    <xf numFmtId="0" fontId="89" fillId="0" borderId="0" xfId="0" applyFont="1">
      <alignment vertical="center" wrapText="1"/>
    </xf>
    <xf numFmtId="0" fontId="23" fillId="42" borderId="13" xfId="0" applyFont="1" applyFill="1" applyBorder="1">
      <alignment horizontal="left" vertical="center" wrapText="1" indent="1"/>
    </xf>
    <xf numFmtId="49" fontId="0" fillId="0" borderId="6" xfId="0" applyFont="1" applyBorder="1" applyNumberFormat="1">
      <alignment horizontal="left" vertical="center" wrapText="1" indent="1"/>
    </xf>
    <xf numFmtId="0" fontId="23" fillId="42" borderId="13" xfId="0" applyFont="1" applyFill="1" applyBorder="1">
      <alignment horizontal="left" vertical="center" wrapText="1" indent="1"/>
    </xf>
    <xf numFmtId="0" fontId="23" fillId="41" borderId="13" xfId="0" applyFont="1" applyFill="1" applyBorder="1">
      <alignment horizontal="left" vertical="center" wrapText="1" indent="1"/>
      <protection locked="0"/>
    </xf>
    <xf numFmtId="49" fontId="23" fillId="42" borderId="13" xfId="0" applyFont="1" applyFill="1" applyBorder="1" applyNumberFormat="1">
      <alignment horizontal="left" vertical="center" wrapText="1" indent="1"/>
    </xf>
    <xf numFmtId="0" fontId="97" fillId="0" borderId="0" xfId="0" applyFont="1">
      <alignment horizontal="left" vertical="center" wrapText="1"/>
    </xf>
    <xf numFmtId="49" fontId="41" fillId="0" borderId="0" xfId="0" applyFont="1" applyNumberFormat="1">
      <alignment horizontal="left" vertical="center" wrapText="1"/>
    </xf>
    <xf numFmtId="49" fontId="43" fillId="36" borderId="0" xfId="0" applyFont="1" applyFill="1" applyNumberFormat="1">
      <alignment horizontal="center" vertical="center" wrapText="1"/>
    </xf>
    <xf numFmtId="0" fontId="23" fillId="0" borderId="0" xfId="0" applyFont="1">
      <alignment horizontal="left" vertical="center" wrapText="1" indent="4"/>
    </xf>
    <xf numFmtId="0" fontId="23" fillId="0" borderId="0" xfId="0" applyFont="1">
      <alignment horizontal="left" vertical="center" wrapText="1" indent="1"/>
    </xf>
    <xf numFmtId="49" fontId="23" fillId="41" borderId="13" xfId="0" applyFont="1" applyFill="1" applyBorder="1" applyNumberFormat="1">
      <alignment horizontal="left" vertical="center" wrapText="1" indent="1"/>
      <protection locked="0"/>
    </xf>
    <xf numFmtId="0" fontId="0" fillId="0" borderId="0" xfId="0" applyFont="1">
      <alignment horizontal="center" vertical="center" wrapText="1"/>
    </xf>
    <xf numFmtId="49" fontId="23" fillId="36" borderId="0" xfId="0" applyFont="1" applyFill="1" applyNumberFormat="1">
      <alignment horizontal="right" vertical="center" wrapText="1" indent="1"/>
    </xf>
    <xf numFmtId="49" fontId="23" fillId="0" borderId="0" xfId="0" applyFont="1" applyNumberFormat="1">
      <alignment horizontal="center" vertical="center" wrapText="1"/>
    </xf>
    <xf numFmtId="49" fontId="0" fillId="36" borderId="0" xfId="0" applyFont="1" applyFill="1" applyNumberFormat="1">
      <alignment horizontal="right" vertical="center" wrapText="1" indent="1"/>
    </xf>
    <xf numFmtId="0" fontId="35" fillId="0" borderId="0" xfId="0" applyFont="1">
      <alignment vertical="top" wrapText="1"/>
    </xf>
    <xf numFmtId="0" fontId="42" fillId="0" borderId="0" xfId="0" applyFont="1">
      <alignment vertical="center" wrapText="1"/>
    </xf>
    <xf numFmtId="0" fontId="23" fillId="0" borderId="0" xfId="0" applyFont="1">
      <alignment vertical="center" wrapText="1"/>
    </xf>
    <xf numFmtId="0" fontId="56" fillId="0" borderId="0" xfId="0" applyFont="1">
      <alignment vertical="center" wrapText="1"/>
    </xf>
    <xf numFmtId="0" fontId="79" fillId="0" borderId="0" xfId="0" applyFont="1">
      <alignment vertical="center" wrapText="1"/>
    </xf>
    <xf numFmtId="0" fontId="56" fillId="0" borderId="0" xfId="0" applyFont="1">
      <alignment vertical="center" wrapText="1"/>
    </xf>
    <xf numFmtId="0" fontId="56" fillId="0" borderId="0" xfId="0" applyFont="1">
      <alignment horizontal="center" vertical="center" wrapText="1"/>
    </xf>
    <xf numFmtId="0" fontId="56" fillId="0" borderId="0" xfId="0" applyFont="1">
      <alignment horizontal="left" vertical="center" indent="1"/>
    </xf>
    <xf numFmtId="0" fontId="56" fillId="0" borderId="0" xfId="0" applyFont="1">
      <alignment horizontal="center" vertical="center" wrapText="1"/>
    </xf>
    <xf numFmtId="0" fontId="56" fillId="0" borderId="0" xfId="0" applyFont="1">
      <alignment horizontal="left" vertical="center" wrapText="1" indent="1"/>
    </xf>
    <xf numFmtId="0" fontId="56" fillId="0" borderId="0" xfId="0" applyFont="1">
      <alignment horizontal="left" vertical="center" indent="1"/>
    </xf>
    <xf numFmtId="0" fontId="62" fillId="0" borderId="0" xfId="0" applyFont="1">
      <alignment vertical="center" wrapText="1"/>
    </xf>
    <xf numFmtId="0" fontId="23" fillId="0" borderId="0" xfId="0" applyFont="1">
      <alignment horizontal="left" vertical="center" wrapText="1" indent="1"/>
    </xf>
    <xf numFmtId="0" fontId="55" fillId="0" borderId="0" xfId="0" applyFont="1">
      <alignment horizontal="left" vertical="center" wrapText="1" indent="1"/>
    </xf>
    <xf numFmtId="0" fontId="62" fillId="0" borderId="0" xfId="0" applyFont="1">
      <alignment horizontal="left" vertical="center" wrapText="1" indent="1"/>
    </xf>
    <xf numFmtId="0" fontId="63" fillId="0" borderId="0" xfId="0" applyFont="1">
      <alignment horizontal="left" vertical="center" indent="1"/>
    </xf>
    <xf numFmtId="0" fontId="51" fillId="0" borderId="0" xfId="0" applyFont="1">
      <alignment vertical="center" wrapText="1"/>
    </xf>
    <xf numFmtId="0" fontId="23" fillId="0" borderId="0" xfId="0" applyFont="1">
      <alignment vertical="center" wrapText="1"/>
    </xf>
    <xf numFmtId="0" fontId="55" fillId="0" borderId="0" xfId="0" applyFont="1">
      <alignment vertical="center" wrapText="1"/>
    </xf>
    <xf numFmtId="0" fontId="46" fillId="0" borderId="0" xfId="0" applyFont="1">
      <alignment horizontal="center" vertical="center" wrapText="1"/>
    </xf>
    <xf numFmtId="0" fontId="23" fillId="0" borderId="0" xfId="0" applyFont="1">
      <alignment vertical="center" wrapText="1"/>
    </xf>
    <xf numFmtId="0" fontId="23" fillId="0" borderId="0" xfId="0" applyFont="1">
      <alignment vertical="center" wrapText="1"/>
    </xf>
    <xf numFmtId="0" fontId="23" fillId="0" borderId="0" xfId="0" applyFont="1">
      <alignment horizontal="right" vertical="center" wrapText="1"/>
    </xf>
    <xf numFmtId="0" fontId="56" fillId="0" borderId="0" xfId="0" applyFont="1">
      <alignment vertical="center"/>
    </xf>
    <xf numFmtId="0" fontId="56" fillId="0" borderId="0" xfId="0" applyFont="1">
      <alignment vertical="center"/>
    </xf>
    <xf numFmtId="0" fontId="61" fillId="0" borderId="0" xfId="0" applyFont="1">
      <alignment vertical="center"/>
    </xf>
    <xf numFmtId="0" fontId="23" fillId="0" borderId="16" xfId="0" applyFont="1" applyBorder="1">
      <alignment horizontal="left" vertical="center" wrapText="1" indent="1"/>
    </xf>
    <xf numFmtId="4" fontId="23" fillId="0" borderId="0" xfId="0" applyFont="1" applyNumberFormat="1">
      <alignment horizontal="right" vertical="center" wrapText="1"/>
    </xf>
    <xf numFmtId="0" fontId="23" fillId="0" borderId="0" xfId="0" applyFont="1">
      <alignment horizontal="left" vertical="center" wrapText="1" indent="1"/>
    </xf>
    <xf numFmtId="49" fontId="23" fillId="0" borderId="0" xfId="0" applyFont="1" applyNumberFormat="1">
      <alignment vertical="top"/>
    </xf>
    <xf numFmtId="49" fontId="55" fillId="0" borderId="0" xfId="0" applyFont="1" applyNumberFormat="1">
      <alignment vertical="top"/>
    </xf>
    <xf numFmtId="49" fontId="23" fillId="0" borderId="0" xfId="0" applyFont="1" applyNumberFormat="1">
      <alignment vertical="top"/>
    </xf>
    <xf numFmtId="49" fontId="23" fillId="0" borderId="0" xfId="0" applyFont="1" applyNumberFormat="1">
      <alignment horizontal="center" vertical="center" wrapText="1"/>
    </xf>
    <xf numFmtId="4" fontId="23" fillId="0" borderId="0" xfId="0" applyFont="1" applyNumberFormat="1">
      <alignment horizontal="center" vertical="center" wrapText="1"/>
    </xf>
    <xf numFmtId="0" fontId="23" fillId="0" borderId="15" xfId="0" applyFont="1" applyBorder="1">
      <alignment horizontal="center" vertical="center" wrapText="1"/>
    </xf>
    <xf numFmtId="0" fontId="23" fillId="0" borderId="16" xfId="0" applyFont="1" applyBorder="1">
      <alignment horizontal="center" vertical="center" wrapText="1"/>
    </xf>
    <xf numFmtId="0" fontId="23" fillId="0" borderId="14" xfId="0" applyFont="1" applyBorder="1">
      <alignment horizontal="center" vertical="center" wrapText="1"/>
    </xf>
    <xf numFmtId="4" fontId="23" fillId="0" borderId="13" xfId="0" applyFont="1" applyBorder="1" applyNumberFormat="1">
      <alignment horizontal="center" vertical="center" wrapText="1"/>
    </xf>
    <xf numFmtId="249" fontId="23" fillId="0" borderId="15" xfId="0" applyFont="1" applyBorder="1" applyNumberFormat="1">
      <alignment horizontal="center" vertical="center" wrapText="1"/>
    </xf>
    <xf numFmtId="249" fontId="23" fillId="0" borderId="13" xfId="0" applyFont="1" applyBorder="1" applyNumberFormat="1">
      <alignment horizontal="center" vertical="center" wrapText="1"/>
    </xf>
    <xf numFmtId="0" fontId="45" fillId="0" borderId="0" xfId="0" applyFont="1">
      <alignment horizontal="center" vertical="center" wrapText="1"/>
    </xf>
    <xf numFmtId="49" fontId="45" fillId="0" borderId="16" xfId="0" applyFont="1" applyBorder="1" applyNumberFormat="1">
      <alignment horizontal="center" vertical="center" wrapText="1"/>
    </xf>
    <xf numFmtId="49" fontId="45" fillId="0" borderId="16" xfId="0" applyFont="1" applyBorder="1" applyNumberFormat="1">
      <alignment horizontal="center" vertical="center" wrapText="1"/>
    </xf>
    <xf numFmtId="0" fontId="55" fillId="0" borderId="0" xfId="0" applyFont="1">
      <alignment vertical="center"/>
    </xf>
    <xf numFmtId="0" fontId="55" fillId="0" borderId="0" xfId="0" applyFont="1">
      <alignment vertical="center"/>
    </xf>
    <xf numFmtId="0" fontId="60" fillId="0" borderId="0" xfId="0" applyFont="1">
      <alignment vertical="center"/>
    </xf>
    <xf numFmtId="49" fontId="23" fillId="40" borderId="20" xfId="0" applyFont="1" applyFill="1" applyBorder="1" applyNumberFormat="1">
      <alignment horizontal="center" vertical="center" wrapText="1"/>
    </xf>
    <xf numFmtId="49" fontId="55" fillId="40" borderId="20" xfId="0" applyFont="1" applyFill="1" applyBorder="1" applyNumberFormat="1">
      <alignment horizontal="left" vertical="center" wrapText="1"/>
    </xf>
    <xf numFmtId="49" fontId="55" fillId="40" borderId="21" xfId="0" applyFont="1" applyFill="1" applyBorder="1" applyNumberFormat="1">
      <alignment horizontal="left" vertical="center" wrapText="1"/>
    </xf>
    <xf numFmtId="0" fontId="56" fillId="0" borderId="23" xfId="0" applyFont="1" applyBorder="1">
      <alignment vertical="center"/>
    </xf>
    <xf numFmtId="0" fontId="51" fillId="0" borderId="0" xfId="0" applyFont="1">
      <alignment vertical="center" wrapText="1"/>
    </xf>
    <xf numFmtId="0" fontId="23" fillId="0" borderId="0" xfId="0" applyFont="1">
      <alignment horizontal="center" vertical="center" wrapText="1"/>
    </xf>
    <xf numFmtId="0" fontId="46" fillId="0" borderId="0" xfId="0" applyFont="1">
      <alignment horizontal="center" vertical="center" wrapText="1"/>
    </xf>
    <xf numFmtId="0" fontId="23" fillId="0" borderId="13" xfId="0" applyFont="1" applyBorder="1">
      <alignment horizontal="center" vertical="center" wrapText="1"/>
    </xf>
    <xf numFmtId="0" fontId="56" fillId="0" borderId="13" xfId="0" applyFont="1" applyBorder="1">
      <alignment horizontal="center" vertical="center" wrapText="1"/>
    </xf>
    <xf numFmtId="49" fontId="23" fillId="41" borderId="13" xfId="0" applyFont="1" applyFill="1" applyBorder="1" applyNumberFormat="1">
      <alignment vertical="center" wrapText="1"/>
      <protection locked="0"/>
    </xf>
    <xf numFmtId="49" fontId="55" fillId="0" borderId="13" xfId="0" applyFont="1" applyBorder="1" applyNumberFormat="1">
      <alignment horizontal="left" vertical="center" wrapText="1"/>
    </xf>
    <xf numFmtId="0" fontId="56" fillId="0" borderId="0" xfId="0" applyFont="1">
      <alignment vertical="center"/>
    </xf>
    <xf numFmtId="0" fontId="56" fillId="0" borderId="0" xfId="0" applyFont="1">
      <alignment vertical="center"/>
    </xf>
    <xf numFmtId="49" fontId="0" fillId="0" borderId="0" xfId="0" applyFont="1" applyNumberFormat="1">
      <alignment vertical="top"/>
    </xf>
    <xf numFmtId="0" fontId="45" fillId="0" borderId="25" xfId="0" applyFont="1" applyBorder="1">
      <alignment vertical="top" wrapText="1"/>
    </xf>
    <xf numFmtId="0" fontId="23" fillId="0" borderId="24" xfId="0" applyFont="1" applyBorder="1">
      <alignment horizontal="center" vertical="center" wrapText="1"/>
    </xf>
    <xf numFmtId="0" fontId="56" fillId="0" borderId="24" xfId="0" applyFont="1" applyBorder="1">
      <alignment horizontal="center" vertical="center" wrapText="1"/>
    </xf>
    <xf numFmtId="14" fontId="23" fillId="42" borderId="24" xfId="0" applyFont="1" applyFill="1" applyBorder="1" applyNumberFormat="1">
      <alignment horizontal="left" vertical="center" wrapText="1" indent="1"/>
    </xf>
    <xf numFmtId="49" fontId="23" fillId="38" borderId="24" xfId="0" applyFont="1" applyFill="1" applyBorder="1" applyNumberFormat="1">
      <alignment horizontal="center" vertical="center" wrapText="1"/>
    </xf>
    <xf numFmtId="0" fontId="80" fillId="0" borderId="0" xfId="0" applyFont="1">
      <alignment vertical="center" wrapText="1"/>
    </xf>
    <xf numFmtId="49" fontId="55" fillId="0" borderId="0" xfId="0" applyFont="1" applyNumberFormat="1">
      <alignment vertical="top"/>
    </xf>
    <xf numFmtId="49" fontId="56" fillId="0" borderId="0" xfId="0" applyFont="1" applyNumberFormat="1">
      <alignment vertical="top"/>
    </xf>
    <xf numFmtId="0" fontId="0" fillId="0" borderId="0" xfId="0" applyFont="1">
      <alignment vertical="center" wrapText="1"/>
    </xf>
    <xf numFmtId="0" fontId="45" fillId="0" borderId="0" xfId="0" applyFont="1">
      <alignment vertical="top" wrapText="1"/>
    </xf>
    <xf numFmtId="49" fontId="35" fillId="40" borderId="15" xfId="0" applyFont="1" applyFill="1" applyBorder="1" applyNumberFormat="1">
      <alignment horizontal="right" vertical="center" wrapText="1"/>
    </xf>
    <xf numFmtId="49" fontId="35" fillId="40" borderId="16" xfId="0" applyFont="1" applyFill="1" applyBorder="1" applyNumberFormat="1">
      <alignment horizontal="right" vertical="center" wrapText="1"/>
    </xf>
    <xf numFmtId="49" fontId="49" fillId="40" borderId="16" xfId="0" applyFont="1" applyFill="1" applyBorder="1" applyNumberFormat="1">
      <alignment horizontal="left" vertical="center" indent="1"/>
    </xf>
    <xf numFmtId="49" fontId="0" fillId="40" borderId="16" xfId="0" applyFont="1" applyFill="1" applyBorder="1" applyNumberFormat="1">
      <alignment horizontal="right" vertical="center" wrapText="1"/>
    </xf>
    <xf numFmtId="49" fontId="0" fillId="40" borderId="14" xfId="0" applyFont="1" applyFill="1" applyBorder="1" applyNumberFormat="1">
      <alignment horizontal="right" vertical="center" wrapText="1"/>
    </xf>
    <xf numFmtId="49" fontId="23" fillId="40" borderId="15" xfId="0" applyFont="1" applyFill="1" applyBorder="1" applyNumberFormat="1">
      <alignment horizontal="right" vertical="center" wrapText="1"/>
    </xf>
    <xf numFmtId="49" fontId="23" fillId="40" borderId="16" xfId="0" applyFont="1" applyFill="1" applyBorder="1" applyNumberFormat="1">
      <alignment horizontal="right" vertical="center" wrapText="1"/>
    </xf>
    <xf numFmtId="49" fontId="49" fillId="40" borderId="16" xfId="0" applyFont="1" applyFill="1" applyBorder="1" applyNumberFormat="1">
      <alignment horizontal="left" vertical="center"/>
    </xf>
    <xf numFmtId="49" fontId="23" fillId="40" borderId="14" xfId="0" applyFont="1" applyFill="1" applyBorder="1" applyNumberFormat="1">
      <alignment horizontal="right" vertical="center" wrapText="1"/>
    </xf>
    <xf numFmtId="0" fontId="46" fillId="0" borderId="0" xfId="0" applyFont="1">
      <alignment horizontal="center" vertical="center" wrapText="1"/>
    </xf>
    <xf numFmtId="0" fontId="23" fillId="0" borderId="22" xfId="0" applyFont="1" applyBorder="1">
      <alignment vertical="center" wrapText="1"/>
    </xf>
    <xf numFmtId="0" fontId="23" fillId="0" borderId="0" xfId="0" applyFont="1">
      <alignment vertical="center" wrapText="1"/>
    </xf>
    <xf numFmtId="0" fontId="54" fillId="0" borderId="0" xfId="0" applyFont="1">
      <alignment vertical="center" wrapText="1"/>
    </xf>
    <xf numFmtId="0" fontId="100" fillId="0" borderId="0" xfId="0" applyFont="1">
      <alignment vertical="center" wrapText="1"/>
    </xf>
    <xf numFmtId="0" fontId="58" fillId="0" borderId="0" xfId="0" applyFont="1">
      <alignment horizontal="center" vertical="center" wrapText="1"/>
    </xf>
    <xf numFmtId="0" fontId="23" fillId="0" borderId="0" xfId="0" applyFont="1">
      <alignment vertical="center"/>
    </xf>
    <xf numFmtId="0" fontId="23" fillId="0" borderId="21" xfId="0" applyFont="1" applyBorder="1">
      <alignment horizontal="left" vertical="center" wrapText="1" indent="1"/>
    </xf>
    <xf numFmtId="0" fontId="23" fillId="0" borderId="18" xfId="0" applyFont="1" applyBorder="1">
      <alignment horizontal="left" vertical="center" wrapText="1" indent="1"/>
    </xf>
    <xf numFmtId="0" fontId="23" fillId="0" borderId="38" xfId="0" applyFont="1" applyBorder="1">
      <alignment horizontal="left" vertical="center" wrapText="1" indent="1"/>
    </xf>
    <xf numFmtId="0" fontId="55" fillId="0" borderId="0" xfId="0" applyFont="1">
      <alignment vertical="center"/>
    </xf>
    <xf numFmtId="0" fontId="50" fillId="0" borderId="0" xfId="0" applyFont="1">
      <alignment vertical="center"/>
    </xf>
    <xf numFmtId="0" fontId="23" fillId="0" borderId="31" xfId="0" applyFont="1" applyBorder="1">
      <alignment horizontal="left" vertical="center" indent="1"/>
    </xf>
    <xf numFmtId="0" fontId="23" fillId="0" borderId="24" xfId="0" applyFont="1" applyBorder="1">
      <alignment horizontal="left" vertical="center" indent="1"/>
    </xf>
    <xf numFmtId="0" fontId="23" fillId="0" borderId="28" xfId="0" applyFont="1" applyBorder="1">
      <alignment horizontal="left" vertical="center" indent="1"/>
    </xf>
    <xf numFmtId="0" fontId="92" fillId="0" borderId="0" xfId="0" applyFont="1">
      <alignment vertical="center"/>
    </xf>
    <xf numFmtId="0" fontId="57" fillId="0" borderId="0" xfId="0" applyFont="1">
      <alignment vertical="center"/>
    </xf>
    <xf numFmtId="0" fontId="115" fillId="0" borderId="0" xfId="0" applyFont="1">
      <alignment vertical="center"/>
    </xf>
    <xf numFmtId="0" fontId="50" fillId="0" borderId="0" xfId="0" applyFont="1">
      <alignment vertical="center"/>
    </xf>
    <xf numFmtId="0" fontId="23" fillId="0" borderId="0" xfId="0" applyFont="1">
      <alignment horizontal="center" vertical="center" wrapText="1"/>
    </xf>
    <xf numFmtId="0" fontId="23" fillId="0" borderId="0" xfId="0" applyFont="1">
      <alignment vertical="center" wrapText="1"/>
    </xf>
    <xf numFmtId="0" fontId="92" fillId="0" borderId="0" xfId="0" applyFont="1">
      <alignment vertical="center"/>
    </xf>
    <xf numFmtId="0" fontId="57" fillId="0" borderId="0" xfId="0" applyFont="1">
      <alignment vertical="center"/>
    </xf>
    <xf numFmtId="0" fontId="115" fillId="0" borderId="0" xfId="0" applyFont="1">
      <alignment vertical="center"/>
    </xf>
    <xf numFmtId="0" fontId="0" fillId="0" borderId="0" xfId="0" applyFont="1">
      <alignment horizontal="left" vertical="center" wrapText="1" indent="2"/>
    </xf>
    <xf numFmtId="0" fontId="0" fillId="0" borderId="0" xfId="0" applyFont="1">
      <alignment horizontal="left" vertical="center" indent="2"/>
    </xf>
    <xf numFmtId="0" fontId="36" fillId="0" borderId="0" xfId="0" applyFont="1">
      <alignment vertical="center"/>
    </xf>
    <xf numFmtId="0" fontId="23" fillId="43" borderId="0" xfId="0" applyFont="1" applyFill="1">
      <alignment horizontal="center" vertical="center" wrapText="1"/>
    </xf>
    <xf numFmtId="0" fontId="23" fillId="0" borderId="0" xfId="0" applyFont="1">
      <alignment vertical="center" wrapText="1"/>
    </xf>
    <xf numFmtId="0" fontId="23" fillId="0" borderId="13" xfId="0" applyFont="1" applyBorder="1">
      <alignment horizontal="center" vertical="center" wrapText="1"/>
    </xf>
    <xf numFmtId="0" fontId="81" fillId="0" borderId="38" xfId="0" applyFont="1" applyBorder="1">
      <alignment horizontal="center" vertical="center" wrapText="1"/>
    </xf>
    <xf numFmtId="0" fontId="81" fillId="0" borderId="20" xfId="0" applyFont="1" applyBorder="1">
      <alignment horizontal="center" vertical="center" wrapText="1"/>
    </xf>
    <xf numFmtId="0" fontId="81" fillId="0" borderId="13" xfId="0" applyFont="1" applyBorder="1">
      <alignment horizontal="center" vertical="center" wrapText="1"/>
    </xf>
    <xf numFmtId="0" fontId="23" fillId="0" borderId="0" xfId="0" applyFont="1">
      <alignment horizontal="center" vertical="center" wrapText="1"/>
    </xf>
    <xf numFmtId="0" fontId="88" fillId="0" borderId="0" xfId="0" applyFont="1">
      <alignment horizontal="center" vertical="center" wrapText="1"/>
    </xf>
    <xf numFmtId="0" fontId="23" fillId="0" borderId="13" xfId="0" applyFont="1" applyBorder="1">
      <alignment horizontal="center" vertical="center" wrapText="1"/>
    </xf>
    <xf numFmtId="0" fontId="23" fillId="0" borderId="74" xfId="0" applyFont="1" applyBorder="1">
      <alignment horizontal="center" vertical="center" wrapText="1"/>
    </xf>
    <xf numFmtId="0" fontId="23" fillId="0" borderId="75" xfId="0" applyFont="1" applyBorder="1">
      <alignment horizontal="center" vertical="center" wrapText="1"/>
    </xf>
    <xf numFmtId="0" fontId="55" fillId="0" borderId="23" xfId="0" applyFont="1" applyBorder="1">
      <alignment vertical="center"/>
    </xf>
    <xf numFmtId="0" fontId="0" fillId="0" borderId="0" xfId="0" applyFont="1">
      <alignment vertical="center"/>
    </xf>
    <xf numFmtId="49" fontId="45" fillId="0" borderId="0" xfId="0" applyFont="1" applyNumberFormat="1">
      <alignment horizontal="center" vertical="center" wrapText="1"/>
    </xf>
    <xf numFmtId="49" fontId="45" fillId="0" borderId="13" xfId="0" applyFont="1" applyBorder="1" applyNumberFormat="1">
      <alignment horizontal="center" vertical="center" wrapText="1"/>
    </xf>
    <xf numFmtId="49" fontId="45" fillId="0" borderId="72" xfId="0" applyFont="1" applyBorder="1" applyNumberFormat="1">
      <alignment horizontal="center" vertical="center" wrapText="1"/>
    </xf>
    <xf numFmtId="49" fontId="45" fillId="0" borderId="73" xfId="0" applyFont="1" applyBorder="1" applyNumberFormat="1">
      <alignment horizontal="center" vertical="center" wrapText="1"/>
    </xf>
    <xf numFmtId="49" fontId="45" fillId="0" borderId="15" xfId="0" applyFont="1" applyBorder="1" applyNumberFormat="1">
      <alignment horizontal="center" vertical="center" wrapText="1"/>
    </xf>
    <xf numFmtId="49" fontId="45" fillId="0" borderId="14" xfId="0" applyFont="1" applyBorder="1" applyNumberFormat="1">
      <alignment horizontal="center" vertical="center" wrapText="1"/>
    </xf>
    <xf numFmtId="0" fontId="55" fillId="0" borderId="23" xfId="0" applyFont="1" applyBorder="1">
      <alignment vertical="center"/>
    </xf>
    <xf numFmtId="0" fontId="56" fillId="0" borderId="0" xfId="0" applyFont="1">
      <alignment vertical="center"/>
    </xf>
    <xf numFmtId="0" fontId="56" fillId="0" borderId="0" xfId="0" applyFont="1">
      <alignment vertical="center"/>
    </xf>
    <xf numFmtId="0" fontId="23" fillId="0" borderId="0" xfId="0" applyFont="1">
      <alignment vertical="center"/>
    </xf>
    <xf numFmtId="0" fontId="55" fillId="0" borderId="0" xfId="0" applyFont="1">
      <alignment vertical="center"/>
    </xf>
    <xf numFmtId="0" fontId="56" fillId="0" borderId="0" xfId="0" applyFont="1">
      <alignment horizontal="center" vertical="center"/>
    </xf>
    <xf numFmtId="0" fontId="23" fillId="0" borderId="0" xfId="0" applyFont="1">
      <alignment horizontal="center" vertical="center" wrapText="1"/>
    </xf>
    <xf numFmtId="0" fontId="23" fillId="40" borderId="15" xfId="0" applyFont="1" applyFill="1" applyBorder="1">
      <alignment horizontal="center" vertical="center" wrapText="1"/>
    </xf>
    <xf numFmtId="49" fontId="23" fillId="40" borderId="16" xfId="0" applyFont="1" applyFill="1" applyBorder="1" applyNumberFormat="1">
      <alignment horizontal="center" vertical="center" wrapText="1"/>
    </xf>
    <xf numFmtId="49" fontId="23" fillId="40" borderId="16" xfId="0" applyFont="1" applyFill="1" applyBorder="1" applyNumberFormat="1">
      <alignment horizontal="center" vertical="center" wrapText="1"/>
    </xf>
    <xf numFmtId="49" fontId="23" fillId="40" borderId="42" xfId="0" applyFont="1" applyFill="1" applyBorder="1" applyNumberFormat="1">
      <alignment horizontal="center" vertical="center" wrapText="1"/>
    </xf>
    <xf numFmtId="49" fontId="0" fillId="40" borderId="16" xfId="0" applyFont="1" applyFill="1" applyBorder="1" applyNumberFormat="1">
      <alignment horizontal="left" vertical="center"/>
    </xf>
    <xf numFmtId="0" fontId="0" fillId="40" borderId="14" xfId="0" applyFont="1" applyFill="1" applyBorder="1">
      <alignment vertical="center"/>
    </xf>
    <xf numFmtId="0" fontId="0" fillId="0" borderId="0" xfId="0" applyFont="1">
      <alignment vertical="center"/>
    </xf>
    <xf numFmtId="49" fontId="0" fillId="0" borderId="0" xfId="0" applyFont="1" applyNumberFormat="1">
      <alignment vertical="top"/>
    </xf>
    <xf numFmtId="0" fontId="46" fillId="0" borderId="0" xfId="0" applyFont="1">
      <alignment horizontal="center" vertical="center" wrapText="1"/>
    </xf>
    <xf numFmtId="49" fontId="23" fillId="0" borderId="13" xfId="0" applyFont="1" applyBorder="1" applyNumberFormat="1">
      <alignment horizontal="center" vertical="center" wrapText="1"/>
    </xf>
    <xf numFmtId="0" fontId="23" fillId="42" borderId="18" xfId="0" applyFont="1" applyFill="1" applyBorder="1">
      <alignment horizontal="left" vertical="center" wrapText="1" indent="2"/>
    </xf>
    <xf numFmtId="49" fontId="23" fillId="42" borderId="24" xfId="0" applyFont="1" applyFill="1" applyBorder="1" applyNumberFormat="1">
      <alignment horizontal="center" vertical="center" wrapText="1"/>
    </xf>
    <xf numFmtId="14" fontId="87" fillId="0" borderId="71" xfId="0" applyFont="1" applyBorder="1" applyNumberFormat="1">
      <alignment horizontal="center" vertical="center" wrapText="1"/>
    </xf>
    <xf numFmtId="0" fontId="23" fillId="0" borderId="71" xfId="0" applyFont="1" applyBorder="1">
      <alignment horizontal="center" vertical="center" wrapText="1"/>
    </xf>
    <xf numFmtId="0" fontId="23" fillId="42" borderId="18" xfId="0" applyFont="1" applyFill="1" applyBorder="1">
      <alignment horizontal="left" vertical="center" wrapText="1" indent="1"/>
      <protection locked="0"/>
    </xf>
    <xf numFmtId="49" fontId="23" fillId="42" borderId="13" xfId="0" applyFont="1" applyFill="1" applyBorder="1" applyNumberFormat="1">
      <alignment horizontal="center" vertical="center" wrapText="1"/>
    </xf>
    <xf numFmtId="49" fontId="23" fillId="0" borderId="18" xfId="0" applyFont="1" applyBorder="1" applyNumberFormat="1">
      <alignment horizontal="center" vertical="center" wrapText="1"/>
    </xf>
    <xf numFmtId="49" fontId="23" fillId="0" borderId="13" xfId="0" applyFont="1" applyBorder="1" applyNumberFormat="1">
      <alignment horizontal="center" vertical="center" wrapText="1"/>
    </xf>
    <xf numFmtId="49" fontId="81" fillId="0" borderId="13" xfId="0" applyFont="1" applyBorder="1" applyNumberFormat="1">
      <alignment horizontal="left" vertical="center" wrapText="1" indent="1"/>
    </xf>
    <xf numFmtId="0" fontId="55" fillId="0" borderId="23" xfId="0" applyFont="1" applyBorder="1">
      <alignment vertical="center"/>
    </xf>
    <xf numFmtId="0" fontId="56" fillId="0" borderId="0" xfId="0" applyFont="1">
      <alignment vertical="center"/>
    </xf>
    <xf numFmtId="0" fontId="23" fillId="0" borderId="0" xfId="0" applyFont="1">
      <alignment vertical="center"/>
    </xf>
    <xf numFmtId="0" fontId="55" fillId="0" borderId="0" xfId="0" applyFont="1">
      <alignment vertical="center"/>
    </xf>
    <xf numFmtId="0" fontId="23" fillId="42" borderId="37" xfId="0" applyFont="1" applyFill="1" applyBorder="1">
      <alignment horizontal="left" vertical="center" wrapText="1" indent="2"/>
    </xf>
    <xf numFmtId="0" fontId="23" fillId="42" borderId="24" xfId="0" applyFont="1" applyFill="1" applyBorder="1">
      <alignment horizontal="left" vertical="center" wrapText="1" indent="1"/>
      <protection locked="0"/>
    </xf>
    <xf numFmtId="49" fontId="49" fillId="40" borderId="14" xfId="0" applyFont="1" applyFill="1" applyBorder="1" applyNumberFormat="1">
      <alignment horizontal="left" vertical="center" indent="1"/>
    </xf>
    <xf numFmtId="0" fontId="23" fillId="42" borderId="24" xfId="0" applyFont="1" applyFill="1" applyBorder="1">
      <alignment horizontal="left" vertical="center" wrapText="1" indent="2"/>
    </xf>
    <xf numFmtId="49" fontId="35" fillId="40" borderId="43" xfId="0" applyFont="1" applyFill="1" applyBorder="1" applyNumberFormat="1">
      <alignment horizontal="right" vertical="center" wrapText="1"/>
    </xf>
    <xf numFmtId="49" fontId="35" fillId="40" borderId="44" xfId="0" applyFont="1" applyFill="1" applyBorder="1" applyNumberFormat="1">
      <alignment horizontal="right" vertical="center" wrapText="1"/>
    </xf>
    <xf numFmtId="49" fontId="49" fillId="40" borderId="16" xfId="0" applyFont="1" applyFill="1" applyBorder="1" applyNumberFormat="1">
      <alignment horizontal="left" vertical="center" indent="1"/>
    </xf>
    <xf numFmtId="49" fontId="35" fillId="40" borderId="14" xfId="0" applyFont="1" applyFill="1" applyBorder="1" applyNumberFormat="1">
      <alignment horizontal="right" vertical="center" wrapText="1"/>
    </xf>
    <xf numFmtId="0" fontId="81" fillId="43" borderId="0" xfId="0" applyFont="1" applyFill="1">
      <alignment vertical="top"/>
    </xf>
    <xf numFmtId="49" fontId="23" fillId="0" borderId="0" xfId="0" applyFont="1" applyNumberFormat="1">
      <alignment vertical="center" wrapText="1"/>
    </xf>
    <xf numFmtId="49" fontId="23" fillId="0" borderId="0" xfId="0" applyFont="1" applyNumberFormat="1">
      <alignment horizontal="center" vertical="center" wrapText="1"/>
    </xf>
    <xf numFmtId="49" fontId="49" fillId="40" borderId="16" xfId="0" applyFont="1" applyFill="1" applyBorder="1" applyNumberFormat="1">
      <alignment horizontal="left" vertical="center" indent="2"/>
    </xf>
    <xf numFmtId="0" fontId="0" fillId="0" borderId="0" xfId="0" applyFont="1">
      <alignment vertical="center"/>
    </xf>
    <xf numFmtId="0" fontId="23" fillId="0" borderId="0" xfId="0" applyFont="1">
      <alignment vertical="center"/>
    </xf>
    <xf numFmtId="0" fontId="56" fillId="0" borderId="0" xfId="0" applyFont="1">
      <alignment vertical="center"/>
    </xf>
    <xf numFmtId="0" fontId="50" fillId="0" borderId="0" xfId="0" applyFont="1">
      <alignment vertical="center"/>
    </xf>
    <xf numFmtId="0" fontId="57" fillId="0" borderId="0" xfId="0" applyFont="1">
      <alignment vertical="center"/>
    </xf>
    <xf numFmtId="0" fontId="23" fillId="0" borderId="21" xfId="0" applyFont="1" applyBorder="1">
      <alignment horizontal="left" vertical="center" wrapText="1" indent="1"/>
    </xf>
    <xf numFmtId="0" fontId="23" fillId="0" borderId="18" xfId="0" applyFont="1" applyBorder="1">
      <alignment horizontal="left" vertical="center" wrapText="1" indent="1"/>
    </xf>
    <xf numFmtId="0" fontId="23" fillId="0" borderId="38" xfId="0" applyFont="1" applyBorder="1">
      <alignment horizontal="left" vertical="center" wrapText="1" indent="1"/>
    </xf>
    <xf numFmtId="0" fontId="70" fillId="0" borderId="0" xfId="0" applyFont="1">
      <alignment vertical="center" wrapText="1"/>
    </xf>
    <xf numFmtId="0" fontId="22" fillId="0" borderId="0" xfId="0" applyFont="1">
      <alignment vertical="center" wrapText="1"/>
    </xf>
    <xf numFmtId="0" fontId="22" fillId="0" borderId="0" xfId="0" applyFont="1">
      <alignment vertical="center" wrapText="1"/>
    </xf>
    <xf numFmtId="0" fontId="115" fillId="0" borderId="0" xfId="0" applyFont="1">
      <alignment vertical="center"/>
    </xf>
    <xf numFmtId="0" fontId="23" fillId="0" borderId="29" xfId="0" applyFont="1" applyBorder="1">
      <alignment horizontal="left" vertical="center" indent="1"/>
    </xf>
    <xf numFmtId="0" fontId="73" fillId="0" borderId="0" xfId="0" applyFont="1">
      <alignment vertical="center"/>
    </xf>
    <xf numFmtId="0" fontId="56" fillId="0" borderId="0" xfId="0" applyFont="1">
      <alignment vertical="center"/>
    </xf>
    <xf numFmtId="0" fontId="79" fillId="0" borderId="25" xfId="0" applyFont="1" applyBorder="1">
      <alignment horizontal="left" vertical="center" wrapText="1" indent="1"/>
    </xf>
    <xf numFmtId="0" fontId="79" fillId="0" borderId="37" xfId="0" applyFont="1" applyBorder="1">
      <alignment horizontal="left" vertical="center" wrapText="1" indent="1"/>
    </xf>
    <xf numFmtId="0" fontId="79" fillId="0" borderId="23" xfId="0" applyFont="1" applyBorder="1">
      <alignment horizontal="left" vertical="center" wrapText="1" indent="1"/>
    </xf>
    <xf numFmtId="0" fontId="73" fillId="0" borderId="0" xfId="0" applyFont="1">
      <alignment vertical="center"/>
    </xf>
    <xf numFmtId="0" fontId="23" fillId="0" borderId="0" xfId="0" applyFont="1">
      <alignment vertical="center"/>
    </xf>
    <xf numFmtId="0" fontId="36" fillId="0" borderId="0" xfId="0" applyFont="1">
      <alignment vertical="center"/>
    </xf>
    <xf numFmtId="0" fontId="50" fillId="0" borderId="0" xfId="0" applyFont="1">
      <alignment vertical="center"/>
    </xf>
    <xf numFmtId="0" fontId="23" fillId="0" borderId="15" xfId="0" applyFont="1" applyBorder="1">
      <alignment horizontal="center" vertical="center" wrapText="1"/>
    </xf>
    <xf numFmtId="0" fontId="23" fillId="0" borderId="14" xfId="0" applyFont="1" applyBorder="1">
      <alignment horizontal="center" vertical="center" wrapText="1"/>
    </xf>
    <xf numFmtId="0" fontId="0" fillId="0" borderId="13" xfId="0" applyFont="1" applyBorder="1">
      <alignment horizontal="center" vertical="center" wrapText="1"/>
    </xf>
    <xf numFmtId="0" fontId="55" fillId="0" borderId="0" xfId="0" applyFont="1">
      <alignment vertical="center"/>
    </xf>
    <xf numFmtId="0" fontId="23" fillId="0" borderId="13" xfId="0" applyFont="1" applyBorder="1">
      <alignment horizontal="center" vertical="center" wrapText="1"/>
    </xf>
    <xf numFmtId="0" fontId="23" fillId="0" borderId="13" xfId="0" applyFont="1" applyBorder="1">
      <alignment horizontal="center" vertical="center" wrapText="1"/>
    </xf>
    <xf numFmtId="0" fontId="23" fillId="0" borderId="13" xfId="0" applyFont="1" applyBorder="1">
      <alignment horizontal="center" vertical="center" wrapText="1"/>
    </xf>
    <xf numFmtId="0" fontId="56" fillId="0" borderId="0" xfId="0" applyFont="1">
      <alignment vertical="center"/>
    </xf>
    <xf numFmtId="49" fontId="56" fillId="36" borderId="0" xfId="0" applyFont="1" applyFill="1" applyNumberFormat="1">
      <alignment horizontal="center" vertical="center" wrapText="1"/>
    </xf>
    <xf numFmtId="49" fontId="56" fillId="36" borderId="29" xfId="0" applyFont="1" applyFill="1" applyBorder="1" applyNumberFormat="1">
      <alignment horizontal="center" vertical="center" wrapText="1"/>
    </xf>
    <xf numFmtId="0" fontId="46" fillId="0" borderId="0" xfId="0" applyFont="1">
      <alignment horizontal="center" vertical="center" wrapText="1"/>
    </xf>
    <xf numFmtId="0" fontId="56" fillId="0" borderId="13" xfId="0" applyFont="1" applyBorder="1">
      <alignment horizontal="center" vertical="center"/>
    </xf>
    <xf numFmtId="0" fontId="23" fillId="0" borderId="13" xfId="0" applyFont="1" applyBorder="1">
      <alignment horizontal="center" vertical="center" wrapText="1"/>
    </xf>
    <xf numFmtId="0" fontId="0" fillId="0" borderId="13" xfId="0" applyFont="1" applyBorder="1">
      <alignment horizontal="center" vertical="center"/>
    </xf>
    <xf numFmtId="49" fontId="23" fillId="0" borderId="13" xfId="0" applyFont="1" applyBorder="1" applyNumberFormat="1">
      <alignment horizontal="center" vertical="center" wrapText="1"/>
    </xf>
    <xf numFmtId="49" fontId="23" fillId="0" borderId="13" xfId="0" applyFont="1" applyBorder="1" applyNumberFormat="1">
      <alignment horizontal="center" vertical="center" wrapText="1"/>
    </xf>
    <xf numFmtId="49" fontId="0" fillId="0" borderId="13" xfId="0" applyFont="1" applyBorder="1" applyNumberFormat="1">
      <alignment horizontal="center" vertical="center"/>
    </xf>
    <xf numFmtId="49" fontId="0" fillId="0" borderId="13" xfId="0" applyFont="1" applyBorder="1" applyNumberFormat="1">
      <alignment horizontal="left" vertical="center"/>
    </xf>
    <xf numFmtId="49" fontId="23" fillId="0" borderId="13" xfId="0" applyFont="1" applyBorder="1" applyNumberFormat="1">
      <alignment horizontal="center" vertical="center" wrapText="1"/>
    </xf>
    <xf numFmtId="49" fontId="23" fillId="0" borderId="13" xfId="0" applyFont="1" applyBorder="1" applyNumberFormat="1">
      <alignment horizontal="center" vertical="center" wrapText="1"/>
    </xf>
    <xf numFmtId="49" fontId="0" fillId="0" borderId="13" xfId="0" applyFont="1" applyBorder="1" applyNumberFormat="1">
      <alignment horizontal="left" vertical="center"/>
    </xf>
    <xf numFmtId="0" fontId="0" fillId="0" borderId="0" xfId="0" applyFont="1">
      <alignment vertical="center"/>
    </xf>
    <xf numFmtId="0" fontId="0" fillId="0" borderId="0" xfId="0" applyFont="1">
      <alignment vertical="center"/>
    </xf>
    <xf numFmtId="49" fontId="0" fillId="0" borderId="0" xfId="0" applyFont="1" applyNumberFormat="1">
      <alignment vertical="center"/>
    </xf>
    <xf numFmtId="0" fontId="0" fillId="0" borderId="13" xfId="0" applyFont="1" applyBorder="1">
      <alignment horizontal="center" vertical="top"/>
    </xf>
    <xf numFmtId="0" fontId="23" fillId="0" borderId="13" xfId="0" applyFont="1" applyBorder="1">
      <alignment horizontal="left" vertical="top" wrapText="1"/>
    </xf>
    <xf numFmtId="0" fontId="23" fillId="42" borderId="18" xfId="0" applyFont="1" applyFill="1" applyBorder="1">
      <alignment horizontal="center" vertical="top" wrapText="1"/>
    </xf>
    <xf numFmtId="0" fontId="23" fillId="42" borderId="13" xfId="0" applyFont="1" applyFill="1" applyBorder="1">
      <alignment horizontal="left" vertical="top" wrapText="1"/>
    </xf>
    <xf numFmtId="0" fontId="0" fillId="0" borderId="38" xfId="0" applyFont="1" applyBorder="1">
      <alignment horizontal="center" vertical="center"/>
    </xf>
    <xf numFmtId="0" fontId="0" fillId="0" borderId="20" xfId="0" applyFont="1" applyBorder="1">
      <alignment horizontal="center" vertical="center"/>
    </xf>
    <xf numFmtId="49" fontId="23" fillId="0" borderId="20" xfId="0" applyFont="1" applyBorder="1" applyNumberFormat="1">
      <alignment horizontal="left" vertical="center" wrapText="1"/>
    </xf>
    <xf numFmtId="49" fontId="23" fillId="0" borderId="20" xfId="0" applyFont="1" applyBorder="1" applyNumberFormat="1">
      <alignment horizontal="center" vertical="center" wrapText="1"/>
    </xf>
    <xf numFmtId="49" fontId="23" fillId="0" borderId="20" xfId="0" applyFont="1" applyBorder="1" applyNumberFormat="1">
      <alignment horizontal="center" vertical="center" wrapText="1"/>
    </xf>
    <xf numFmtId="0" fontId="0" fillId="0" borderId="20" xfId="0" applyFont="1" applyBorder="1">
      <alignment horizontal="left" vertical="center" wrapText="1"/>
    </xf>
    <xf numFmtId="49" fontId="0" fillId="0" borderId="20" xfId="0" applyFont="1" applyBorder="1" applyNumberFormat="1">
      <alignment horizontal="left" vertical="center" wrapText="1"/>
    </xf>
    <xf numFmtId="49" fontId="23" fillId="0" borderId="20" xfId="0" applyFont="1" applyBorder="1" applyNumberFormat="1">
      <alignment horizontal="center" vertical="center" wrapText="1"/>
    </xf>
    <xf numFmtId="49" fontId="0" fillId="0" borderId="20" xfId="0" applyFont="1" applyBorder="1" applyNumberFormat="1">
      <alignment horizontal="left" vertical="center" wrapText="1"/>
    </xf>
    <xf numFmtId="49" fontId="23" fillId="0" borderId="21" xfId="0" applyFont="1" applyBorder="1" applyNumberFormat="1">
      <alignment horizontal="left" vertical="center" wrapText="1"/>
    </xf>
    <xf numFmtId="0" fontId="23" fillId="0" borderId="0" xfId="0" applyFont="1">
      <alignment horizontal="left" vertical="center" indent="1"/>
    </xf>
    <xf numFmtId="0" fontId="56" fillId="0" borderId="0" xfId="0" applyFont="1">
      <alignment horizontal="left" vertical="center" indent="1"/>
    </xf>
    <xf numFmtId="0" fontId="0" fillId="0" borderId="0" xfId="0" applyFont="1">
      <alignment vertical="center"/>
    </xf>
    <xf numFmtId="0" fontId="23" fillId="42" borderId="37" xfId="0" applyFont="1" applyFill="1" applyBorder="1">
      <alignment horizontal="center" vertical="top" wrapText="1"/>
    </xf>
    <xf numFmtId="0" fontId="0" fillId="0" borderId="23" xfId="0" applyFont="1" applyBorder="1">
      <alignment horizontal="center" vertical="center"/>
    </xf>
    <xf numFmtId="0" fontId="0" fillId="0" borderId="0" xfId="0" applyFont="1">
      <alignment horizontal="center" vertical="center"/>
    </xf>
    <xf numFmtId="49" fontId="23" fillId="0" borderId="0" xfId="0" applyFont="1" applyNumberFormat="1">
      <alignment horizontal="left" vertical="center" wrapText="1"/>
    </xf>
    <xf numFmtId="49" fontId="23" fillId="0" borderId="0" xfId="0" applyFont="1" applyNumberFormat="1">
      <alignment horizontal="center" vertical="center" wrapText="1"/>
    </xf>
    <xf numFmtId="49" fontId="23" fillId="0" borderId="0" xfId="0" applyFont="1" applyNumberFormat="1">
      <alignment horizontal="center" vertical="center" wrapText="1"/>
    </xf>
    <xf numFmtId="0" fontId="0" fillId="0" borderId="0" xfId="0" applyFont="1">
      <alignment horizontal="left" vertical="center" wrapText="1"/>
    </xf>
    <xf numFmtId="49" fontId="0" fillId="0" borderId="0" xfId="0" applyFont="1" applyNumberFormat="1">
      <alignment horizontal="left" vertical="center" wrapText="1"/>
    </xf>
    <xf numFmtId="0" fontId="49" fillId="0" borderId="0" xfId="0" applyFont="1">
      <alignment horizontal="left" vertical="center"/>
    </xf>
    <xf numFmtId="0" fontId="49" fillId="0" borderId="25" xfId="0" applyFont="1" applyBorder="1">
      <alignment horizontal="left" vertical="center"/>
    </xf>
    <xf numFmtId="0" fontId="23" fillId="0" borderId="0" xfId="0" applyFont="1">
      <alignment vertical="center"/>
    </xf>
    <xf numFmtId="0" fontId="0" fillId="0" borderId="0" xfId="0" applyFont="1">
      <alignment vertical="center"/>
    </xf>
    <xf numFmtId="49" fontId="0" fillId="0" borderId="0" xfId="0" applyFont="1" applyNumberFormat="1">
      <alignment horizontal="left" vertical="top"/>
    </xf>
    <xf numFmtId="49" fontId="23" fillId="0" borderId="0" xfId="0" applyFont="1" applyNumberFormat="1">
      <alignment horizontal="center" vertical="center" wrapText="1"/>
    </xf>
    <xf numFmtId="0" fontId="0" fillId="0" borderId="0" xfId="0" applyFont="1">
      <alignment vertical="center"/>
    </xf>
    <xf numFmtId="49" fontId="0" fillId="0" borderId="13" xfId="0" applyFont="1" applyBorder="1" applyNumberFormat="1">
      <alignment vertical="top"/>
    </xf>
    <xf numFmtId="49" fontId="0" fillId="0" borderId="13" xfId="0" applyFont="1" applyBorder="1" applyNumberFormat="1">
      <alignment horizontal="left" vertical="top"/>
    </xf>
    <xf numFmtId="0" fontId="23" fillId="42" borderId="24" xfId="0" applyFont="1" applyFill="1" applyBorder="1">
      <alignment horizontal="center" vertical="top" wrapText="1"/>
    </xf>
    <xf numFmtId="49" fontId="0" fillId="42" borderId="13" xfId="0" applyFont="1" applyFill="1" applyBorder="1" applyNumberFormat="1">
      <alignment horizontal="left" vertical="top"/>
    </xf>
    <xf numFmtId="0" fontId="49" fillId="0" borderId="28" xfId="0" applyFont="1" applyBorder="1">
      <alignment horizontal="left" vertical="center"/>
    </xf>
    <xf numFmtId="0" fontId="49" fillId="0" borderId="29" xfId="0" applyFont="1" applyBorder="1">
      <alignment horizontal="left" vertical="center"/>
    </xf>
    <xf numFmtId="0" fontId="0" fillId="0" borderId="29" xfId="0" applyFont="1" applyBorder="1">
      <alignment vertical="center"/>
    </xf>
    <xf numFmtId="0" fontId="49" fillId="0" borderId="31" xfId="0" applyFont="1" applyBorder="1">
      <alignment horizontal="left" vertical="center"/>
    </xf>
    <xf numFmtId="0" fontId="0" fillId="0" borderId="0" xfId="0" applyFont="1">
      <alignment vertical="center"/>
    </xf>
    <xf numFmtId="49" fontId="56" fillId="0" borderId="0" xfId="0" applyFont="1" applyNumberFormat="1">
      <alignment horizontal="left" vertical="center" indent="1"/>
    </xf>
    <xf numFmtId="0" fontId="0" fillId="0" borderId="0" xfId="0" applyFont="1">
      <alignment vertical="center"/>
    </xf>
    <xf numFmtId="0" fontId="0" fillId="0" borderId="0" xfId="0" applyFont="1">
      <alignment vertical="center"/>
    </xf>
    <xf numFmtId="0" fontId="0" fillId="0" borderId="18" xfId="0" applyFont="1" applyBorder="1">
      <alignment horizontal="center" vertical="top"/>
    </xf>
    <xf numFmtId="0" fontId="23" fillId="0" borderId="18" xfId="0" applyFont="1" applyBorder="1">
      <alignment horizontal="left" vertical="top" wrapText="1"/>
    </xf>
    <xf numFmtId="0" fontId="23" fillId="42" borderId="18" xfId="0" applyFont="1" applyFill="1" applyBorder="1">
      <alignment horizontal="left" vertical="top" wrapText="1"/>
    </xf>
    <xf numFmtId="0" fontId="0" fillId="0" borderId="37" xfId="0" applyFont="1" applyBorder="1">
      <alignment horizontal="center" vertical="top"/>
    </xf>
    <xf numFmtId="0" fontId="23" fillId="0" borderId="37" xfId="0" applyFont="1" applyBorder="1">
      <alignment horizontal="left" vertical="top" wrapText="1"/>
    </xf>
    <xf numFmtId="0" fontId="23" fillId="42" borderId="37" xfId="0" applyFont="1" applyFill="1" applyBorder="1">
      <alignment horizontal="left" vertical="top" wrapText="1"/>
    </xf>
    <xf numFmtId="0" fontId="0" fillId="0" borderId="24" xfId="0" applyFont="1" applyBorder="1">
      <alignment horizontal="center" vertical="top"/>
    </xf>
    <xf numFmtId="0" fontId="23" fillId="0" borderId="24" xfId="0" applyFont="1" applyBorder="1">
      <alignment horizontal="left" vertical="top" wrapText="1"/>
    </xf>
    <xf numFmtId="0" fontId="23" fillId="42" borderId="24" xfId="0" applyFont="1" applyFill="1" applyBorder="1">
      <alignment horizontal="left" vertical="top" wrapText="1"/>
    </xf>
    <xf numFmtId="49" fontId="23" fillId="0" borderId="20" xfId="0" applyFont="1" applyBorder="1" applyNumberFormat="1">
      <alignment horizontal="center" vertical="center" wrapText="1"/>
    </xf>
    <xf numFmtId="49" fontId="0" fillId="0" borderId="20" xfId="0" applyFont="1" applyBorder="1" applyNumberFormat="1">
      <alignment horizontal="left" vertical="center" wrapText="1"/>
    </xf>
    <xf numFmtId="49" fontId="23" fillId="0" borderId="0" xfId="0" applyFont="1" applyNumberFormat="1">
      <alignment horizontal="center" vertical="center" wrapText="1"/>
    </xf>
    <xf numFmtId="0" fontId="0" fillId="0" borderId="0" xfId="0" applyFont="1">
      <alignment horizontal="left" vertical="top" wrapText="1"/>
    </xf>
    <xf numFmtId="0" fontId="0" fillId="0" borderId="0" xfId="0" applyFont="1" quotePrefix="1">
      <alignment horizontal="left" vertical="top" wrapText="1" indent="1"/>
    </xf>
    <xf numFmtId="0" fontId="0" fillId="0" borderId="0" xfId="0" applyFont="1">
      <alignment horizontal="left" vertical="top" wrapText="1" indent="1"/>
    </xf>
    <xf numFmtId="0" fontId="0" fillId="0" borderId="0" xfId="0" applyFont="1">
      <alignment horizontal="left" vertical="top" wrapText="1"/>
    </xf>
    <xf numFmtId="0" fontId="0" fillId="0" borderId="0" xfId="0" applyFont="1">
      <alignment horizontal="left" vertical="top" wrapText="1"/>
    </xf>
    <xf numFmtId="0" fontId="0" fillId="0" borderId="0" xfId="0" applyFont="1">
      <alignment vertical="top" wrapText="1"/>
    </xf>
    <xf numFmtId="0" fontId="0" fillId="0" borderId="0" xfId="0" applyFont="1">
      <alignment vertical="center"/>
    </xf>
    <xf numFmtId="0" fontId="0" fillId="0" borderId="0" xfId="0" applyFont="1">
      <alignment vertical="center"/>
    </xf>
    <xf numFmtId="49" fontId="23" fillId="0" borderId="20" xfId="0" applyFont="1" applyBorder="1" applyNumberFormat="1">
      <alignment horizontal="center" vertical="center" wrapText="1"/>
    </xf>
    <xf numFmtId="49" fontId="0" fillId="0" borderId="20" xfId="0" applyFont="1" applyBorder="1" applyNumberFormat="1">
      <alignment horizontal="left" vertical="center" wrapText="1"/>
    </xf>
    <xf numFmtId="49" fontId="23" fillId="0" borderId="0" xfId="0" applyFont="1" applyNumberFormat="1">
      <alignment horizontal="center" vertical="center" wrapText="1"/>
    </xf>
    <xf numFmtId="0" fontId="0" fillId="0" borderId="0" xfId="0" applyFont="1">
      <alignment vertical="center"/>
    </xf>
    <xf numFmtId="0" fontId="56" fillId="0" borderId="0" xfId="0" applyFont="1">
      <alignment vertical="center"/>
    </xf>
    <xf numFmtId="0" fontId="0" fillId="0" borderId="0" xfId="0" applyFont="1">
      <alignment vertical="center"/>
    </xf>
    <xf numFmtId="0" fontId="0" fillId="0" borderId="0" xfId="0" applyFont="1">
      <alignment vertical="center"/>
    </xf>
    <xf numFmtId="49" fontId="56" fillId="0" borderId="0" xfId="0" applyFont="1" applyNumberFormat="1">
      <alignment horizontal="center" vertical="center"/>
    </xf>
    <xf numFmtId="49" fontId="55" fillId="0" borderId="0" xfId="0" applyFont="1" applyNumberFormat="1">
      <alignment horizontal="center" vertical="center"/>
    </xf>
    <xf numFmtId="49" fontId="73" fillId="0" borderId="0" xfId="0" applyFont="1" applyNumberFormat="1">
      <alignment vertical="top"/>
    </xf>
    <xf numFmtId="49" fontId="0" fillId="0" borderId="0" xfId="0" applyFont="1" applyNumberFormat="1">
      <alignment vertical="top"/>
    </xf>
    <xf numFmtId="49" fontId="41" fillId="0" borderId="0" xfId="0" applyFont="1" applyNumberFormat="1">
      <alignment vertical="top"/>
    </xf>
    <xf numFmtId="0" fontId="41" fillId="0" borderId="0" xfId="0" applyFont="1">
      <alignment vertical="center" wrapText="1"/>
    </xf>
    <xf numFmtId="0" fontId="23" fillId="0" borderId="0" xfId="0" applyFont="1">
      <alignment vertical="center" wrapText="1"/>
    </xf>
    <xf numFmtId="0" fontId="46" fillId="0" borderId="0" xfId="0" applyFont="1">
      <alignment horizontal="center" vertical="center" wrapText="1"/>
    </xf>
    <xf numFmtId="0" fontId="22" fillId="0" borderId="20" xfId="0" applyFont="1" applyBorder="1">
      <alignment horizontal="left" vertical="center" wrapText="1" indent="1"/>
    </xf>
    <xf numFmtId="0" fontId="22" fillId="0" borderId="0" xfId="0" applyFont="1">
      <alignment horizontal="left" vertical="center" wrapText="1" indent="1"/>
    </xf>
    <xf numFmtId="0" fontId="51" fillId="0" borderId="0" xfId="0" applyFont="1">
      <alignment vertical="center"/>
    </xf>
    <xf numFmtId="0" fontId="120" fillId="0" borderId="0" xfId="0" applyFont="1">
      <alignment vertical="center" wrapText="1"/>
    </xf>
    <xf numFmtId="0" fontId="121" fillId="0" borderId="0" xfId="0" applyFont="1">
      <alignment vertical="center" wrapText="1"/>
    </xf>
    <xf numFmtId="0" fontId="51" fillId="0" borderId="0" xfId="0" applyFont="1">
      <alignment vertical="center" wrapText="1"/>
    </xf>
    <xf numFmtId="0" fontId="41" fillId="0" borderId="0" xfId="0" applyFont="1">
      <alignment vertical="center" wrapText="1"/>
    </xf>
    <xf numFmtId="0" fontId="23" fillId="0" borderId="0" xfId="0" applyFont="1">
      <alignment vertical="center" wrapText="1"/>
    </xf>
    <xf numFmtId="0" fontId="22" fillId="0" borderId="29" xfId="0" applyFont="1" applyBorder="1">
      <alignment horizontal="left" vertical="center" wrapText="1" indent="1"/>
    </xf>
    <xf numFmtId="0" fontId="23" fillId="0" borderId="38" xfId="0" applyFont="1" applyBorder="1">
      <alignment horizontal="center" vertical="center" wrapText="1"/>
    </xf>
    <xf numFmtId="0" fontId="23" fillId="0" borderId="21" xfId="0" applyFont="1" applyBorder="1">
      <alignment horizontal="center" vertical="center" wrapText="1"/>
    </xf>
    <xf numFmtId="0" fontId="23" fillId="0" borderId="37" xfId="0" applyFont="1" applyBorder="1">
      <alignment horizontal="center" vertical="center" wrapText="1"/>
    </xf>
    <xf numFmtId="0" fontId="23" fillId="0" borderId="18" xfId="0" applyFont="1" applyBorder="1">
      <alignment horizontal="center" vertical="center" wrapText="1"/>
    </xf>
    <xf numFmtId="0" fontId="23" fillId="0" borderId="38" xfId="0" applyFont="1" applyBorder="1">
      <alignment horizontal="center" vertical="center" wrapText="1"/>
    </xf>
    <xf numFmtId="0" fontId="23" fillId="0" borderId="15" xfId="0" applyFont="1" applyBorder="1">
      <alignment horizontal="center" vertical="center" wrapText="1"/>
    </xf>
    <xf numFmtId="0" fontId="23" fillId="0" borderId="16" xfId="0" applyFont="1" applyBorder="1">
      <alignment horizontal="center" vertical="center" wrapText="1"/>
    </xf>
    <xf numFmtId="0" fontId="23" fillId="0" borderId="13" xfId="0" applyFont="1" applyBorder="1">
      <alignment horizontal="center" vertical="center" wrapText="1"/>
    </xf>
    <xf numFmtId="0" fontId="23" fillId="0" borderId="18" xfId="0" applyFont="1" applyBorder="1">
      <alignment horizontal="center" vertical="center" wrapText="1"/>
    </xf>
    <xf numFmtId="0" fontId="23" fillId="0" borderId="18" xfId="0" applyFont="1" applyBorder="1">
      <alignment horizontal="center" vertical="center" wrapText="1"/>
    </xf>
    <xf numFmtId="0" fontId="23" fillId="0" borderId="23" xfId="0" applyFont="1" applyBorder="1">
      <alignment horizontal="center" vertical="center" wrapText="1"/>
    </xf>
    <xf numFmtId="0" fontId="23" fillId="0" borderId="25" xfId="0" applyFont="1" applyBorder="1">
      <alignment horizontal="center" vertical="center" wrapText="1"/>
    </xf>
    <xf numFmtId="0" fontId="23" fillId="0" borderId="23" xfId="0" applyFont="1" applyBorder="1">
      <alignment horizontal="center" vertical="center" wrapText="1"/>
    </xf>
    <xf numFmtId="0" fontId="23" fillId="0" borderId="37" xfId="0" applyFont="1" applyBorder="1">
      <alignment horizontal="center" vertical="center" wrapText="1"/>
    </xf>
    <xf numFmtId="0" fontId="23" fillId="0" borderId="28" xfId="0" applyFont="1" applyBorder="1">
      <alignment horizontal="center" vertical="center" wrapText="1"/>
    </xf>
    <xf numFmtId="0" fontId="23" fillId="0" borderId="31" xfId="0" applyFont="1" applyBorder="1">
      <alignment horizontal="center" vertical="center" wrapText="1"/>
    </xf>
    <xf numFmtId="0" fontId="23" fillId="0" borderId="18" xfId="0" applyFont="1" applyBorder="1">
      <alignment horizontal="center" vertical="center" wrapText="1"/>
    </xf>
    <xf numFmtId="0" fontId="23" fillId="0" borderId="38" xfId="0" applyFont="1" applyBorder="1">
      <alignment horizontal="center" vertical="center" wrapText="1"/>
    </xf>
    <xf numFmtId="49" fontId="23" fillId="0" borderId="0" xfId="0" applyFont="1" applyNumberFormat="1">
      <alignment vertical="top"/>
    </xf>
    <xf numFmtId="49" fontId="23" fillId="0" borderId="13" xfId="0" applyFont="1" applyBorder="1" applyNumberFormat="1">
      <alignment horizontal="center" vertical="center"/>
    </xf>
    <xf numFmtId="0" fontId="23" fillId="0" borderId="13" xfId="0" applyFont="1" applyBorder="1">
      <alignment horizontal="left" vertical="center" wrapText="1"/>
    </xf>
    <xf numFmtId="0" fontId="23" fillId="0" borderId="13" xfId="0" applyFont="1" applyBorder="1">
      <alignment horizontal="left" vertical="center" wrapText="1"/>
    </xf>
    <xf numFmtId="49" fontId="23" fillId="42" borderId="18" xfId="0" applyFont="1" applyFill="1" applyBorder="1" applyNumberFormat="1">
      <alignment horizontal="center" vertical="center" wrapText="1"/>
    </xf>
    <xf numFmtId="49" fontId="23" fillId="0" borderId="38" xfId="0" applyFont="1" applyBorder="1" applyNumberFormat="1">
      <alignment vertical="center" wrapText="1"/>
    </xf>
    <xf numFmtId="0" fontId="23" fillId="0" borderId="20" xfId="0" applyFont="1" applyBorder="1">
      <alignment horizontal="center" vertical="center"/>
    </xf>
    <xf numFmtId="49" fontId="23" fillId="0" borderId="20" xfId="0" applyFont="1" applyBorder="1" applyNumberFormat="1">
      <alignment horizontal="left" vertical="center" wrapText="1"/>
    </xf>
    <xf numFmtId="49" fontId="23" fillId="0" borderId="20" xfId="0" applyFont="1" applyBorder="1" applyNumberFormat="1">
      <alignment vertical="center" wrapText="1"/>
    </xf>
    <xf numFmtId="49" fontId="23" fillId="0" borderId="20" xfId="0" applyFont="1" applyBorder="1" applyNumberFormat="1">
      <alignment horizontal="left" vertical="center" wrapText="1"/>
    </xf>
    <xf numFmtId="49" fontId="23" fillId="0" borderId="20" xfId="0" applyFont="1" applyBorder="1" applyNumberFormat="1">
      <alignment horizontal="left" vertical="center" wrapText="1"/>
    </xf>
    <xf numFmtId="49" fontId="46" fillId="0" borderId="20" xfId="0" applyFont="1" applyBorder="1" applyNumberFormat="1">
      <alignment vertical="center" wrapText="1"/>
    </xf>
    <xf numFmtId="49" fontId="23" fillId="0" borderId="20" xfId="0" applyFont="1" applyBorder="1" applyNumberFormat="1">
      <alignment horizontal="left" vertical="center" wrapText="1"/>
    </xf>
    <xf numFmtId="49" fontId="23" fillId="0" borderId="20" xfId="0" applyFont="1" applyBorder="1" applyNumberFormat="1">
      <alignment horizontal="center" vertical="center" wrapText="1"/>
    </xf>
    <xf numFmtId="0" fontId="23" fillId="0" borderId="20" xfId="0" applyFont="1" applyBorder="1">
      <alignment horizontal="left" vertical="center" wrapText="1"/>
    </xf>
    <xf numFmtId="49" fontId="23" fillId="0" borderId="20" xfId="0" applyFont="1" applyBorder="1" applyNumberFormat="1">
      <alignment horizontal="center" vertical="center" wrapText="1"/>
    </xf>
    <xf numFmtId="49" fontId="23" fillId="0" borderId="20" xfId="0" applyFont="1" applyBorder="1" applyNumberFormat="1">
      <alignment vertical="center" wrapText="1"/>
    </xf>
    <xf numFmtId="49" fontId="23" fillId="42" borderId="37" xfId="0" applyFont="1" applyFill="1" applyBorder="1" applyNumberFormat="1">
      <alignment horizontal="center" vertical="center" wrapText="1"/>
    </xf>
    <xf numFmtId="49" fontId="23" fillId="0" borderId="23" xfId="0" applyFont="1" applyBorder="1" applyNumberFormat="1">
      <alignment vertical="center" wrapText="1"/>
    </xf>
    <xf numFmtId="0" fontId="23" fillId="0" borderId="0" xfId="0" applyFont="1">
      <alignment horizontal="center" vertical="center"/>
    </xf>
    <xf numFmtId="0" fontId="23" fillId="0" borderId="0" xfId="0" applyFont="1">
      <alignment horizontal="left" vertical="center" wrapText="1"/>
    </xf>
    <xf numFmtId="49" fontId="23" fillId="0" borderId="0" xfId="0" applyFont="1" applyNumberFormat="1">
      <alignment vertical="center" wrapText="1"/>
    </xf>
    <xf numFmtId="49" fontId="23" fillId="0" borderId="0" xfId="0" applyFont="1" applyNumberFormat="1">
      <alignment horizontal="left" vertical="center" wrapText="1"/>
    </xf>
    <xf numFmtId="49" fontId="23" fillId="0" borderId="0" xfId="0" applyFont="1" applyNumberFormat="1">
      <alignment horizontal="left" vertical="center" wrapText="1"/>
    </xf>
    <xf numFmtId="49" fontId="46" fillId="0" borderId="0" xfId="0" applyFont="1" applyNumberFormat="1">
      <alignment vertical="center" wrapText="1"/>
    </xf>
    <xf numFmtId="49" fontId="23" fillId="0" borderId="0" xfId="0" applyFont="1" applyNumberFormat="1">
      <alignment horizontal="left" vertical="center" wrapText="1"/>
    </xf>
    <xf numFmtId="49" fontId="23" fillId="0" borderId="0" xfId="0" applyFont="1" applyNumberFormat="1">
      <alignment horizontal="center" vertical="center" wrapText="1"/>
    </xf>
    <xf numFmtId="0" fontId="23" fillId="0" borderId="0" xfId="0" applyFont="1">
      <alignment horizontal="left" vertical="center" wrapText="1"/>
    </xf>
    <xf numFmtId="0" fontId="49" fillId="0" borderId="0" xfId="0" applyFont="1">
      <alignment horizontal="left" vertical="center"/>
    </xf>
    <xf numFmtId="0" fontId="49" fillId="0" borderId="0" xfId="0" applyFont="1">
      <alignment horizontal="left" vertical="center"/>
    </xf>
    <xf numFmtId="0" fontId="49" fillId="0" borderId="25" xfId="0" applyFont="1" applyBorder="1">
      <alignment horizontal="left" vertical="center"/>
    </xf>
    <xf numFmtId="49" fontId="23" fillId="0" borderId="0" xfId="0" applyFont="1" applyNumberFormat="1">
      <alignment horizontal="center" vertical="center" wrapText="1"/>
    </xf>
    <xf numFmtId="49" fontId="46" fillId="0" borderId="0" xfId="0" applyFont="1" applyNumberFormat="1">
      <alignment horizontal="center" vertical="center" wrapText="1"/>
    </xf>
    <xf numFmtId="0" fontId="49" fillId="0" borderId="0" xfId="0" applyFont="1">
      <alignment vertical="center"/>
    </xf>
    <xf numFmtId="0" fontId="49" fillId="0" borderId="23" xfId="0" applyFont="1" applyBorder="1">
      <alignment horizontal="left" vertical="center"/>
    </xf>
    <xf numFmtId="49" fontId="23" fillId="0" borderId="18" xfId="0" applyFont="1" applyBorder="1" applyNumberFormat="1">
      <alignment horizontal="center" vertical="center"/>
    </xf>
    <xf numFmtId="0" fontId="23" fillId="0" borderId="18" xfId="0" applyFont="1" applyBorder="1">
      <alignment horizontal="left" vertical="center" wrapText="1"/>
    </xf>
    <xf numFmtId="0" fontId="23" fillId="0" borderId="38" xfId="0" applyFont="1" applyBorder="1">
      <alignment horizontal="left" vertical="center" wrapText="1"/>
    </xf>
    <xf numFmtId="49" fontId="73" fillId="0" borderId="28" xfId="0" applyFont="1" applyBorder="1" applyNumberFormat="1">
      <alignment vertical="top"/>
    </xf>
    <xf numFmtId="49" fontId="73" fillId="0" borderId="29" xfId="0" applyFont="1" applyBorder="1" applyNumberFormat="1">
      <alignment vertical="top"/>
    </xf>
    <xf numFmtId="0" fontId="49" fillId="0" borderId="29" xfId="0" applyFont="1" applyBorder="1">
      <alignment horizontal="left" vertical="center"/>
    </xf>
    <xf numFmtId="0" fontId="49" fillId="0" borderId="31" xfId="0" applyFont="1" applyBorder="1">
      <alignment horizontal="left" vertical="center"/>
    </xf>
    <xf numFmtId="0" fontId="23" fillId="0" borderId="0" xfId="0" applyFont="1">
      <alignment horizontal="left" vertical="center" wrapText="1"/>
    </xf>
    <xf numFmtId="0" fontId="23" fillId="0" borderId="15" xfId="0" applyFont="1" applyBorder="1">
      <alignment horizontal="left" vertical="center" wrapText="1"/>
    </xf>
    <xf numFmtId="0" fontId="23" fillId="36" borderId="0" xfId="0" applyFont="1" applyFill="1"/>
    <xf numFmtId="0" fontId="67" fillId="36" borderId="0" xfId="0" applyFont="1" applyFill="1"/>
    <xf numFmtId="0" fontId="56" fillId="36" borderId="0" xfId="0" applyFont="1" applyFill="1"/>
    <xf numFmtId="0" fontId="67" fillId="36" borderId="0" xfId="0" applyFont="1" applyFill="1">
      <alignment horizontal="center"/>
    </xf>
    <xf numFmtId="0" fontId="23" fillId="0" borderId="21" xfId="0" applyFont="1" applyBorder="1">
      <alignment horizontal="left" vertical="center" wrapText="1" indent="1"/>
    </xf>
    <xf numFmtId="0" fontId="23" fillId="0" borderId="18" xfId="0" applyFont="1" applyBorder="1">
      <alignment horizontal="left" vertical="center" wrapText="1" indent="1"/>
    </xf>
    <xf numFmtId="0" fontId="23" fillId="0" borderId="38" xfId="0" applyFont="1" applyBorder="1">
      <alignment horizontal="left" vertical="center" wrapText="1" indent="1"/>
    </xf>
    <xf numFmtId="0" fontId="96" fillId="0" borderId="0" xfId="0" applyFont="1">
      <alignment vertical="center"/>
    </xf>
    <xf numFmtId="0" fontId="23" fillId="0" borderId="29" xfId="0" applyFont="1" applyBorder="1">
      <alignment horizontal="left" vertical="center" wrapText="1" indent="1"/>
    </xf>
    <xf numFmtId="0" fontId="95" fillId="0" borderId="0" xfId="0" applyFont="1">
      <alignment vertical="center"/>
    </xf>
    <xf numFmtId="0" fontId="76" fillId="36" borderId="0" xfId="0" applyFont="1" applyFill="1">
      <alignment horizontal="right" vertical="center"/>
    </xf>
    <xf numFmtId="0" fontId="23" fillId="36" borderId="0" xfId="0" applyFont="1" applyFill="1">
      <alignment vertical="center" wrapText="1"/>
    </xf>
    <xf numFmtId="0" fontId="56" fillId="36" borderId="0" xfId="0" applyFont="1" applyFill="1">
      <alignment vertical="center" wrapText="1"/>
    </xf>
    <xf numFmtId="0" fontId="23" fillId="36" borderId="0" xfId="0" applyFont="1" applyFill="1">
      <alignment horizontal="center" vertical="center" wrapText="1"/>
    </xf>
    <xf numFmtId="0" fontId="99" fillId="36" borderId="0" xfId="0" applyFont="1" applyFill="1">
      <alignment horizontal="left" vertical="center" wrapText="1"/>
    </xf>
    <xf numFmtId="49" fontId="0" fillId="36" borderId="13" xfId="0" applyFont="1" applyFill="1" applyBorder="1" applyNumberFormat="1">
      <alignment horizontal="center" vertical="center" wrapText="1"/>
    </xf>
    <xf numFmtId="49" fontId="23" fillId="36" borderId="13" xfId="0" applyFont="1" applyFill="1" applyBorder="1" applyNumberFormat="1">
      <alignment horizontal="center" vertical="center" wrapText="1"/>
    </xf>
    <xf numFmtId="0" fontId="0" fillId="36" borderId="13" xfId="0" applyFont="1" applyFill="1" applyBorder="1">
      <alignment horizontal="center" vertical="center" wrapText="1"/>
    </xf>
    <xf numFmtId="49" fontId="23" fillId="36" borderId="13" xfId="0" applyFont="1" applyFill="1" applyBorder="1" applyNumberFormat="1">
      <alignment horizontal="center" vertical="center" wrapText="1"/>
    </xf>
    <xf numFmtId="0" fontId="0" fillId="36" borderId="13" xfId="0" applyFont="1" applyFill="1" applyBorder="1">
      <alignment horizontal="center" vertical="center" wrapText="1"/>
    </xf>
    <xf numFmtId="0" fontId="23" fillId="36" borderId="13" xfId="0" applyFont="1" applyFill="1" applyBorder="1">
      <alignment horizontal="center" vertical="center" wrapText="1"/>
    </xf>
    <xf numFmtId="0" fontId="45" fillId="36" borderId="0" xfId="0" applyFont="1" applyFill="1">
      <alignment horizontal="center" vertical="center"/>
    </xf>
    <xf numFmtId="49" fontId="56" fillId="0" borderId="13" xfId="0" applyFont="1" applyBorder="1" applyNumberFormat="1">
      <alignment horizontal="center" vertical="center"/>
    </xf>
    <xf numFmtId="0" fontId="56" fillId="0" borderId="13" xfId="0" applyFont="1" applyBorder="1">
      <alignment vertical="center" wrapText="1"/>
    </xf>
    <xf numFmtId="0" fontId="56" fillId="0" borderId="13" xfId="0" applyFont="1" applyBorder="1">
      <alignment horizontal="left" vertical="center" wrapText="1"/>
    </xf>
    <xf numFmtId="0" fontId="71" fillId="36" borderId="0" xfId="0" applyFont="1" applyFill="1"/>
    <xf numFmtId="49" fontId="0" fillId="36" borderId="13" xfId="0" applyFont="1" applyFill="1" applyBorder="1" applyNumberFormat="1">
      <alignment horizontal="center" vertical="center"/>
    </xf>
    <xf numFmtId="0" fontId="0" fillId="36" borderId="13" xfId="0" applyFont="1" applyFill="1" applyBorder="1">
      <alignment vertical="center" wrapText="1"/>
    </xf>
    <xf numFmtId="0" fontId="0" fillId="0" borderId="13" xfId="0" applyFont="1" applyBorder="1">
      <alignment horizontal="center" vertical="center" wrapText="1"/>
    </xf>
    <xf numFmtId="0" fontId="23" fillId="36" borderId="13" xfId="0" applyFont="1" applyFill="1" applyBorder="1">
      <alignment vertical="center" wrapText="1"/>
    </xf>
    <xf numFmtId="0" fontId="0" fillId="36" borderId="13" xfId="0" applyFont="1" applyFill="1" applyBorder="1">
      <alignment horizontal="left" vertical="center" wrapText="1" indent="1"/>
    </xf>
    <xf numFmtId="49" fontId="0" fillId="41" borderId="13" xfId="0" applyFont="1" applyFill="1" applyBorder="1" applyNumberFormat="1">
      <alignment horizontal="left" vertical="center" wrapText="1"/>
      <protection locked="0"/>
    </xf>
    <xf numFmtId="0" fontId="56" fillId="0" borderId="13" xfId="0" applyFont="1" applyBorder="1">
      <alignment horizontal="left" vertical="center" wrapText="1" indent="1"/>
    </xf>
    <xf numFmtId="0" fontId="23" fillId="36" borderId="0" xfId="0" applyFont="1" applyFill="1">
      <alignment horizontal="center" vertical="center" wrapText="1"/>
    </xf>
    <xf numFmtId="0" fontId="23" fillId="36" borderId="25" xfId="0" applyFont="1" applyFill="1" applyBorder="1">
      <alignment horizontal="center" vertical="center" wrapText="1"/>
    </xf>
    <xf numFmtId="0" fontId="0" fillId="36" borderId="13" xfId="0" applyFont="1" applyFill="1" applyBorder="1">
      <alignment horizontal="center" vertical="center"/>
    </xf>
    <xf numFmtId="0" fontId="96" fillId="0" borderId="0" xfId="0" applyFont="1">
      <alignment vertical="center" wrapText="1"/>
    </xf>
    <xf numFmtId="0" fontId="0" fillId="36" borderId="13" xfId="0" applyFont="1" applyFill="1" applyBorder="1">
      <alignment horizontal="left" vertical="center" wrapText="1" indent="2"/>
    </xf>
    <xf numFmtId="49" fontId="0" fillId="0" borderId="13" xfId="0" applyFont="1" applyBorder="1" applyNumberFormat="1">
      <alignment horizontal="left" vertical="center" wrapText="1"/>
    </xf>
    <xf numFmtId="49" fontId="56" fillId="36" borderId="13" xfId="0" applyFont="1" applyFill="1" applyBorder="1" applyNumberFormat="1">
      <alignment horizontal="center" vertical="center"/>
    </xf>
    <xf numFmtId="0" fontId="56" fillId="36" borderId="13" xfId="0" applyFont="1" applyFill="1" applyBorder="1">
      <alignment vertical="center" wrapText="1"/>
    </xf>
    <xf numFmtId="0" fontId="56" fillId="0" borderId="13" xfId="0" applyFont="1" applyBorder="1">
      <alignment horizontal="center" vertical="center" wrapText="1"/>
    </xf>
    <xf numFmtId="0" fontId="56" fillId="36" borderId="13" xfId="0" applyFont="1" applyFill="1" applyBorder="1">
      <alignment horizontal="left" vertical="center" wrapText="1" indent="1"/>
    </xf>
    <xf numFmtId="0" fontId="56" fillId="36" borderId="13" xfId="0" applyFont="1" applyFill="1" applyBorder="1">
      <alignment horizontal="left" vertical="center" wrapText="1" indent="2"/>
    </xf>
    <xf numFmtId="49" fontId="56" fillId="0" borderId="13" xfId="0" applyFont="1" applyBorder="1" applyNumberFormat="1">
      <alignment horizontal="left" vertical="center" wrapText="1"/>
    </xf>
    <xf numFmtId="49" fontId="131" fillId="0" borderId="13" xfId="0" applyFont="1" applyBorder="1" applyNumberFormat="1">
      <alignment horizontal="left" vertical="center" wrapText="1"/>
    </xf>
    <xf numFmtId="0" fontId="0" fillId="36" borderId="13" xfId="0" applyFont="1" applyFill="1" applyBorder="1">
      <alignment horizontal="left" vertical="center" wrapText="1"/>
    </xf>
    <xf numFmtId="49" fontId="0" fillId="33" borderId="13" xfId="0" applyFont="1" applyFill="1" applyBorder="1" applyNumberFormat="1">
      <alignment horizontal="left" vertical="center" wrapText="1"/>
      <protection locked="0"/>
    </xf>
    <xf numFmtId="0" fontId="0" fillId="36" borderId="18" xfId="0" applyFont="1" applyFill="1" applyBorder="1">
      <alignment horizontal="left" vertical="center" wrapText="1"/>
    </xf>
    <xf numFmtId="0" fontId="23" fillId="36" borderId="18" xfId="0" applyFont="1" applyFill="1" applyBorder="1">
      <alignment horizontal="left" vertical="top" wrapText="1"/>
    </xf>
    <xf numFmtId="49" fontId="0" fillId="0" borderId="13" xfId="0" applyFont="1" applyBorder="1" applyNumberFormat="1">
      <alignment horizontal="left" vertical="center" wrapText="1" indent="1"/>
    </xf>
    <xf numFmtId="0" fontId="23" fillId="36" borderId="37" xfId="0" applyFont="1" applyFill="1" applyBorder="1">
      <alignment horizontal="left" vertical="top" wrapText="1"/>
    </xf>
    <xf numFmtId="0" fontId="46" fillId="36" borderId="0" xfId="0" applyFont="1" applyFill="1">
      <alignment horizontal="center" vertical="center" wrapText="1"/>
    </xf>
    <xf numFmtId="49" fontId="0" fillId="41" borderId="13" xfId="0" applyFont="1" applyFill="1" applyBorder="1" applyNumberFormat="1">
      <alignment horizontal="left" vertical="center" wrapText="1" indent="1"/>
      <protection locked="0"/>
    </xf>
    <xf numFmtId="49" fontId="23" fillId="41" borderId="15" xfId="0" applyFont="1" applyFill="1" applyBorder="1" applyNumberFormat="1">
      <alignment horizontal="left" vertical="center" wrapText="1"/>
      <protection locked="0"/>
    </xf>
    <xf numFmtId="0" fontId="23" fillId="40" borderId="15" xfId="0" applyFont="1" applyFill="1" applyBorder="1">
      <alignment horizontal="center"/>
    </xf>
    <xf numFmtId="0" fontId="76" fillId="40" borderId="14" xfId="0" applyFont="1" applyFill="1" applyBorder="1">
      <alignment horizontal="left" vertical="center"/>
    </xf>
    <xf numFmtId="0" fontId="23" fillId="36" borderId="24" xfId="0" applyFont="1" applyFill="1" applyBorder="1">
      <alignment horizontal="left" vertical="top" wrapText="1"/>
    </xf>
    <xf numFmtId="0" fontId="59" fillId="36" borderId="0" xfId="0" applyFont="1" applyFill="1"/>
    <xf numFmtId="49" fontId="129" fillId="41" borderId="13" xfId="0" applyFont="1" applyFill="1" applyBorder="1" applyNumberFormat="1" quotePrefix="1">
      <alignment horizontal="left" vertical="center" wrapText="1"/>
      <protection locked="0"/>
    </xf>
    <xf numFmtId="49" fontId="129" fillId="33" borderId="13" xfId="0" applyFont="1" applyFill="1" applyBorder="1" applyNumberFormat="1">
      <alignment horizontal="left" vertical="center" wrapText="1"/>
      <protection locked="0"/>
    </xf>
    <xf numFmtId="49" fontId="23" fillId="42" borderId="13" xfId="0" applyFont="1" applyFill="1" applyBorder="1" applyNumberFormat="1">
      <alignment horizontal="left" vertical="center" wrapText="1"/>
    </xf>
    <xf numFmtId="49" fontId="23" fillId="36" borderId="0" xfId="0" applyFont="1" applyFill="1" applyNumberFormat="1">
      <alignment horizontal="center" vertical="center" wrapText="1"/>
    </xf>
    <xf numFmtId="0" fontId="23" fillId="36" borderId="25" xfId="0" applyFont="1" applyFill="1" applyBorder="1">
      <alignment vertical="center" wrapText="1"/>
    </xf>
    <xf numFmtId="49" fontId="23" fillId="42" borderId="13" xfId="0" applyFont="1" applyFill="1" applyBorder="1" applyNumberFormat="1">
      <alignment horizontal="left" vertical="center" wrapText="1"/>
    </xf>
    <xf numFmtId="0" fontId="0" fillId="36" borderId="15" xfId="0" applyFont="1" applyFill="1" applyBorder="1">
      <alignment horizontal="left" vertical="center" wrapText="1" indent="1"/>
    </xf>
    <xf numFmtId="49" fontId="23" fillId="42" borderId="15" xfId="0" applyFont="1" applyFill="1" applyBorder="1" applyNumberFormat="1">
      <alignment horizontal="left" vertical="center" wrapText="1"/>
    </xf>
    <xf numFmtId="0" fontId="0" fillId="36" borderId="13" xfId="0" applyFont="1" applyFill="1" applyBorder="1">
      <alignment vertical="top" wrapText="1"/>
    </xf>
    <xf numFmtId="0" fontId="76" fillId="40" borderId="16" xfId="0" applyFont="1" applyFill="1" applyBorder="1">
      <alignment horizontal="left" vertical="center"/>
    </xf>
    <xf numFmtId="49" fontId="23" fillId="36" borderId="0" xfId="0" applyFont="1" applyFill="1" applyNumberFormat="1">
      <alignment horizontal="center" vertical="center" wrapText="1"/>
    </xf>
    <xf numFmtId="0" fontId="0" fillId="36" borderId="15" xfId="0" applyFont="1" applyFill="1" applyBorder="1">
      <alignment horizontal="left" vertical="center" wrapText="1"/>
    </xf>
    <xf numFmtId="0" fontId="0" fillId="36" borderId="24" xfId="0" applyFont="1" applyFill="1" applyBorder="1">
      <alignment vertical="center" wrapText="1"/>
    </xf>
    <xf numFmtId="0" fontId="82" fillId="36" borderId="0" xfId="0" applyFont="1" applyFill="1"/>
    <xf numFmtId="0" fontId="23" fillId="0" borderId="0" xfId="0" applyFont="1">
      <alignment vertical="top" wrapText="1"/>
    </xf>
    <xf numFmtId="0" fontId="56" fillId="0" borderId="0" xfId="0" applyFont="1">
      <alignment vertical="center" wrapText="1"/>
    </xf>
    <xf numFmtId="0" fontId="54" fillId="0" borderId="0" xfId="0" applyFont="1">
      <alignment horizontal="right" vertical="top" wrapText="1"/>
    </xf>
    <xf numFmtId="0" fontId="54" fillId="0" borderId="0" xfId="0" applyFont="1">
      <alignment horizontal="left" vertical="top" wrapText="1" indent="1"/>
    </xf>
    <xf numFmtId="0" fontId="54" fillId="0" borderId="0" xfId="0" applyFont="1">
      <alignment vertical="center" wrapText="1"/>
    </xf>
    <xf numFmtId="0" fontId="81" fillId="36" borderId="0" xfId="0" applyFont="1" applyFill="1">
      <alignment horizontal="center"/>
    </xf>
    <xf numFmtId="0" fontId="81" fillId="36" borderId="0" xfId="0" applyFont="1" applyFill="1"/>
    <xf numFmtId="0" fontId="83" fillId="36" borderId="0" xfId="0" applyFont="1" applyFill="1">
      <alignment horizontal="right" vertical="center"/>
    </xf>
    <xf numFmtId="0" fontId="84" fillId="36" borderId="0" xfId="0" applyFont="1" applyFill="1">
      <alignment vertical="center"/>
    </xf>
    <xf numFmtId="0" fontId="83" fillId="36" borderId="0" xfId="0" applyFont="1" applyFill="1">
      <alignment horizontal="right" vertical="top"/>
    </xf>
    <xf numFmtId="0" fontId="84" fillId="36" borderId="0" xfId="0" applyFont="1" applyFill="1">
      <alignment vertical="center" wrapText="1"/>
    </xf>
    <xf numFmtId="0" fontId="0" fillId="36" borderId="0" xfId="0" applyFont="1" applyFill="1"/>
    <xf numFmtId="0" fontId="0" fillId="36" borderId="0" xfId="0" applyFont="1" applyFill="1">
      <alignment horizontal="center"/>
    </xf>
    <xf numFmtId="0" fontId="55" fillId="0" borderId="0" xfId="0" applyFont="1">
      <alignment horizontal="center" vertical="center" wrapText="1"/>
    </xf>
    <xf numFmtId="0" fontId="94" fillId="0" borderId="0" xfId="0" applyFont="1">
      <alignment vertical="center" wrapText="1"/>
    </xf>
    <xf numFmtId="0" fontId="94" fillId="36" borderId="0" xfId="0" applyFont="1" applyFill="1">
      <alignment horizontal="center" vertical="center" wrapText="1"/>
    </xf>
    <xf numFmtId="0" fontId="94" fillId="36" borderId="0" xfId="0" applyFont="1" applyFill="1">
      <alignment horizontal="right" vertical="center" wrapText="1"/>
    </xf>
    <xf numFmtId="0" fontId="46" fillId="36" borderId="0" xfId="0" applyFont="1" applyFill="1">
      <alignment horizontal="center" vertical="center" wrapText="1"/>
    </xf>
    <xf numFmtId="0" fontId="22" fillId="0" borderId="0" xfId="0" applyFont="1">
      <alignment horizontal="left" vertical="center" wrapText="1" indent="3"/>
    </xf>
    <xf numFmtId="0" fontId="70" fillId="0" borderId="0" xfId="0" applyFont="1">
      <alignment horizontal="center" vertical="center" wrapText="1"/>
    </xf>
    <xf numFmtId="0" fontId="70" fillId="0" borderId="0" xfId="0" applyFont="1">
      <alignment vertical="center" wrapText="1"/>
    </xf>
    <xf numFmtId="0" fontId="41" fillId="0" borderId="0" xfId="0" applyFont="1">
      <alignment vertical="center" wrapText="1"/>
    </xf>
    <xf numFmtId="0" fontId="46" fillId="36" borderId="0" xfId="0" applyFont="1" applyFill="1">
      <alignment horizontal="center" vertical="center" wrapText="1"/>
    </xf>
    <xf numFmtId="0" fontId="23" fillId="0" borderId="31" xfId="0" applyFont="1" applyBorder="1">
      <alignment horizontal="left" vertical="center" wrapText="1" indent="1"/>
    </xf>
    <xf numFmtId="0" fontId="23" fillId="0" borderId="24" xfId="0" applyFont="1" applyBorder="1">
      <alignment horizontal="left" vertical="center" wrapText="1" indent="1"/>
    </xf>
    <xf numFmtId="0" fontId="23" fillId="0" borderId="28" xfId="0" applyFont="1" applyBorder="1">
      <alignment horizontal="left" vertical="center" wrapText="1" indent="1"/>
    </xf>
    <xf numFmtId="0" fontId="66" fillId="0" borderId="0" xfId="0" applyFont="1">
      <alignment vertical="center" wrapText="1"/>
    </xf>
    <xf numFmtId="0" fontId="64" fillId="0" borderId="0" xfId="0" applyFont="1">
      <alignment vertical="center" wrapText="1"/>
    </xf>
    <xf numFmtId="0" fontId="85" fillId="36" borderId="0" xfId="0" applyFont="1" applyFill="1">
      <alignment horizontal="center" vertical="center" wrapText="1"/>
    </xf>
    <xf numFmtId="0" fontId="66" fillId="0" borderId="0" xfId="0" applyFont="1">
      <alignment horizontal="left" vertical="center" wrapText="1" indent="1"/>
    </xf>
    <xf numFmtId="0" fontId="23" fillId="0" borderId="0" xfId="0" applyFont="1">
      <alignment horizontal="right" vertical="center"/>
    </xf>
    <xf numFmtId="0" fontId="56" fillId="0" borderId="0" xfId="0" applyFont="1">
      <alignment vertical="center" wrapText="1"/>
    </xf>
    <xf numFmtId="0" fontId="0" fillId="0" borderId="15" xfId="0" applyFont="1" applyBorder="1">
      <alignment horizontal="center" vertical="center" wrapText="1"/>
    </xf>
    <xf numFmtId="0" fontId="0" fillId="0" borderId="16" xfId="0" applyFont="1" applyBorder="1">
      <alignment horizontal="center" vertical="center" wrapText="1"/>
    </xf>
    <xf numFmtId="0" fontId="0" fillId="0" borderId="14" xfId="0" applyFont="1" applyBorder="1">
      <alignment horizontal="center" vertical="center" wrapText="1"/>
    </xf>
    <xf numFmtId="0" fontId="0" fillId="0" borderId="13" xfId="0" applyFont="1" applyBorder="1">
      <alignment horizontal="center" vertical="center" wrapText="1"/>
    </xf>
    <xf numFmtId="0" fontId="23" fillId="0" borderId="13" xfId="0" applyFont="1" applyBorder="1">
      <alignment horizontal="center" vertical="center" wrapText="1"/>
    </xf>
    <xf numFmtId="0" fontId="0" fillId="0" borderId="13" xfId="0" applyFont="1" applyBorder="1">
      <alignment horizontal="center" vertical="center" wrapText="1"/>
    </xf>
    <xf numFmtId="0" fontId="0" fillId="0" borderId="18" xfId="0" applyFont="1" applyBorder="1">
      <alignment horizontal="center" vertical="center" wrapText="1"/>
    </xf>
    <xf numFmtId="0" fontId="0" fillId="0" borderId="18" xfId="0" applyFont="1" applyBorder="1">
      <alignment horizontal="center" vertical="center" wrapText="1"/>
    </xf>
    <xf numFmtId="0" fontId="0" fillId="0" borderId="38" xfId="0" applyFont="1" applyBorder="1">
      <alignment horizontal="center" vertical="center" wrapText="1"/>
    </xf>
    <xf numFmtId="0" fontId="0" fillId="0" borderId="21" xfId="0" applyFont="1" applyBorder="1">
      <alignment horizontal="center" vertical="center" wrapText="1"/>
    </xf>
    <xf numFmtId="0" fontId="0" fillId="0" borderId="21" xfId="0" applyFont="1" applyBorder="1">
      <alignment horizontal="center" vertical="center" wrapText="1"/>
    </xf>
    <xf numFmtId="0" fontId="0" fillId="0" borderId="18" xfId="0" applyFont="1" applyBorder="1">
      <alignment horizontal="center" vertical="center" wrapText="1"/>
    </xf>
    <xf numFmtId="0" fontId="0" fillId="0" borderId="18" xfId="0" applyFont="1" applyBorder="1">
      <alignment horizontal="center" vertical="center" wrapText="1"/>
    </xf>
    <xf numFmtId="0" fontId="0" fillId="0" borderId="24" xfId="0" applyFont="1" applyBorder="1">
      <alignment horizontal="center" vertical="center" wrapText="1"/>
    </xf>
    <xf numFmtId="0" fontId="0" fillId="0" borderId="24" xfId="0" applyFont="1" applyBorder="1">
      <alignment horizontal="center" vertical="center" wrapText="1"/>
    </xf>
    <xf numFmtId="0" fontId="0" fillId="0" borderId="28" xfId="0" applyFont="1" applyBorder="1">
      <alignment horizontal="center" vertical="center" wrapText="1"/>
    </xf>
    <xf numFmtId="0" fontId="0" fillId="0" borderId="13" xfId="0" applyFont="1" applyBorder="1">
      <alignment horizontal="center" vertical="center" wrapText="1"/>
    </xf>
    <xf numFmtId="0" fontId="0" fillId="0" borderId="15" xfId="0" applyFont="1" applyBorder="1">
      <alignment horizontal="center" vertical="center" wrapText="1"/>
    </xf>
    <xf numFmtId="0" fontId="0" fillId="0" borderId="31" xfId="0" applyFont="1" applyBorder="1">
      <alignment horizontal="center" vertical="center" wrapText="1"/>
    </xf>
    <xf numFmtId="0" fontId="0" fillId="0" borderId="31" xfId="0" applyFont="1" applyBorder="1">
      <alignment horizontal="center" vertical="center" wrapText="1"/>
    </xf>
    <xf numFmtId="0" fontId="0" fillId="0" borderId="24" xfId="0" applyFont="1" applyBorder="1">
      <alignment horizontal="center" vertical="center" wrapText="1"/>
    </xf>
    <xf numFmtId="0" fontId="0" fillId="0" borderId="24" xfId="0" applyFont="1" applyBorder="1">
      <alignment horizontal="center" vertical="center" wrapText="1"/>
    </xf>
    <xf numFmtId="0" fontId="45" fillId="36" borderId="0" xfId="0" applyFont="1" applyFill="1">
      <alignment horizontal="center" vertical="center" wrapText="1"/>
    </xf>
    <xf numFmtId="49" fontId="45" fillId="36" borderId="0" xfId="0" applyFont="1" applyFill="1" applyNumberFormat="1">
      <alignment horizontal="center" vertical="center" wrapText="1"/>
    </xf>
    <xf numFmtId="0" fontId="23" fillId="0" borderId="0" xfId="0" applyFont="1">
      <alignment vertical="center" wrapText="1"/>
    </xf>
    <xf numFmtId="0" fontId="86" fillId="36" borderId="0" xfId="0" applyFont="1" applyFill="1">
      <alignment horizontal="center" vertical="center" wrapText="1"/>
    </xf>
    <xf numFmtId="49" fontId="79" fillId="0" borderId="18" xfId="0" applyFont="1" applyBorder="1" applyNumberFormat="1">
      <alignment horizontal="left" vertical="center" wrapText="1"/>
    </xf>
    <xf numFmtId="49" fontId="79" fillId="0" borderId="13" xfId="0" applyFont="1" applyBorder="1" applyNumberFormat="1">
      <alignment horizontal="left" vertical="center" wrapText="1"/>
    </xf>
    <xf numFmtId="49" fontId="0" fillId="0" borderId="13" xfId="0" applyFont="1" applyBorder="1" applyNumberFormat="1">
      <alignment vertical="top" wrapText="1"/>
    </xf>
    <xf numFmtId="49" fontId="0" fillId="0" borderId="13" xfId="0" applyFont="1" applyBorder="1" applyNumberFormat="1">
      <alignment horizontal="center" vertical="center" wrapText="1"/>
    </xf>
    <xf numFmtId="49" fontId="0" fillId="33" borderId="13" xfId="0" applyFont="1" applyFill="1" applyBorder="1" applyNumberFormat="1">
      <alignment horizontal="left" vertical="center" wrapText="1"/>
    </xf>
    <xf numFmtId="0" fontId="23" fillId="42" borderId="15" xfId="0" applyFont="1" applyFill="1" applyBorder="1">
      <alignment horizontal="left" vertical="center" wrapText="1"/>
    </xf>
    <xf numFmtId="49" fontId="45" fillId="36" borderId="13" xfId="0" applyFont="1" applyFill="1" applyBorder="1" applyNumberFormat="1">
      <alignment horizontal="center" vertical="center" wrapText="1"/>
    </xf>
    <xf numFmtId="3" fontId="0" fillId="41" borderId="13" xfId="0" applyFont="1" applyFill="1" applyBorder="1" applyNumberFormat="1">
      <alignment horizontal="right" vertical="center" wrapText="1"/>
      <protection locked="0"/>
    </xf>
    <xf numFmtId="3" fontId="0" fillId="41" borderId="14" xfId="0" applyFont="1" applyFill="1" applyBorder="1" applyNumberFormat="1">
      <alignment horizontal="right" vertical="center" wrapText="1"/>
      <protection locked="0"/>
    </xf>
    <xf numFmtId="0" fontId="0" fillId="33" borderId="13" xfId="0" applyFont="1" applyFill="1" applyBorder="1">
      <alignment horizontal="right" vertical="center" wrapText="1"/>
      <protection locked="0"/>
    </xf>
    <xf numFmtId="3" fontId="0" fillId="0" borderId="14" xfId="0" applyFont="1" applyBorder="1" applyNumberFormat="1">
      <alignment horizontal="right" vertical="center" wrapText="1"/>
    </xf>
    <xf numFmtId="0" fontId="0" fillId="0" borderId="18" xfId="0" applyFont="1" applyBorder="1">
      <alignment horizontal="left" vertical="top" wrapText="1"/>
    </xf>
    <xf numFmtId="49" fontId="35" fillId="40" borderId="15" xfId="0" applyFont="1" applyFill="1" applyBorder="1" applyNumberFormat="1">
      <alignment horizontal="center" vertical="center"/>
    </xf>
    <xf numFmtId="0" fontId="49" fillId="40" borderId="16" xfId="0" applyFont="1" applyFill="1" applyBorder="1">
      <alignment vertical="center"/>
    </xf>
    <xf numFmtId="49" fontId="49" fillId="40" borderId="16" xfId="0" applyFont="1" applyFill="1" applyBorder="1" applyNumberFormat="1">
      <alignment vertical="center"/>
    </xf>
    <xf numFmtId="49" fontId="76" fillId="40" borderId="16" xfId="0" applyFont="1" applyFill="1" applyBorder="1" applyNumberFormat="1">
      <alignment vertical="center"/>
    </xf>
    <xf numFmtId="49" fontId="76" fillId="40" borderId="14" xfId="0" applyFont="1" applyFill="1" applyBorder="1" applyNumberFormat="1">
      <alignment vertical="center"/>
    </xf>
    <xf numFmtId="0" fontId="0" fillId="0" borderId="24" xfId="0" applyFont="1" applyBorder="1">
      <alignment horizontal="left" vertical="top" wrapText="1"/>
    </xf>
    <xf numFmtId="0" fontId="41" fillId="0" borderId="0" xfId="0" applyFont="1">
      <alignment vertical="center" wrapText="1"/>
    </xf>
    <xf numFmtId="0" fontId="46" fillId="0" borderId="0" xfId="0" applyFont="1">
      <alignment horizontal="center" vertical="center" wrapText="1"/>
    </xf>
    <xf numFmtId="0" fontId="23" fillId="0" borderId="0" xfId="0" applyFont="1">
      <alignment vertical="center" wrapText="1"/>
    </xf>
    <xf numFmtId="0" fontId="51" fillId="0" borderId="0" xfId="0" applyFont="1">
      <alignment vertical="center" wrapText="1"/>
    </xf>
    <xf numFmtId="0" fontId="23" fillId="0" borderId="0" xfId="0" applyFont="1">
      <alignment vertical="center" wrapText="1"/>
    </xf>
    <xf numFmtId="0" fontId="46" fillId="36" borderId="0" xfId="0" applyFont="1" applyFill="1">
      <alignment horizontal="center" vertical="center" wrapText="1"/>
    </xf>
    <xf numFmtId="49" fontId="0" fillId="0" borderId="38" xfId="0" applyFont="1" applyBorder="1" applyNumberFormat="1">
      <alignment horizontal="center" vertical="center" wrapText="1"/>
    </xf>
    <xf numFmtId="0" fontId="23" fillId="42" borderId="20" xfId="0" applyFont="1" applyFill="1" applyBorder="1">
      <alignment horizontal="left" vertical="center" wrapText="1"/>
    </xf>
    <xf numFmtId="0" fontId="46" fillId="36" borderId="13" xfId="0" applyFont="1" applyFill="1" applyBorder="1">
      <alignment horizontal="center" vertical="center" wrapText="1"/>
    </xf>
    <xf numFmtId="49" fontId="23" fillId="0" borderId="13" xfId="0" applyFont="1" applyBorder="1" applyNumberFormat="1">
      <alignment horizontal="center" vertical="center" wrapText="1"/>
    </xf>
    <xf numFmtId="49" fontId="23" fillId="41" borderId="13" xfId="0" applyFont="1" applyFill="1" applyBorder="1" applyNumberFormat="1">
      <alignment horizontal="left" vertical="center" wrapText="1"/>
      <protection locked="0"/>
    </xf>
    <xf numFmtId="3" fontId="23" fillId="41" borderId="13" xfId="0" applyFont="1" applyFill="1" applyBorder="1" applyNumberFormat="1">
      <alignment horizontal="right" vertical="center" wrapText="1"/>
      <protection locked="0"/>
    </xf>
    <xf numFmtId="0" fontId="56" fillId="0" borderId="0" xfId="0" applyFont="1">
      <alignment vertical="center" wrapText="1"/>
    </xf>
    <xf numFmtId="0" fontId="56" fillId="0" borderId="0" xfId="0" applyFont="1">
      <alignment vertical="center"/>
    </xf>
    <xf numFmtId="49" fontId="0" fillId="0" borderId="28" xfId="0" applyFont="1" applyBorder="1" applyNumberFormat="1">
      <alignment horizontal="center" vertical="center" wrapText="1"/>
    </xf>
    <xf numFmtId="0" fontId="23" fillId="42" borderId="29" xfId="0" applyFont="1" applyFill="1" applyBorder="1">
      <alignment horizontal="left" vertical="center" wrapText="1"/>
    </xf>
    <xf numFmtId="0" fontId="94" fillId="0" borderId="0" xfId="0" applyFont="1">
      <alignment vertical="center" wrapText="1"/>
    </xf>
    <xf numFmtId="0" fontId="56" fillId="0" borderId="0" xfId="0" applyFont="1">
      <alignment vertical="center" wrapText="1"/>
    </xf>
    <xf numFmtId="0" fontId="46" fillId="36" borderId="0" xfId="0" applyFont="1" applyFill="1">
      <alignment horizontal="center" vertical="center" wrapText="1"/>
    </xf>
    <xf numFmtId="0" fontId="70" fillId="0" borderId="0" xfId="0" applyFont="1">
      <alignment vertical="center" wrapText="1"/>
    </xf>
    <xf numFmtId="0" fontId="66" fillId="0" borderId="0" xfId="0" applyFont="1">
      <alignment vertical="center" wrapText="1"/>
    </xf>
    <xf numFmtId="0" fontId="64" fillId="0" borderId="0" xfId="0" applyFont="1">
      <alignment vertical="center" wrapText="1"/>
    </xf>
    <xf numFmtId="0" fontId="23" fillId="0" borderId="38" xfId="0" applyFont="1" applyBorder="1">
      <alignment horizontal="center" vertical="center" wrapText="1"/>
    </xf>
    <xf numFmtId="0" fontId="23" fillId="0" borderId="21" xfId="0" applyFont="1" applyBorder="1">
      <alignment horizontal="center" vertical="center" wrapText="1"/>
    </xf>
    <xf numFmtId="0" fontId="23" fillId="0" borderId="18" xfId="0" applyFont="1" applyBorder="1">
      <alignment horizontal="center" vertical="center" wrapText="1"/>
    </xf>
    <xf numFmtId="0" fontId="23" fillId="0" borderId="28" xfId="0" applyFont="1" applyBorder="1">
      <alignment horizontal="center" vertical="center" wrapText="1"/>
    </xf>
    <xf numFmtId="0" fontId="23" fillId="0" borderId="31" xfId="0" applyFont="1" applyBorder="1">
      <alignment horizontal="center" vertical="center" wrapText="1"/>
    </xf>
    <xf numFmtId="0" fontId="23" fillId="0" borderId="24" xfId="0" applyFont="1" applyBorder="1">
      <alignment horizontal="center" vertical="center" wrapText="1"/>
    </xf>
    <xf numFmtId="0" fontId="23" fillId="0" borderId="0" xfId="0" applyFont="1">
      <alignment vertical="center" wrapText="1"/>
    </xf>
    <xf numFmtId="0" fontId="46" fillId="36" borderId="13" xfId="0" applyFont="1" applyFill="1" applyBorder="1">
      <alignment horizontal="center" vertical="center" wrapText="1"/>
    </xf>
    <xf numFmtId="49" fontId="23" fillId="0" borderId="13" xfId="0" applyFont="1" applyBorder="1" applyNumberFormat="1">
      <alignment horizontal="center" vertical="center" wrapText="1"/>
    </xf>
    <xf numFmtId="0" fontId="23" fillId="0" borderId="18" xfId="0" applyFont="1" applyBorder="1">
      <alignment horizontal="left" vertical="top" wrapText="1"/>
    </xf>
    <xf numFmtId="0" fontId="23" fillId="0" borderId="37" xfId="0" applyFont="1" applyBorder="1">
      <alignment horizontal="left" vertical="top" wrapText="1"/>
    </xf>
    <xf numFmtId="0" fontId="23" fillId="0" borderId="24" xfId="0" applyFont="1" applyBorder="1">
      <alignment horizontal="left" vertical="top" wrapText="1"/>
    </xf>
    <xf numFmtId="0" fontId="41" fillId="0" borderId="0" xfId="0" applyFont="1">
      <alignment vertical="center" wrapText="1"/>
    </xf>
    <xf numFmtId="0" fontId="66" fillId="36" borderId="0" xfId="0" applyFont="1" applyFill="1">
      <alignment vertical="center" wrapText="1"/>
    </xf>
    <xf numFmtId="0" fontId="66" fillId="36" borderId="0" xfId="0" applyFont="1" applyFill="1">
      <alignment horizontal="right" vertical="center"/>
    </xf>
    <xf numFmtId="0" fontId="66" fillId="36" borderId="0" xfId="0" applyFont="1" applyFill="1">
      <alignment horizontal="right" vertical="center" wrapText="1"/>
    </xf>
    <xf numFmtId="0" fontId="22" fillId="0" borderId="0" xfId="0" applyFont="1">
      <alignment horizontal="center" vertical="center" wrapText="1"/>
    </xf>
    <xf numFmtId="4" fontId="66" fillId="0" borderId="0" xfId="0" applyFont="1" applyNumberFormat="1">
      <alignment horizontal="right" vertical="center" wrapText="1"/>
    </xf>
    <xf numFmtId="0" fontId="0" fillId="36" borderId="13" xfId="0" applyFont="1" applyFill="1" applyBorder="1">
      <alignment horizontal="center" vertical="center" wrapText="1"/>
    </xf>
    <xf numFmtId="0" fontId="23" fillId="36" borderId="13" xfId="0" applyFont="1" applyFill="1" applyBorder="1">
      <alignment horizontal="center" vertical="center" wrapText="1"/>
    </xf>
    <xf numFmtId="0" fontId="23" fillId="36" borderId="13" xfId="0" applyFont="1" applyFill="1" applyBorder="1">
      <alignment horizontal="center" vertical="center" wrapText="1"/>
    </xf>
    <xf numFmtId="0" fontId="23" fillId="36" borderId="13" xfId="0" applyFont="1" applyFill="1" applyBorder="1">
      <alignment horizontal="center" vertical="center" wrapText="1"/>
    </xf>
    <xf numFmtId="0" fontId="23" fillId="0" borderId="13" xfId="0" applyFont="1" applyBorder="1">
      <alignment horizontal="center" vertical="center" wrapText="1"/>
    </xf>
    <xf numFmtId="0" fontId="0" fillId="0" borderId="13" xfId="0" applyFont="1" applyBorder="1">
      <alignment horizontal="center" vertical="center" wrapText="1"/>
    </xf>
    <xf numFmtId="49" fontId="45" fillId="36" borderId="16" xfId="0" applyFont="1" applyFill="1" applyBorder="1" applyNumberFormat="1">
      <alignment horizontal="center" vertical="center" wrapText="1"/>
    </xf>
    <xf numFmtId="49" fontId="45" fillId="36" borderId="16" xfId="0" applyFont="1" applyFill="1" applyBorder="1" applyNumberFormat="1">
      <alignment horizontal="center" vertical="center" wrapText="1"/>
    </xf>
    <xf numFmtId="0" fontId="46" fillId="36" borderId="0" xfId="0" applyFont="1" applyFill="1">
      <alignment horizontal="center" vertical="center" wrapText="1"/>
    </xf>
    <xf numFmtId="0" fontId="23" fillId="0" borderId="13" xfId="0" applyFont="1" applyBorder="1">
      <alignment horizontal="center" vertical="center" wrapText="1"/>
    </xf>
    <xf numFmtId="0" fontId="23" fillId="0" borderId="13" xfId="0" applyFont="1" applyBorder="1">
      <alignment horizontal="center" vertical="center" wrapText="1"/>
    </xf>
    <xf numFmtId="49" fontId="23" fillId="0" borderId="13" xfId="0" applyFont="1" applyBorder="1" applyNumberFormat="1">
      <alignment horizontal="left" vertical="center" wrapText="1"/>
    </xf>
    <xf numFmtId="49" fontId="23" fillId="0" borderId="0" xfId="0" applyFont="1" applyNumberFormat="1">
      <alignment vertical="top"/>
    </xf>
    <xf numFmtId="0" fontId="46" fillId="36" borderId="25" xfId="0" applyFont="1" applyFill="1" applyBorder="1">
      <alignment vertical="top" wrapText="1"/>
    </xf>
    <xf numFmtId="14" fontId="23" fillId="40" borderId="16" xfId="0" applyFont="1" applyFill="1" applyBorder="1" applyNumberFormat="1">
      <alignment horizontal="center" vertical="center" wrapText="1"/>
    </xf>
    <xf numFmtId="49" fontId="23" fillId="40" borderId="16" xfId="0" applyFont="1" applyFill="1" applyBorder="1" applyNumberFormat="1">
      <alignment horizontal="center" vertical="center" wrapText="1"/>
    </xf>
    <xf numFmtId="14" fontId="87" fillId="40" borderId="16" xfId="0" applyFont="1" applyFill="1" applyBorder="1" applyNumberFormat="1">
      <alignment horizontal="center" vertical="center" wrapText="1"/>
    </xf>
    <xf numFmtId="49" fontId="29" fillId="40" borderId="14" xfId="0" applyFont="1" applyFill="1" applyBorder="1" applyNumberFormat="1">
      <alignment horizontal="left" vertical="center" wrapText="1"/>
    </xf>
    <xf numFmtId="0" fontId="0" fillId="0" borderId="37" xfId="0" applyFont="1" applyBorder="1">
      <alignment horizontal="left" vertical="top" wrapText="1"/>
    </xf>
    <xf numFmtId="0" fontId="56" fillId="0" borderId="0" xfId="0" applyFont="1">
      <alignment horizontal="left" vertical="center" wrapText="1"/>
    </xf>
    <xf numFmtId="49" fontId="56" fillId="0" borderId="0" xfId="0" applyFont="1" applyNumberFormat="1">
      <alignment horizontal="left" vertical="center" wrapText="1"/>
    </xf>
    <xf numFmtId="0" fontId="46" fillId="36" borderId="0" xfId="0" applyFont="1" applyFill="1">
      <alignment vertical="top" wrapText="1"/>
    </xf>
    <xf numFmtId="0" fontId="56" fillId="36" borderId="24" xfId="0" applyFont="1" applyFill="1" applyBorder="1">
      <alignment horizontal="center" vertical="center" wrapText="1"/>
    </xf>
    <xf numFmtId="14" fontId="23" fillId="42" borderId="24" xfId="0" applyFont="1" applyFill="1" applyBorder="1" applyNumberFormat="1">
      <alignment horizontal="left" vertical="center" wrapText="1"/>
    </xf>
    <xf numFmtId="14" fontId="23" fillId="42" borderId="13" xfId="0" applyFont="1" applyFill="1" applyBorder="1" applyNumberFormat="1">
      <alignment horizontal="center" vertical="center" wrapText="1"/>
    </xf>
    <xf numFmtId="49" fontId="29" fillId="41" borderId="13" xfId="0" applyFont="1" applyFill="1" applyBorder="1" applyNumberFormat="1">
      <alignment horizontal="left" vertical="center" wrapText="1"/>
      <protection locked="0"/>
    </xf>
    <xf numFmtId="49" fontId="35" fillId="40" borderId="16" xfId="0" applyFont="1" applyFill="1" applyBorder="1" applyNumberFormat="1">
      <alignment horizontal="center" vertical="center"/>
    </xf>
    <xf numFmtId="49" fontId="76" fillId="40" borderId="16" xfId="0" applyFont="1" applyFill="1" applyBorder="1" applyNumberFormat="1">
      <alignment horizontal="left" vertical="center" indent="1"/>
    </xf>
    <xf numFmtId="49" fontId="76" fillId="40" borderId="14" xfId="0" applyFont="1" applyFill="1" applyBorder="1" applyNumberFormat="1">
      <alignment horizontal="left" vertical="center" indent="1"/>
    </xf>
    <xf numFmtId="0" fontId="85" fillId="0" borderId="0" xfId="0" applyFont="1">
      <alignment horizontal="center" vertical="center" wrapText="1"/>
    </xf>
    <xf numFmtId="0" fontId="54" fillId="0" borderId="0" xfId="0" applyFont="1">
      <alignment vertical="top" wrapText="1"/>
    </xf>
    <xf numFmtId="0" fontId="23" fillId="0" borderId="0" xfId="0" applyFont="1">
      <alignment horizontal="right" vertical="top" wrapText="1"/>
    </xf>
    <xf numFmtId="0" fontId="54" fillId="0" borderId="0" xfId="0" applyFont="1">
      <alignment vertical="top"/>
    </xf>
    <xf numFmtId="49" fontId="101" fillId="0" borderId="13" xfId="0" applyFont="1" applyBorder="1" applyNumberFormat="1">
      <alignment vertical="top" wrapText="1"/>
    </xf>
    <xf numFmtId="49" fontId="97" fillId="0" borderId="13" xfId="0" applyFont="1" applyBorder="1" applyNumberFormat="1">
      <alignment horizontal="center" vertical="top" wrapText="1"/>
    </xf>
    <xf numFmtId="49" fontId="97" fillId="34" borderId="13" xfId="0" applyFont="1" applyFill="1" applyBorder="1" applyNumberFormat="1">
      <alignment horizontal="center" vertical="top"/>
    </xf>
    <xf numFmtId="49" fontId="97" fillId="0" borderId="13" xfId="0" applyFont="1" applyBorder="1" applyNumberFormat="1">
      <alignment vertical="top" wrapText="1"/>
    </xf>
    <xf numFmtId="0" fontId="97" fillId="0" borderId="13" xfId="0" applyFont="1" applyBorder="1">
      <alignment vertical="top" wrapText="1"/>
    </xf>
    <xf numFmtId="49" fontId="97" fillId="0" borderId="13" xfId="0" applyFont="1" applyBorder="1" applyNumberFormat="1">
      <alignment vertical="top"/>
    </xf>
    <xf numFmtId="49" fontId="101" fillId="0" borderId="13" xfId="0" applyFont="1" applyBorder="1" applyNumberFormat="1">
      <alignment vertical="top"/>
    </xf>
    <xf numFmtId="0" fontId="101" fillId="0" borderId="13" xfId="0" applyFont="1" applyBorder="1">
      <alignment vertical="top" wrapText="1"/>
    </xf>
    <xf numFmtId="49" fontId="101" fillId="0" borderId="0" xfId="0" applyFont="1" applyNumberFormat="1">
      <alignment vertical="top" wrapText="1"/>
    </xf>
    <xf numFmtId="49" fontId="101" fillId="0" borderId="0" xfId="0" applyFont="1" applyNumberFormat="1">
      <alignment vertical="top"/>
    </xf>
    <xf numFmtId="49" fontId="101" fillId="0" borderId="0" xfId="0" applyFont="1" applyNumberFormat="1">
      <alignment horizontal="center" vertical="top" wrapText="1"/>
    </xf>
    <xf numFmtId="49" fontId="101" fillId="0" borderId="13" xfId="0" applyFont="1" applyBorder="1" applyNumberFormat="1">
      <alignment horizontal="center" vertical="top" wrapText="1"/>
    </xf>
    <xf numFmtId="49" fontId="101" fillId="0" borderId="13" xfId="0" applyFont="1" applyBorder="1" applyNumberFormat="1">
      <alignment horizontal="center" vertical="top" wrapText="1"/>
    </xf>
    <xf numFmtId="49" fontId="101" fillId="34" borderId="13" xfId="0" applyFont="1" applyFill="1" applyBorder="1" applyNumberFormat="1">
      <alignment horizontal="center" vertical="top" wrapText="1"/>
    </xf>
    <xf numFmtId="49" fontId="97" fillId="34" borderId="13" xfId="0" applyFont="1" applyFill="1" applyBorder="1" applyNumberFormat="1">
      <alignment horizontal="center" vertical="top" wrapText="1"/>
    </xf>
    <xf numFmtId="49" fontId="101" fillId="0" borderId="13" xfId="0" applyFont="1" applyBorder="1" applyNumberFormat="1">
      <alignment horizontal="left" vertical="top" wrapText="1"/>
    </xf>
    <xf numFmtId="0" fontId="97" fillId="34" borderId="13" xfId="0" applyFont="1" applyFill="1" applyBorder="1">
      <alignment horizontal="center" vertical="top" wrapText="1"/>
    </xf>
    <xf numFmtId="0" fontId="101" fillId="34" borderId="13" xfId="0" applyFont="1" applyFill="1" applyBorder="1">
      <alignment horizontal="right" vertical="center" wrapText="1"/>
    </xf>
    <xf numFmtId="49" fontId="101" fillId="0" borderId="15" xfId="0" applyFont="1" applyBorder="1" applyNumberFormat="1">
      <alignment horizontal="center" vertical="top" wrapText="1"/>
    </xf>
    <xf numFmtId="49" fontId="101" fillId="0" borderId="16" xfId="0" applyFont="1" applyBorder="1" applyNumberFormat="1">
      <alignment horizontal="center" vertical="top" wrapText="1"/>
    </xf>
    <xf numFmtId="49" fontId="101" fillId="0" borderId="14" xfId="0" applyFont="1" applyBorder="1" applyNumberFormat="1">
      <alignment horizontal="center" vertical="top" wrapText="1"/>
    </xf>
    <xf numFmtId="0" fontId="101" fillId="0" borderId="13" xfId="0" applyFont="1" applyBorder="1">
      <alignment horizontal="left" vertical="top" wrapText="1"/>
    </xf>
    <xf numFmtId="49" fontId="101" fillId="34" borderId="13" xfId="0" applyFont="1" applyFill="1" applyBorder="1" applyNumberFormat="1">
      <alignment horizontal="left" vertical="top" wrapText="1"/>
    </xf>
    <xf numFmtId="0" fontId="101" fillId="34" borderId="13" xfId="0" applyFont="1" applyFill="1" applyBorder="1">
      <alignment horizontal="center" vertical="center" wrapText="1"/>
    </xf>
    <xf numFmtId="0" fontId="101" fillId="34" borderId="13" xfId="0" applyFont="1" applyFill="1" applyBorder="1">
      <alignment horizontal="center" vertical="center" wrapText="1"/>
    </xf>
    <xf numFmtId="49" fontId="101" fillId="0" borderId="18" xfId="0" applyFont="1" applyBorder="1" applyNumberFormat="1">
      <alignment horizontal="center" vertical="top" wrapText="1"/>
    </xf>
    <xf numFmtId="49" fontId="101" fillId="0" borderId="37" xfId="0" applyFont="1" applyBorder="1" applyNumberFormat="1">
      <alignment horizontal="center" vertical="top" wrapText="1"/>
    </xf>
    <xf numFmtId="49" fontId="101" fillId="0" borderId="18" xfId="0" applyFont="1" applyBorder="1" applyNumberFormat="1">
      <alignment horizontal="center" vertical="top" wrapText="1"/>
    </xf>
    <xf numFmtId="0" fontId="101" fillId="0" borderId="18" xfId="0" applyFont="1" applyBorder="1">
      <alignment horizontal="left" vertical="top" wrapText="1"/>
    </xf>
    <xf numFmtId="49" fontId="101" fillId="0" borderId="38" xfId="0" applyFont="1" applyBorder="1" applyNumberFormat="1">
      <alignment horizontal="center" vertical="top" wrapText="1"/>
    </xf>
    <xf numFmtId="49" fontId="101" fillId="0" borderId="38" xfId="0" applyFont="1" applyBorder="1" applyNumberFormat="1">
      <alignment horizontal="center" vertical="top" wrapText="1"/>
    </xf>
    <xf numFmtId="0" fontId="101" fillId="0" borderId="14" xfId="0" applyFont="1" applyBorder="1">
      <alignment horizontal="left" vertical="top" wrapText="1"/>
    </xf>
    <xf numFmtId="49" fontId="101" fillId="0" borderId="24" xfId="0" applyFont="1" applyBorder="1" applyNumberFormat="1">
      <alignment horizontal="center" vertical="top" wrapText="1"/>
    </xf>
    <xf numFmtId="49" fontId="101" fillId="0" borderId="28" xfId="0" applyFont="1" applyBorder="1" applyNumberFormat="1">
      <alignment horizontal="center" vertical="top" wrapText="1"/>
    </xf>
    <xf numFmtId="49" fontId="101" fillId="0" borderId="23" xfId="0" applyFont="1" applyBorder="1" applyNumberFormat="1">
      <alignment horizontal="center" vertical="top" wrapText="1"/>
    </xf>
    <xf numFmtId="0" fontId="101" fillId="0" borderId="18" xfId="0" applyFont="1" applyBorder="1">
      <alignment vertical="top" wrapText="1"/>
    </xf>
    <xf numFmtId="49" fontId="97" fillId="0" borderId="13" xfId="0" applyFont="1" applyBorder="1" applyNumberFormat="1">
      <alignment horizontal="left" vertical="top" wrapText="1"/>
    </xf>
    <xf numFmtId="0" fontId="97" fillId="0" borderId="15" xfId="0" applyFont="1" applyBorder="1">
      <alignment horizontal="center" vertical="center" wrapText="1"/>
    </xf>
    <xf numFmtId="0" fontId="97" fillId="0" borderId="15" xfId="0" applyFont="1" applyBorder="1">
      <alignment horizontal="center" vertical="center"/>
    </xf>
    <xf numFmtId="49" fontId="97" fillId="0" borderId="13" xfId="0" applyFont="1" applyBorder="1" applyNumberFormat="1">
      <alignment horizontal="center" vertical="center" wrapText="1"/>
    </xf>
    <xf numFmtId="0" fontId="97" fillId="0" borderId="13" xfId="0" applyFont="1" applyBorder="1">
      <alignment vertical="center" wrapText="1"/>
    </xf>
    <xf numFmtId="49" fontId="101" fillId="0" borderId="15" xfId="0" applyFont="1" applyBorder="1" applyNumberFormat="1">
      <alignment horizontal="left" vertical="top" wrapText="1"/>
    </xf>
    <xf numFmtId="0" fontId="97" fillId="0" borderId="13" xfId="0" applyFont="1" applyBorder="1">
      <alignment horizontal="center" vertical="center" wrapText="1"/>
    </xf>
    <xf numFmtId="0" fontId="97" fillId="0" borderId="18" xfId="0" applyFont="1" applyBorder="1">
      <alignment vertical="center" wrapText="1"/>
    </xf>
    <xf numFmtId="0" fontId="97" fillId="0" borderId="24" xfId="0" applyFont="1" applyBorder="1">
      <alignment vertical="center" wrapText="1"/>
    </xf>
    <xf numFmtId="49" fontId="101" fillId="0" borderId="28" xfId="0" applyFont="1" applyBorder="1" applyNumberFormat="1">
      <alignment horizontal="left" vertical="top" wrapText="1"/>
    </xf>
    <xf numFmtId="49" fontId="101" fillId="0" borderId="14" xfId="0" applyFont="1" applyBorder="1" applyNumberFormat="1">
      <alignment horizontal="left" vertical="top" wrapText="1"/>
    </xf>
    <xf numFmtId="49" fontId="97" fillId="0" borderId="18" xfId="0" applyFont="1" applyBorder="1" applyNumberFormat="1">
      <alignment horizontal="center" vertical="center" wrapText="1"/>
    </xf>
    <xf numFmtId="49" fontId="97" fillId="0" borderId="24" xfId="0" applyFont="1" applyBorder="1" applyNumberFormat="1">
      <alignment horizontal="center" vertical="center" wrapText="1"/>
    </xf>
    <xf numFmtId="0" fontId="97" fillId="0" borderId="18" xfId="0" applyFont="1" applyBorder="1">
      <alignment horizontal="center" vertical="center" wrapText="1"/>
    </xf>
    <xf numFmtId="49" fontId="101" fillId="0" borderId="37" xfId="0" applyFont="1" applyBorder="1" applyNumberFormat="1">
      <alignment horizontal="left" vertical="top" wrapText="1"/>
    </xf>
    <xf numFmtId="0" fontId="101" fillId="0" borderId="37" xfId="0" applyFont="1" applyBorder="1">
      <alignment horizontal="left" vertical="top" wrapText="1"/>
    </xf>
    <xf numFmtId="49" fontId="101" fillId="0" borderId="0" xfId="0" applyFont="1" applyNumberFormat="1">
      <alignment horizontal="left" vertical="top" wrapText="1"/>
    </xf>
    <xf numFmtId="49" fontId="101" fillId="34" borderId="0" xfId="0" applyFont="1" applyFill="1" applyNumberFormat="1">
      <alignment horizontal="left" vertical="top" wrapText="1"/>
    </xf>
    <xf numFmtId="0" fontId="101" fillId="0" borderId="0" xfId="0" applyFont="1">
      <alignment vertical="top" wrapText="1"/>
    </xf>
    <xf numFmtId="49" fontId="23" fillId="0" borderId="0" xfId="0" applyFont="1" applyNumberFormat="1">
      <alignment horizontal="center" vertical="top"/>
    </xf>
    <xf numFmtId="49" fontId="41" fillId="48" borderId="0" xfId="0" applyFont="1" applyFill="1" applyNumberFormat="1">
      <alignment horizontal="center" vertical="center"/>
    </xf>
    <xf numFmtId="49" fontId="23" fillId="0" borderId="13" xfId="0" applyFont="1" applyBorder="1" applyNumberFormat="1">
      <alignment horizontal="center" vertical="top"/>
    </xf>
    <xf numFmtId="49" fontId="55" fillId="48" borderId="0" xfId="0" applyFont="1" applyFill="1" applyNumberFormat="1">
      <alignment horizontal="center" vertical="center" wrapText="1"/>
    </xf>
    <xf numFmtId="0" fontId="0" fillId="50" borderId="13" xfId="0" applyFont="1" applyFill="1" applyBorder="1">
      <alignment horizontal="center" vertical="center"/>
    </xf>
    <xf numFmtId="49" fontId="0" fillId="0" borderId="0" xfId="0" applyFont="1" applyNumberFormat="1">
      <alignment vertical="center"/>
    </xf>
    <xf numFmtId="49" fontId="55" fillId="48" borderId="13" xfId="0" applyFont="1" applyFill="1" applyBorder="1" applyNumberFormat="1">
      <alignment horizontal="center" vertical="center"/>
    </xf>
    <xf numFmtId="49" fontId="55" fillId="51" borderId="13" xfId="0" applyFont="1" applyFill="1" applyBorder="1" applyNumberFormat="1">
      <alignment horizontal="center" vertical="center"/>
    </xf>
    <xf numFmtId="49" fontId="0" fillId="52" borderId="13" xfId="0" applyFont="1" applyFill="1" applyBorder="1" applyNumberFormat="1">
      <alignment horizontal="center" vertical="center"/>
    </xf>
    <xf numFmtId="49" fontId="23" fillId="0" borderId="0" xfId="0" applyFont="1" applyNumberFormat="1">
      <alignment horizontal="center" vertical="top"/>
    </xf>
    <xf numFmtId="49" fontId="23" fillId="0" borderId="0" xfId="0" applyFont="1" applyNumberFormat="1">
      <alignment vertical="top"/>
    </xf>
    <xf numFmtId="0" fontId="23" fillId="0" borderId="13" xfId="0" applyFont="1" applyBorder="1">
      <alignment vertical="center"/>
    </xf>
    <xf numFmtId="0" fontId="0" fillId="0" borderId="13" xfId="0" applyFont="1" applyBorder="1">
      <alignment vertical="center"/>
    </xf>
    <xf numFmtId="0" fontId="0" fillId="0" borderId="13" xfId="0" applyFont="1" applyBorder="1">
      <alignment vertical="center"/>
    </xf>
    <xf numFmtId="0" fontId="0" fillId="0" borderId="15" xfId="0" applyFont="1" applyBorder="1">
      <alignment vertical="center"/>
    </xf>
    <xf numFmtId="0" fontId="0" fillId="0" borderId="15" xfId="0" applyFont="1" applyBorder="1">
      <alignment vertical="center"/>
    </xf>
    <xf numFmtId="0" fontId="23" fillId="0" borderId="15" xfId="0" applyFont="1" applyBorder="1">
      <alignment horizontal="left" vertical="center"/>
    </xf>
    <xf numFmtId="49" fontId="23" fillId="0" borderId="45" xfId="0" applyFont="1" applyBorder="1" applyNumberFormat="1">
      <alignment vertical="center"/>
    </xf>
    <xf numFmtId="49" fontId="23" fillId="0" borderId="46" xfId="0" applyFont="1" applyBorder="1" applyNumberFormat="1">
      <alignment vertical="top"/>
    </xf>
    <xf numFmtId="49" fontId="23" fillId="0" borderId="17" xfId="0" applyFont="1" applyBorder="1" applyNumberFormat="1">
      <alignment vertical="top"/>
    </xf>
    <xf numFmtId="0" fontId="0" fillId="0" borderId="14" xfId="0" applyFont="1" applyBorder="1">
      <alignment vertical="center"/>
    </xf>
    <xf numFmtId="0" fontId="0" fillId="0" borderId="13" xfId="0" applyFont="1" applyBorder="1">
      <alignment horizontal="right" vertical="top"/>
    </xf>
    <xf numFmtId="0" fontId="0" fillId="0" borderId="13" xfId="0" applyFont="1" applyBorder="1">
      <alignment vertical="top"/>
    </xf>
    <xf numFmtId="0" fontId="23" fillId="0" borderId="14" xfId="0" applyFont="1" applyBorder="1">
      <alignment vertical="center"/>
    </xf>
    <xf numFmtId="49" fontId="23" fillId="0" borderId="13" xfId="0" applyFont="1" applyBorder="1" applyNumberFormat="1">
      <alignment vertical="center"/>
    </xf>
    <xf numFmtId="0" fontId="0" fillId="0" borderId="0" xfId="0" applyFont="1">
      <alignment vertical="top"/>
    </xf>
    <xf numFmtId="0" fontId="23" fillId="0" borderId="13" xfId="0" applyFont="1" applyBorder="1">
      <alignment vertical="top"/>
    </xf>
    <xf numFmtId="0" fontId="0" fillId="49" borderId="0" xfId="0" applyFont="1" applyFill="1">
      <alignment horizontal="right" vertical="center"/>
    </xf>
    <xf numFmtId="49" fontId="41" fillId="0" borderId="0" xfId="0" applyFont="1" applyNumberFormat="1">
      <alignment horizontal="center" vertical="center"/>
    </xf>
    <xf numFmtId="49" fontId="0" fillId="0" borderId="0" xfId="0" applyFont="1" applyNumberFormat="1">
      <alignment vertical="top"/>
    </xf>
    <xf numFmtId="49" fontId="41" fillId="48" borderId="0" xfId="0" applyFont="1" applyFill="1" applyNumberFormat="1">
      <alignment horizontal="center" vertical="center"/>
    </xf>
    <xf numFmtId="0" fontId="23" fillId="0" borderId="0" xfId="0" applyFont="1">
      <alignment vertical="center"/>
    </xf>
    <xf numFmtId="0" fontId="0" fillId="49" borderId="0" xfId="0" applyFont="1" applyFill="1">
      <alignment horizontal="left" vertical="center"/>
    </xf>
    <xf numFmtId="0" fontId="0" fillId="0" borderId="0" xfId="0" applyFont="1">
      <alignment horizontal="right" vertical="top"/>
    </xf>
    <xf numFmtId="0" fontId="0" fillId="0" borderId="0" xfId="0" applyFont="1">
      <alignment vertical="top"/>
    </xf>
    <xf numFmtId="0" fontId="0" fillId="0" borderId="0" xfId="0" applyFont="1">
      <alignment vertical="top"/>
    </xf>
    <xf numFmtId="0" fontId="0" fillId="0" borderId="0" xfId="0" applyFont="1">
      <alignment horizontal="right" vertical="top"/>
    </xf>
    <xf numFmtId="0" fontId="0" fillId="0" borderId="0" xfId="0" applyFont="1">
      <alignment vertical="top"/>
    </xf>
    <xf numFmtId="49" fontId="23" fillId="0" borderId="15" xfId="0" applyFont="1" applyBorder="1" applyNumberFormat="1">
      <alignment vertical="top"/>
    </xf>
    <xf numFmtId="0" fontId="0" fillId="49" borderId="0" xfId="0" applyFont="1" applyFill="1">
      <alignment horizontal="right" vertical="center"/>
    </xf>
    <xf numFmtId="0" fontId="0" fillId="0" borderId="0" xfId="0" applyFont="1">
      <alignment horizontal="left" vertical="center"/>
    </xf>
    <xf numFmtId="0" fontId="0" fillId="49" borderId="0" xfId="0" applyFont="1" applyFill="1">
      <alignment horizontal="right" vertical="center"/>
    </xf>
    <xf numFmtId="0" fontId="0" fillId="49" borderId="0" xfId="0" applyFont="1" applyFill="1">
      <alignment horizontal="left" vertical="center"/>
    </xf>
    <xf numFmtId="0" fontId="60" fillId="49" borderId="0" xfId="0" applyFont="1" applyFill="1">
      <alignment horizontal="left" vertical="center"/>
    </xf>
    <xf numFmtId="0" fontId="0" fillId="0" borderId="0" xfId="0" applyFont="1">
      <alignment vertical="center"/>
    </xf>
    <xf numFmtId="0" fontId="23" fillId="0" borderId="0" xfId="0" applyFont="1">
      <alignment vertical="top"/>
    </xf>
    <xf numFmtId="0" fontId="60" fillId="0" borderId="0" xfId="0" applyFont="1">
      <alignment horizontal="left" vertical="center"/>
    </xf>
    <xf numFmtId="49" fontId="0" fillId="0" borderId="15" xfId="0" applyFont="1" applyBorder="1" applyNumberFormat="1">
      <alignment vertical="top"/>
    </xf>
    <xf numFmtId="49" fontId="23" fillId="0" borderId="13" xfId="0" applyFont="1" applyBorder="1" applyNumberFormat="1">
      <alignment horizontal="right" vertical="top"/>
    </xf>
    <xf numFmtId="0" fontId="0" fillId="0" borderId="15" xfId="0" applyFont="1" applyBorder="1">
      <alignment horizontal="left" vertical="center"/>
    </xf>
    <xf numFmtId="0" fontId="60" fillId="49" borderId="0" xfId="0" applyFont="1" applyFill="1">
      <alignment horizontal="left" vertical="center"/>
    </xf>
    <xf numFmtId="49" fontId="23" fillId="0" borderId="18" xfId="0" applyFont="1" applyBorder="1" applyNumberFormat="1">
      <alignment horizontal="right" vertical="top"/>
    </xf>
    <xf numFmtId="0" fontId="0" fillId="0" borderId="18" xfId="0" applyFont="1" applyBorder="1">
      <alignment vertical="top"/>
    </xf>
    <xf numFmtId="0" fontId="23" fillId="0" borderId="18" xfId="0" applyFont="1" applyBorder="1">
      <alignment vertical="center"/>
    </xf>
    <xf numFmtId="49" fontId="23" fillId="0" borderId="32" xfId="0" applyFont="1" applyBorder="1" applyNumberFormat="1">
      <alignment horizontal="center" vertical="center"/>
    </xf>
    <xf numFmtId="49" fontId="23" fillId="0" borderId="13" xfId="0" applyFont="1" applyBorder="1" applyNumberFormat="1">
      <alignment horizontal="right" vertical="center"/>
    </xf>
    <xf numFmtId="49" fontId="23" fillId="0" borderId="13" xfId="0" applyFont="1" applyBorder="1" applyNumberFormat="1">
      <alignment vertical="top"/>
    </xf>
    <xf numFmtId="49" fontId="0" fillId="0" borderId="0" xfId="0" applyFont="1" applyNumberFormat="1">
      <alignment vertical="center"/>
    </xf>
    <xf numFmtId="0" fontId="23" fillId="49" borderId="0" xfId="0" applyFont="1" applyFill="1">
      <alignment horizontal="left" vertical="center"/>
    </xf>
    <xf numFmtId="0" fontId="0" fillId="49" borderId="12" xfId="0" applyFont="1" applyFill="1" applyBorder="1">
      <alignment horizontal="center"/>
    </xf>
    <xf numFmtId="49" fontId="110" fillId="0" borderId="17" xfId="0" applyFont="1" applyBorder="1" applyNumberFormat="1">
      <alignment vertical="top"/>
    </xf>
    <xf numFmtId="49" fontId="0" fillId="0" borderId="0" xfId="0" applyFont="1" applyNumberFormat="1">
      <alignment vertical="center"/>
    </xf>
    <xf numFmtId="0" fontId="0" fillId="0" borderId="12" xfId="0" applyFont="1" applyBorder="1">
      <alignment horizontal="center"/>
    </xf>
    <xf numFmtId="49" fontId="23" fillId="49" borderId="0" xfId="0" applyFont="1" applyFill="1" applyNumberFormat="1">
      <alignment horizontal="center" vertical="center"/>
    </xf>
    <xf numFmtId="49" fontId="23" fillId="0" borderId="0" xfId="0" applyFont="1" applyNumberFormat="1">
      <alignment vertical="top"/>
    </xf>
    <xf numFmtId="49" fontId="0" fillId="33" borderId="32" xfId="0" applyFont="1" applyFill="1" applyBorder="1" applyNumberFormat="1">
      <alignment horizontal="left" vertical="center"/>
      <protection locked="0"/>
    </xf>
    <xf numFmtId="49" fontId="0" fillId="0" borderId="13" xfId="0" applyFont="1" applyBorder="1" applyNumberFormat="1">
      <alignment horizontal="center" vertical="center"/>
    </xf>
    <xf numFmtId="49" fontId="0" fillId="0" borderId="32" xfId="0" applyFont="1" applyBorder="1" applyNumberFormat="1">
      <alignment horizontal="right" vertical="center"/>
    </xf>
    <xf numFmtId="0" fontId="0" fillId="38" borderId="32" xfId="0" applyFont="1" applyFill="1" applyBorder="1">
      <alignment horizontal="center" vertical="center"/>
    </xf>
    <xf numFmtId="49" fontId="0" fillId="0" borderId="32" xfId="0" applyFont="1" applyBorder="1" applyNumberFormat="1">
      <alignment horizontal="center" vertical="center"/>
    </xf>
    <xf numFmtId="49" fontId="0" fillId="0" borderId="0" xfId="0" applyFont="1" applyNumberFormat="1">
      <alignment horizontal="left" vertical="center"/>
    </xf>
    <xf numFmtId="0" fontId="0" fillId="0" borderId="0" xfId="0" applyFont="1">
      <alignment horizontal="center" vertical="center"/>
    </xf>
    <xf numFmtId="0" fontId="108" fillId="0" borderId="47" xfId="0" applyFont="1" applyBorder="1">
      <alignment horizontal="center" vertical="center"/>
    </xf>
    <xf numFmtId="0" fontId="0" fillId="0" borderId="47" xfId="0" applyFont="1" applyBorder="1">
      <alignment horizontal="center" vertical="center"/>
    </xf>
    <xf numFmtId="49" fontId="41" fillId="48" borderId="13" xfId="0" applyFont="1" applyFill="1" applyBorder="1" applyNumberFormat="1">
      <alignment horizontal="right" vertical="center"/>
    </xf>
    <xf numFmtId="49" fontId="23" fillId="33" borderId="38" xfId="0" applyFont="1" applyFill="1" applyBorder="1" applyNumberFormat="1">
      <alignment vertical="top"/>
      <protection locked="0"/>
    </xf>
    <xf numFmtId="0" fontId="23" fillId="0" borderId="13" xfId="0" applyFont="1" applyBorder="1">
      <alignment vertical="top"/>
    </xf>
    <xf numFmtId="0" fontId="0" fillId="34" borderId="13" xfId="0" applyFont="1" applyFill="1" applyBorder="1">
      <alignment horizontal="right" vertical="center"/>
    </xf>
    <xf numFmtId="49" fontId="23" fillId="34" borderId="24" xfId="0" applyFont="1" applyFill="1" applyBorder="1" applyNumberFormat="1">
      <alignment vertical="top"/>
    </xf>
    <xf numFmtId="49" fontId="23" fillId="34" borderId="13" xfId="0" applyFont="1" applyFill="1" applyBorder="1" applyNumberFormat="1">
      <alignment vertical="top"/>
    </xf>
    <xf numFmtId="49" fontId="23" fillId="0" borderId="15" xfId="0" applyFont="1" applyBorder="1" applyNumberFormat="1">
      <alignment horizontal="center" vertical="top"/>
    </xf>
    <xf numFmtId="49" fontId="23" fillId="0" borderId="14" xfId="0" applyFont="1" applyBorder="1" applyNumberFormat="1">
      <alignment horizontal="center" vertical="top"/>
    </xf>
    <xf numFmtId="0" fontId="23" fillId="38" borderId="28" xfId="0" applyFont="1" applyFill="1" applyBorder="1">
      <alignment horizontal="center" vertical="top"/>
    </xf>
    <xf numFmtId="0" fontId="23" fillId="38" borderId="28" xfId="0" applyFont="1" applyFill="1" applyBorder="1">
      <alignment horizontal="left" vertical="top"/>
    </xf>
    <xf numFmtId="0" fontId="0" fillId="0" borderId="33" xfId="0" applyFont="1" applyBorder="1">
      <alignment horizontal="center" vertical="center"/>
    </xf>
    <xf numFmtId="0" fontId="0" fillId="0" borderId="35" xfId="0" applyFont="1" applyBorder="1">
      <alignment horizontal="center" vertical="center"/>
    </xf>
    <xf numFmtId="0" fontId="23" fillId="0" borderId="13" xfId="0" applyFont="1" applyBorder="1">
      <alignment horizontal="left" vertical="top"/>
    </xf>
    <xf numFmtId="49" fontId="23" fillId="0" borderId="0" xfId="0" applyFont="1" applyNumberFormat="1">
      <alignment horizontal="left" vertical="top"/>
    </xf>
    <xf numFmtId="0" fontId="0" fillId="0" borderId="32" xfId="0" applyFont="1" applyBorder="1">
      <alignment horizontal="center" vertical="center"/>
    </xf>
    <xf numFmtId="0" fontId="0" fillId="0" borderId="34" xfId="0" applyFont="1" applyBorder="1">
      <alignment horizontal="center" vertical="center"/>
    </xf>
    <xf numFmtId="49" fontId="41" fillId="48" borderId="15" xfId="0" applyFont="1" applyFill="1" applyBorder="1" applyNumberFormat="1">
      <alignment horizontal="right" vertical="center"/>
    </xf>
    <xf numFmtId="49" fontId="23" fillId="0" borderId="13" xfId="0" applyFont="1" applyBorder="1" applyNumberFormat="1">
      <alignment vertical="top"/>
    </xf>
    <xf numFmtId="49" fontId="0" fillId="0" borderId="0" xfId="0" applyFont="1" applyNumberFormat="1">
      <alignment vertical="center"/>
    </xf>
    <xf numFmtId="49" fontId="0" fillId="0" borderId="0" xfId="0" applyFont="1" applyNumberFormat="1">
      <alignment vertical="top"/>
    </xf>
    <xf numFmtId="49" fontId="23" fillId="0" borderId="0" xfId="0" applyFont="1" applyNumberFormat="1">
      <alignment vertical="center"/>
    </xf>
    <xf numFmtId="49" fontId="0" fillId="0" borderId="0" xfId="0" applyFont="1" applyNumberFormat="1">
      <alignment vertical="top"/>
    </xf>
    <xf numFmtId="49" fontId="23" fillId="0" borderId="0" xfId="0" applyFont="1" applyNumberFormat="1">
      <alignment vertical="top"/>
    </xf>
    <xf numFmtId="49" fontId="0" fillId="0" borderId="0" xfId="0" applyFont="1" applyNumberFormat="1">
      <alignment vertical="center" wrapText="1"/>
    </xf>
    <xf numFmtId="49" fontId="0" fillId="0" borderId="0" xfId="0" applyFont="1" applyNumberFormat="1">
      <alignment vertical="top"/>
    </xf>
    <xf numFmtId="49" fontId="0" fillId="39" borderId="0" xfId="0" applyFont="1" applyFill="1" applyNumberFormat="1">
      <alignment vertical="top"/>
    </xf>
    <xf numFmtId="0" fontId="23" fillId="0" borderId="0" xfId="0" applyFont="1"/>
    <xf numFmtId="0" fontId="46" fillId="36" borderId="0" xfId="0" applyFont="1" applyFill="1">
      <alignment horizontal="center" vertical="center" wrapText="1"/>
    </xf>
    <xf numFmtId="0" fontId="23" fillId="36" borderId="13" xfId="0" applyFont="1" applyFill="1" applyBorder="1">
      <alignment horizontal="center" vertical="center"/>
    </xf>
    <xf numFmtId="49" fontId="23" fillId="41" borderId="13" xfId="0" applyFont="1" applyFill="1" applyBorder="1" applyNumberFormat="1">
      <alignment horizontal="left" vertical="center" wrapText="1"/>
      <protection locked="0"/>
    </xf>
    <xf numFmtId="0" fontId="46" fillId="36" borderId="0" xfId="0" applyFont="1" applyFill="1">
      <alignment horizontal="center"/>
    </xf>
    <xf numFmtId="49" fontId="23" fillId="33" borderId="13" xfId="0" applyFont="1" applyFill="1" applyBorder="1" applyNumberFormat="1">
      <alignment horizontal="left" vertical="center" wrapText="1"/>
      <protection locked="0"/>
    </xf>
    <xf numFmtId="0" fontId="46" fillId="0" borderId="0" xfId="0" applyFont="1">
      <alignment horizontal="center" vertical="center" wrapText="1"/>
    </xf>
    <xf numFmtId="0" fontId="56" fillId="0" borderId="13" xfId="0" applyFont="1" applyBorder="1">
      <alignment horizontal="center" vertical="center"/>
    </xf>
    <xf numFmtId="0" fontId="23" fillId="0" borderId="24" xfId="0" applyFont="1" applyBorder="1">
      <alignment horizontal="center" vertical="center" wrapText="1"/>
    </xf>
    <xf numFmtId="0" fontId="55" fillId="0" borderId="24" xfId="0" applyFont="1" applyBorder="1">
      <alignment horizontal="center" vertical="center" wrapText="1"/>
    </xf>
    <xf numFmtId="49" fontId="0" fillId="40" borderId="16" xfId="0" applyFont="1" applyFill="1" applyBorder="1" applyNumberFormat="1">
      <alignment horizontal="right" vertical="center" wrapText="1"/>
    </xf>
    <xf numFmtId="49" fontId="0" fillId="40" borderId="14" xfId="0" applyFont="1" applyFill="1" applyBorder="1" applyNumberFormat="1">
      <alignment horizontal="right" vertical="center" wrapText="1"/>
    </xf>
    <xf numFmtId="49" fontId="59" fillId="39" borderId="0" xfId="0" applyFont="1" applyFill="1" applyNumberFormat="1">
      <alignment vertical="top"/>
    </xf>
    <xf numFmtId="49" fontId="59" fillId="0" borderId="0" xfId="0" applyFont="1" applyNumberFormat="1">
      <alignment vertical="top"/>
    </xf>
    <xf numFmtId="0" fontId="45" fillId="0" borderId="25" xfId="0" applyFont="1" applyBorder="1">
      <alignment horizontal="center" vertical="center" wrapText="1"/>
    </xf>
    <xf numFmtId="0" fontId="23" fillId="42" borderId="13" xfId="0" applyFont="1" applyFill="1" applyBorder="1">
      <alignment horizontal="center" vertical="center" wrapText="1"/>
    </xf>
    <xf numFmtId="14" fontId="87" fillId="0" borderId="18" xfId="0" applyFont="1" applyBorder="1" applyNumberFormat="1">
      <alignment horizontal="center" vertical="center" wrapText="1"/>
    </xf>
    <xf numFmtId="0" fontId="81" fillId="0" borderId="13" xfId="0" applyFont="1" applyBorder="1">
      <alignment horizontal="left" vertical="center" wrapText="1" indent="1"/>
    </xf>
    <xf numFmtId="0" fontId="87" fillId="0" borderId="18" xfId="0" applyFont="1" applyBorder="1">
      <alignment horizontal="center" vertical="center" wrapText="1"/>
    </xf>
    <xf numFmtId="49" fontId="23" fillId="0" borderId="13" xfId="0" applyFont="1" applyBorder="1" applyNumberFormat="1">
      <alignment horizontal="center" vertical="center" wrapText="1"/>
    </xf>
    <xf numFmtId="0" fontId="80" fillId="0" borderId="0" xfId="0" applyFont="1">
      <alignment vertical="center"/>
    </xf>
    <xf numFmtId="14" fontId="87" fillId="0" borderId="37" xfId="0" applyFont="1" applyBorder="1" applyNumberFormat="1">
      <alignment horizontal="center" vertical="center" wrapText="1"/>
    </xf>
    <xf numFmtId="0" fontId="81" fillId="0" borderId="13" xfId="0" applyFont="1" applyBorder="1">
      <alignment horizontal="left" vertical="top" indent="1"/>
    </xf>
    <xf numFmtId="49" fontId="0" fillId="0" borderId="13" xfId="0" applyFont="1" applyBorder="1" applyNumberFormat="1">
      <alignment vertical="top"/>
    </xf>
    <xf numFmtId="0" fontId="45" fillId="0" borderId="13" xfId="0" applyFont="1" applyBorder="1">
      <alignment horizontal="center" vertical="center" wrapText="1"/>
    </xf>
    <xf numFmtId="0" fontId="23" fillId="42" borderId="13" xfId="0" applyFont="1" applyFill="1" applyBorder="1">
      <alignment horizontal="left" vertical="center" wrapText="1" indent="1"/>
    </xf>
    <xf numFmtId="0" fontId="45" fillId="0" borderId="13" xfId="0" applyFont="1" applyBorder="1">
      <alignment horizontal="center" vertical="center" wrapText="1"/>
    </xf>
    <xf numFmtId="49" fontId="23" fillId="0" borderId="14" xfId="0" applyFont="1" applyBorder="1" applyNumberFormat="1">
      <alignment horizontal="center" vertical="center" wrapText="1"/>
    </xf>
    <xf numFmtId="49" fontId="81" fillId="41" borderId="13" xfId="0" applyFont="1" applyFill="1" applyBorder="1" applyNumberFormat="1">
      <alignment horizontal="left" vertical="center" wrapText="1" indent="1"/>
      <protection locked="0"/>
    </xf>
    <xf numFmtId="0" fontId="23" fillId="36" borderId="0" xfId="0" applyFont="1" applyFill="1">
      <alignment horizontal="center" vertical="top" wrapText="1"/>
    </xf>
    <xf numFmtId="49" fontId="23" fillId="42" borderId="15" xfId="0" applyFont="1" applyFill="1" applyBorder="1" applyNumberFormat="1">
      <alignment horizontal="left" vertical="center" wrapText="1"/>
    </xf>
    <xf numFmtId="49" fontId="0" fillId="0" borderId="13" xfId="0" applyFont="1" applyBorder="1" applyNumberFormat="1">
      <alignment vertical="top"/>
    </xf>
    <xf numFmtId="0" fontId="23" fillId="36" borderId="15" xfId="0" applyFont="1" applyFill="1" applyBorder="1">
      <alignment horizontal="center" vertical="center" wrapText="1"/>
    </xf>
    <xf numFmtId="0" fontId="56" fillId="36" borderId="13" xfId="0" applyFont="1" applyFill="1" applyBorder="1">
      <alignment horizontal="center" vertical="center" wrapText="1"/>
    </xf>
    <xf numFmtId="14" fontId="23" fillId="42" borderId="31" xfId="0" applyFont="1" applyFill="1" applyBorder="1" applyNumberFormat="1">
      <alignment horizontal="left" vertical="center" wrapText="1"/>
    </xf>
    <xf numFmtId="49" fontId="29" fillId="41" borderId="13" xfId="0" applyFont="1" applyFill="1" applyBorder="1" applyNumberFormat="1">
      <alignment horizontal="left" vertical="center" wrapText="1"/>
      <protection locked="0"/>
    </xf>
    <xf numFmtId="49" fontId="0" fillId="0" borderId="13" xfId="0" applyFont="1" applyBorder="1" applyNumberFormat="1">
      <alignment horizontal="left" vertical="center" wrapText="1"/>
    </xf>
    <xf numFmtId="49" fontId="23" fillId="0" borderId="0" xfId="0" applyFont="1" applyNumberFormat="1">
      <alignment vertical="top"/>
    </xf>
    <xf numFmtId="49" fontId="55" fillId="0" borderId="0" xfId="0" applyFont="1" applyNumberFormat="1">
      <alignment vertical="top"/>
    </xf>
    <xf numFmtId="49" fontId="23" fillId="0" borderId="0" xfId="0" applyFont="1" applyNumberFormat="1">
      <alignment vertical="top"/>
    </xf>
    <xf numFmtId="49" fontId="46" fillId="0" borderId="0" xfId="0" applyFont="1" applyNumberFormat="1">
      <alignment horizontal="center" vertical="center" wrapText="1"/>
    </xf>
    <xf numFmtId="49" fontId="23" fillId="0" borderId="13" xfId="0" applyFont="1" applyBorder="1" applyNumberFormat="1">
      <alignment horizontal="center" vertical="center" wrapText="1"/>
    </xf>
    <xf numFmtId="49" fontId="23" fillId="41" borderId="13" xfId="0" applyFont="1" applyFill="1" applyBorder="1" applyNumberFormat="1">
      <alignment horizontal="left" vertical="center" wrapText="1"/>
      <protection locked="0"/>
    </xf>
    <xf numFmtId="250" fontId="0" fillId="41" borderId="13" xfId="0" applyFont="1" applyFill="1" applyBorder="1" applyNumberFormat="1">
      <alignment horizontal="center" vertical="center" wrapText="1"/>
      <protection locked="0"/>
    </xf>
    <xf numFmtId="49" fontId="29" fillId="41" borderId="13" xfId="0" applyFont="1" applyFill="1" applyBorder="1" applyNumberFormat="1">
      <alignment horizontal="left" vertical="center" wrapText="1"/>
      <protection locked="0"/>
    </xf>
    <xf numFmtId="49" fontId="0" fillId="41" borderId="13" xfId="0" applyFont="1" applyFill="1" applyBorder="1" applyNumberFormat="1">
      <alignment horizontal="center" vertical="center" wrapText="1"/>
      <protection locked="0"/>
    </xf>
    <xf numFmtId="0" fontId="56" fillId="0" borderId="0" xfId="0" applyFont="1">
      <alignment vertical="top"/>
    </xf>
    <xf numFmtId="49" fontId="56" fillId="0" borderId="0" xfId="0" applyFont="1" applyNumberFormat="1">
      <alignment vertical="top"/>
    </xf>
    <xf numFmtId="49" fontId="23" fillId="0" borderId="0" xfId="0" applyFont="1" applyNumberFormat="1">
      <alignment vertical="top"/>
    </xf>
    <xf numFmtId="0" fontId="48" fillId="36" borderId="0" xfId="0" applyFont="1" applyFill="1">
      <alignment vertical="center" wrapText="1"/>
    </xf>
    <xf numFmtId="49" fontId="0" fillId="36" borderId="13" xfId="0" applyFont="1" applyFill="1" applyBorder="1" applyNumberFormat="1">
      <alignment horizontal="center" vertical="center" wrapText="1"/>
    </xf>
    <xf numFmtId="0" fontId="132" fillId="41" borderId="15" xfId="0" applyFont="1" applyFill="1" applyBorder="1">
      <alignment horizontal="left" vertical="center" wrapText="1" indent="2"/>
      <protection locked="0"/>
    </xf>
    <xf numFmtId="49" fontId="55" fillId="0" borderId="0" xfId="0" applyFont="1" applyNumberFormat="1">
      <alignment horizontal="center" vertical="center" wrapText="1"/>
    </xf>
    <xf numFmtId="0" fontId="55" fillId="0" borderId="0" xfId="0" applyFont="1">
      <alignment vertical="center" wrapText="1"/>
    </xf>
    <xf numFmtId="0" fontId="46" fillId="0" borderId="25" xfId="0" applyFont="1" applyBorder="1">
      <alignment horizontal="center" vertical="center" wrapText="1"/>
    </xf>
    <xf numFmtId="49" fontId="23" fillId="0" borderId="13" xfId="0" applyFont="1" applyBorder="1" applyNumberFormat="1">
      <alignment horizontal="center" vertical="top" wrapText="1"/>
    </xf>
    <xf numFmtId="0" fontId="0" fillId="38" borderId="13" xfId="0" applyFont="1" applyFill="1" applyBorder="1">
      <alignment horizontal="left" vertical="top" wrapText="1" indent="1"/>
    </xf>
    <xf numFmtId="49" fontId="23" fillId="42" borderId="18" xfId="0" applyFont="1" applyFill="1" applyBorder="1" applyNumberFormat="1">
      <alignment horizontal="center" vertical="top" wrapText="1"/>
    </xf>
    <xf numFmtId="250" fontId="0" fillId="41" borderId="13" xfId="0" applyFont="1" applyFill="1" applyBorder="1" applyNumberFormat="1">
      <alignment horizontal="center" vertical="top" wrapText="1"/>
      <protection locked="0"/>
    </xf>
    <xf numFmtId="250" fontId="0" fillId="33" borderId="13" xfId="0" applyFont="1" applyFill="1" applyBorder="1" applyNumberFormat="1">
      <alignment horizontal="center" vertical="top" wrapText="1"/>
      <protection locked="0"/>
    </xf>
    <xf numFmtId="49" fontId="23" fillId="42" borderId="13" xfId="0" applyFont="1" applyFill="1" applyBorder="1" applyNumberFormat="1">
      <alignment horizontal="left" vertical="top" wrapText="1"/>
    </xf>
    <xf numFmtId="49" fontId="23" fillId="41" borderId="13" xfId="0" applyFont="1" applyFill="1" applyBorder="1" applyNumberFormat="1">
      <alignment horizontal="left" vertical="top" wrapText="1"/>
      <protection locked="0"/>
    </xf>
    <xf numFmtId="49" fontId="0" fillId="38" borderId="13" xfId="0" applyFont="1" applyFill="1" applyBorder="1" applyNumberFormat="1">
      <alignment horizontal="center" vertical="top" wrapText="1"/>
    </xf>
    <xf numFmtId="0" fontId="23" fillId="38" borderId="13" xfId="0" applyFont="1" applyFill="1" applyBorder="1">
      <alignment horizontal="center" vertical="top" wrapText="1"/>
    </xf>
    <xf numFmtId="0" fontId="23" fillId="33" borderId="13" xfId="0" applyFont="1" applyFill="1" applyBorder="1">
      <alignment horizontal="left" vertical="top" wrapText="1"/>
      <protection locked="0"/>
    </xf>
    <xf numFmtId="49" fontId="23" fillId="42" borderId="13" xfId="0" applyFont="1" applyFill="1" applyBorder="1" applyNumberFormat="1">
      <alignment horizontal="center" vertical="top" wrapText="1"/>
    </xf>
    <xf numFmtId="0" fontId="23" fillId="0" borderId="37" xfId="0" applyFont="1" applyBorder="1">
      <alignment horizontal="center" vertical="center" wrapText="1"/>
    </xf>
    <xf numFmtId="0" fontId="23" fillId="0" borderId="13" xfId="0" applyFont="1" applyBorder="1">
      <alignment horizontal="center" vertical="center" wrapText="1"/>
    </xf>
    <xf numFmtId="49" fontId="23" fillId="41" borderId="18" xfId="0" applyFont="1" applyFill="1" applyBorder="1" applyNumberFormat="1">
      <alignment horizontal="left" vertical="center" wrapText="1" indent="1"/>
      <protection locked="0"/>
    </xf>
    <xf numFmtId="0" fontId="23" fillId="0" borderId="25" xfId="0" applyFont="1" applyBorder="1">
      <alignment vertical="top" wrapText="1"/>
    </xf>
    <xf numFmtId="49" fontId="23" fillId="42" borderId="24" xfId="0" applyFont="1" applyFill="1" applyBorder="1" applyNumberFormat="1">
      <alignment horizontal="center" vertical="top" wrapText="1"/>
    </xf>
    <xf numFmtId="49" fontId="0" fillId="41" borderId="13" xfId="0" applyFont="1" applyFill="1" applyBorder="1" applyNumberFormat="1">
      <alignment horizontal="center" vertical="top" wrapText="1"/>
      <protection locked="0"/>
    </xf>
    <xf numFmtId="49" fontId="0" fillId="33" borderId="13" xfId="0" applyFont="1" applyFill="1" applyBorder="1" applyNumberFormat="1">
      <alignment horizontal="center" vertical="top" wrapText="1"/>
      <protection locked="0"/>
    </xf>
    <xf numFmtId="49" fontId="23" fillId="42" borderId="15" xfId="0" applyFont="1" applyFill="1" applyBorder="1" applyNumberFormat="1">
      <alignment horizontal="center" vertical="top" wrapText="1"/>
    </xf>
    <xf numFmtId="0" fontId="23" fillId="40" borderId="15" xfId="0" applyFont="1" applyFill="1" applyBorder="1">
      <alignment vertical="center" wrapText="1"/>
    </xf>
    <xf numFmtId="0" fontId="23" fillId="40" borderId="16" xfId="0" applyFont="1" applyFill="1" applyBorder="1">
      <alignment vertical="center" wrapText="1"/>
    </xf>
    <xf numFmtId="49" fontId="49" fillId="40" borderId="14" xfId="0" applyFont="1" applyFill="1" applyBorder="1" applyNumberFormat="1">
      <alignment horizontal="left" vertical="center" indent="1"/>
    </xf>
    <xf numFmtId="0" fontId="46" fillId="0" borderId="25" xfId="0" applyFont="1" applyBorder="1">
      <alignment horizontal="center" vertical="center" wrapText="1"/>
    </xf>
    <xf numFmtId="49" fontId="23" fillId="0" borderId="37" xfId="0" applyFont="1" applyBorder="1" applyNumberFormat="1">
      <alignment horizontal="center" vertical="top" wrapText="1"/>
    </xf>
    <xf numFmtId="0" fontId="0" fillId="38" borderId="37" xfId="0" applyFont="1" applyFill="1" applyBorder="1">
      <alignment horizontal="left" vertical="top" wrapText="1" indent="1"/>
    </xf>
    <xf numFmtId="49" fontId="23" fillId="42" borderId="37" xfId="0" applyFont="1" applyFill="1" applyBorder="1" applyNumberFormat="1">
      <alignment horizontal="center" vertical="top" wrapText="1"/>
    </xf>
    <xf numFmtId="49" fontId="0" fillId="41" borderId="37" xfId="0" applyFont="1" applyFill="1" applyBorder="1" applyNumberFormat="1">
      <alignment horizontal="center" vertical="top" wrapText="1"/>
      <protection locked="0"/>
    </xf>
    <xf numFmtId="49" fontId="0" fillId="33" borderId="37" xfId="0" applyFont="1" applyFill="1" applyBorder="1" applyNumberFormat="1">
      <alignment horizontal="center" vertical="top" wrapText="1"/>
      <protection locked="0"/>
    </xf>
    <xf numFmtId="49" fontId="23" fillId="42" borderId="37" xfId="0" applyFont="1" applyFill="1" applyBorder="1" applyNumberFormat="1">
      <alignment horizontal="left" vertical="top" wrapText="1"/>
    </xf>
    <xf numFmtId="49" fontId="23" fillId="41" borderId="37" xfId="0" applyFont="1" applyFill="1" applyBorder="1" applyNumberFormat="1">
      <alignment horizontal="left" vertical="top" wrapText="1"/>
      <protection locked="0"/>
    </xf>
    <xf numFmtId="49" fontId="0" fillId="38" borderId="37" xfId="0" applyFont="1" applyFill="1" applyBorder="1" applyNumberFormat="1">
      <alignment horizontal="center" vertical="top" wrapText="1"/>
    </xf>
    <xf numFmtId="0" fontId="23" fillId="38" borderId="37" xfId="0" applyFont="1" applyFill="1" applyBorder="1">
      <alignment horizontal="center" vertical="top" wrapText="1"/>
    </xf>
    <xf numFmtId="0" fontId="23" fillId="33" borderId="37" xfId="0" applyFont="1" applyFill="1" applyBorder="1">
      <alignment horizontal="left" vertical="top" wrapText="1"/>
      <protection locked="0"/>
    </xf>
    <xf numFmtId="0" fontId="23" fillId="0" borderId="37" xfId="0" applyFont="1" applyBorder="1">
      <alignment horizontal="center" vertical="center" wrapText="1"/>
    </xf>
    <xf numFmtId="0" fontId="23" fillId="0" borderId="13" xfId="0" applyFont="1" applyBorder="1">
      <alignment horizontal="center" vertical="center" wrapText="1"/>
    </xf>
    <xf numFmtId="0" fontId="56" fillId="0" borderId="0" xfId="0" applyFont="1">
      <alignment vertical="center" wrapText="1"/>
    </xf>
    <xf numFmtId="49" fontId="56" fillId="0" borderId="0" xfId="0" applyFont="1" applyNumberFormat="1">
      <alignment horizontal="center" vertical="center" wrapText="1"/>
    </xf>
    <xf numFmtId="0" fontId="23" fillId="36" borderId="0" xfId="0" applyFont="1" applyFill="1">
      <alignment vertical="center" wrapText="1"/>
    </xf>
    <xf numFmtId="0" fontId="109" fillId="0" borderId="49" xfId="0" applyFont="1" applyBorder="1">
      <alignment horizontal="left" vertical="center" indent="1"/>
    </xf>
    <xf numFmtId="0" fontId="109" fillId="0" borderId="50" xfId="0" applyFont="1" applyBorder="1">
      <alignment horizontal="left" vertical="center" indent="1"/>
    </xf>
    <xf numFmtId="0" fontId="0" fillId="0" borderId="50" xfId="0" applyFont="1" applyBorder="1">
      <alignment horizontal="left" vertical="center" wrapText="1"/>
    </xf>
    <xf numFmtId="0" fontId="23" fillId="0" borderId="50" xfId="0" applyFont="1" applyBorder="1">
      <alignment vertical="center" wrapText="1"/>
    </xf>
    <xf numFmtId="0" fontId="23" fillId="0" borderId="55" xfId="0" applyFont="1" applyBorder="1">
      <alignment vertical="center" wrapText="1"/>
    </xf>
    <xf numFmtId="0" fontId="23" fillId="0" borderId="56" xfId="0" applyFont="1" applyBorder="1">
      <alignment vertical="center" wrapText="1"/>
    </xf>
    <xf numFmtId="0" fontId="23" fillId="0" borderId="39" xfId="0" applyFont="1" applyBorder="1">
      <alignment vertical="center" wrapText="1"/>
    </xf>
    <xf numFmtId="49" fontId="23" fillId="0" borderId="0" xfId="0" applyFont="1" applyNumberFormat="1">
      <alignment vertical="top"/>
    </xf>
    <xf numFmtId="49" fontId="23" fillId="38" borderId="13" xfId="0" applyFont="1" applyFill="1" applyBorder="1" applyNumberFormat="1">
      <alignment horizontal="center" vertical="center" wrapText="1"/>
    </xf>
    <xf numFmtId="49" fontId="23" fillId="0" borderId="14" xfId="0" applyFont="1" applyBorder="1" applyNumberFormat="1">
      <alignment horizontal="center" vertical="center" wrapText="1"/>
    </xf>
    <xf numFmtId="49" fontId="23" fillId="42" borderId="14" xfId="0" applyFont="1" applyFill="1" applyBorder="1" applyNumberFormat="1">
      <alignment horizontal="left" vertical="center" wrapText="1"/>
    </xf>
    <xf numFmtId="49" fontId="23" fillId="42" borderId="13" xfId="0" applyFont="1" applyFill="1" applyBorder="1" applyNumberFormat="1">
      <alignment horizontal="left" vertical="center" wrapText="1"/>
    </xf>
    <xf numFmtId="49" fontId="23" fillId="41" borderId="13" xfId="0" applyFont="1" applyFill="1" applyBorder="1" applyNumberFormat="1">
      <alignment horizontal="left" vertical="center" wrapText="1"/>
      <protection locked="0"/>
    </xf>
    <xf numFmtId="49" fontId="23" fillId="42" borderId="15" xfId="0" applyFont="1" applyFill="1" applyBorder="1" applyNumberFormat="1">
      <alignment horizontal="center" vertical="center" wrapText="1"/>
    </xf>
    <xf numFmtId="49" fontId="23" fillId="0" borderId="13" xfId="0" applyFont="1" applyBorder="1" applyNumberFormat="1">
      <alignment horizontal="center" vertical="center" wrapText="1"/>
    </xf>
    <xf numFmtId="49" fontId="111" fillId="40" borderId="44" xfId="0" applyFont="1" applyFill="1" applyBorder="1" applyNumberFormat="1">
      <alignment horizontal="left" vertical="center" indent="1"/>
    </xf>
    <xf numFmtId="49" fontId="100" fillId="40" borderId="44" xfId="0" applyFont="1" applyFill="1" applyBorder="1" applyNumberFormat="1">
      <alignment horizontal="center" vertical="center"/>
    </xf>
    <xf numFmtId="3" fontId="23" fillId="41" borderId="13" xfId="0" applyFont="1" applyFill="1" applyBorder="1" applyNumberFormat="1">
      <alignment horizontal="center" vertical="center" wrapText="1"/>
      <protection locked="0"/>
    </xf>
    <xf numFmtId="0" fontId="23" fillId="0" borderId="0" xfId="0" applyFont="1">
      <alignment vertical="center" wrapText="1"/>
    </xf>
    <xf numFmtId="49" fontId="112" fillId="0" borderId="14" xfId="0" applyFont="1" applyBorder="1" applyNumberFormat="1">
      <alignment horizontal="center" vertical="center" wrapText="1"/>
    </xf>
    <xf numFmtId="0" fontId="54" fillId="0" borderId="13" xfId="0" applyFont="1" applyBorder="1">
      <alignment horizontal="center" vertical="center"/>
    </xf>
    <xf numFmtId="49" fontId="129" fillId="42" borderId="18" xfId="0" applyFont="1" applyFill="1" applyBorder="1" applyNumberFormat="1">
      <alignment horizontal="left" vertical="center" wrapText="1" indent="1"/>
    </xf>
    <xf numFmtId="49" fontId="129" fillId="0" borderId="13" xfId="0" applyFont="1" applyBorder="1" applyNumberFormat="1">
      <alignment horizontal="left" vertical="center" wrapText="1"/>
    </xf>
    <xf numFmtId="49" fontId="111" fillId="40" borderId="15" xfId="0" applyFont="1" applyFill="1" applyBorder="1" applyNumberFormat="1">
      <alignment horizontal="left" vertical="center" indent="1"/>
    </xf>
    <xf numFmtId="49" fontId="111" fillId="40" borderId="16" xfId="0" applyFont="1" applyFill="1" applyBorder="1" applyNumberFormat="1">
      <alignment horizontal="left" vertical="center" indent="1"/>
    </xf>
    <xf numFmtId="49" fontId="133" fillId="40" borderId="16" xfId="0" applyFont="1" applyFill="1" applyBorder="1" applyNumberFormat="1">
      <alignment vertical="top" wrapText="1"/>
    </xf>
    <xf numFmtId="49" fontId="133" fillId="40" borderId="14" xfId="0" applyFont="1" applyFill="1" applyBorder="1" applyNumberFormat="1">
      <alignment vertical="top" wrapText="1"/>
    </xf>
    <xf numFmtId="49" fontId="129" fillId="42" borderId="37" xfId="0" applyFont="1" applyFill="1" applyBorder="1" applyNumberFormat="1">
      <alignment horizontal="left" vertical="center" wrapText="1" indent="1"/>
    </xf>
    <xf numFmtId="49" fontId="129" fillId="38" borderId="13" xfId="0" applyFont="1" applyFill="1" applyBorder="1" applyNumberFormat="1">
      <alignment horizontal="left" vertical="center" wrapText="1"/>
    </xf>
    <xf numFmtId="49" fontId="112" fillId="0" borderId="0" xfId="0" applyFont="1" applyNumberFormat="1">
      <alignment horizontal="center" vertical="top" wrapText="1"/>
    </xf>
    <xf numFmtId="0" fontId="54" fillId="0" borderId="13" xfId="0" applyFont="1" applyBorder="1">
      <alignment horizontal="center" vertical="center"/>
    </xf>
    <xf numFmtId="0" fontId="133" fillId="42" borderId="13" xfId="0" applyFont="1" applyFill="1" applyBorder="1">
      <alignment horizontal="left" vertical="center" wrapText="1" indent="1"/>
    </xf>
    <xf numFmtId="4" fontId="23" fillId="41" borderId="32" xfId="0" applyFont="1" applyFill="1" applyBorder="1" applyNumberFormat="1">
      <alignment horizontal="right" vertical="center" wrapText="1"/>
      <protection locked="0"/>
    </xf>
    <xf numFmtId="49" fontId="129" fillId="42" borderId="24" xfId="0" applyFont="1" applyFill="1" applyBorder="1" applyNumberFormat="1">
      <alignment horizontal="left" vertical="center" wrapText="1" indent="1"/>
    </xf>
    <xf numFmtId="49" fontId="49" fillId="40" borderId="16" xfId="0" applyFont="1" applyFill="1" applyBorder="1" applyNumberFormat="1">
      <alignment horizontal="left" vertical="center" indent="1"/>
    </xf>
    <xf numFmtId="49" fontId="133" fillId="40" borderId="53" xfId="0" applyFont="1" applyFill="1" applyBorder="1" applyNumberFormat="1">
      <alignment vertical="top" wrapText="1"/>
    </xf>
    <xf numFmtId="49" fontId="49" fillId="40" borderId="16" xfId="0" applyFont="1" applyFill="1" applyBorder="1" applyNumberFormat="1">
      <alignment horizontal="left" vertical="center" indent="1"/>
    </xf>
    <xf numFmtId="49" fontId="111" fillId="40" borderId="53" xfId="0" applyFont="1" applyFill="1" applyBorder="1" applyNumberFormat="1">
      <alignment horizontal="left" vertical="center" indent="1"/>
    </xf>
    <xf numFmtId="49" fontId="23" fillId="38" borderId="59" xfId="0" applyFont="1" applyFill="1" applyBorder="1" applyNumberFormat="1">
      <alignment horizontal="center" vertical="center" wrapText="1"/>
    </xf>
    <xf numFmtId="0" fontId="0" fillId="40" borderId="51" xfId="0" applyFont="1" applyFill="1" applyBorder="1">
      <alignment horizontal="left" vertical="center"/>
    </xf>
    <xf numFmtId="49" fontId="49" fillId="40" borderId="52" xfId="0" applyFont="1" applyFill="1" applyBorder="1" applyNumberFormat="1">
      <alignment horizontal="left" vertical="center" indent="1"/>
    </xf>
    <xf numFmtId="0" fontId="23" fillId="40" borderId="51" xfId="0" applyFont="1" applyFill="1" applyBorder="1">
      <alignment vertical="center" wrapText="1"/>
    </xf>
    <xf numFmtId="0" fontId="23" fillId="40" borderId="52" xfId="0" applyFont="1" applyFill="1" applyBorder="1">
      <alignment vertical="center" wrapText="1"/>
    </xf>
    <xf numFmtId="0" fontId="23" fillId="40" borderId="54" xfId="0" applyFont="1" applyFill="1" applyBorder="1">
      <alignment vertical="center" wrapText="1"/>
    </xf>
    <xf numFmtId="49" fontId="0" fillId="38" borderId="37" xfId="0" applyFont="1" applyFill="1" applyBorder="1" applyNumberFormat="1">
      <alignment vertical="top"/>
    </xf>
    <xf numFmtId="49" fontId="0" fillId="0" borderId="37" xfId="0" applyFont="1" applyBorder="1" applyNumberFormat="1">
      <alignment vertical="top"/>
    </xf>
    <xf numFmtId="49" fontId="129" fillId="42" borderId="18" xfId="0" applyFont="1" applyFill="1" applyBorder="1" applyNumberFormat="1">
      <alignment vertical="center" wrapText="1"/>
    </xf>
    <xf numFmtId="49" fontId="0" fillId="41" borderId="37" xfId="0" applyFont="1" applyFill="1" applyBorder="1" applyNumberFormat="1">
      <alignment vertical="top"/>
      <protection locked="0"/>
    </xf>
    <xf numFmtId="49" fontId="112" fillId="0" borderId="13" xfId="0" applyFont="1" applyBorder="1" applyNumberFormat="1">
      <alignment horizontal="center" vertical="center" wrapText="1"/>
    </xf>
    <xf numFmtId="49" fontId="0" fillId="41" borderId="18" xfId="0" applyFont="1" applyFill="1" applyBorder="1" applyNumberFormat="1">
      <alignment vertical="top"/>
      <protection locked="0"/>
    </xf>
    <xf numFmtId="14" fontId="23" fillId="42" borderId="37" xfId="0" applyFont="1" applyFill="1" applyBorder="1" applyNumberFormat="1">
      <alignment horizontal="left" vertical="center" wrapText="1" indent="1"/>
    </xf>
    <xf numFmtId="49" fontId="129" fillId="42" borderId="37" xfId="0" applyFont="1" applyFill="1" applyBorder="1" applyNumberFormat="1">
      <alignment vertical="center" wrapText="1"/>
    </xf>
    <xf numFmtId="0" fontId="54" fillId="0" borderId="13" xfId="0" applyFont="1" applyBorder="1">
      <alignment horizontal="center" vertical="center"/>
    </xf>
    <xf numFmtId="4" fontId="23" fillId="41" borderId="34" xfId="0" applyFont="1" applyFill="1" applyBorder="1" applyNumberFormat="1">
      <alignment horizontal="right" vertical="center" wrapText="1"/>
      <protection locked="0"/>
    </xf>
    <xf numFmtId="49" fontId="129" fillId="42" borderId="24" xfId="0" applyFont="1" applyFill="1" applyBorder="1" applyNumberFormat="1">
      <alignment vertical="center" wrapText="1"/>
    </xf>
    <xf numFmtId="49" fontId="0" fillId="41" borderId="24" xfId="0" applyFont="1" applyFill="1" applyBorder="1" applyNumberFormat="1">
      <alignment vertical="top"/>
      <protection locked="0"/>
    </xf>
    <xf numFmtId="49" fontId="54" fillId="0" borderId="0" xfId="0" applyFont="1" applyNumberFormat="1">
      <alignment vertical="center"/>
    </xf>
    <xf numFmtId="49" fontId="105" fillId="0" borderId="0" xfId="0" applyFont="1" applyNumberFormat="1">
      <alignment vertical="center"/>
    </xf>
    <xf numFmtId="49" fontId="54" fillId="0" borderId="0" xfId="0" applyFont="1" applyNumberFormat="1">
      <alignment vertical="center"/>
    </xf>
    <xf numFmtId="49" fontId="54" fillId="36" borderId="0" xfId="0" applyFont="1" applyFill="1" applyNumberFormat="1">
      <alignment vertical="center"/>
    </xf>
    <xf numFmtId="0" fontId="109" fillId="0" borderId="48" xfId="0" applyFont="1" applyBorder="1">
      <alignment horizontal="left" vertical="center" indent="1"/>
    </xf>
    <xf numFmtId="49" fontId="23" fillId="0" borderId="57" xfId="0" applyFont="1" applyBorder="1" applyNumberFormat="1">
      <alignment horizontal="center" vertical="center"/>
    </xf>
    <xf numFmtId="0" fontId="23" fillId="0" borderId="57" xfId="0" applyFont="1" applyBorder="1">
      <alignment horizontal="right" vertical="center"/>
    </xf>
    <xf numFmtId="0" fontId="23" fillId="0" borderId="57" xfId="0" applyFont="1" applyBorder="1">
      <alignment horizontal="center" vertical="center"/>
    </xf>
    <xf numFmtId="0" fontId="23" fillId="0" borderId="16" xfId="0" applyFont="1" applyBorder="1">
      <alignment horizontal="right" vertical="center"/>
    </xf>
    <xf numFmtId="0" fontId="23" fillId="0" borderId="14" xfId="0" applyFont="1" applyBorder="1">
      <alignment horizontal="right" vertical="center"/>
    </xf>
    <xf numFmtId="0" fontId="23" fillId="0" borderId="13" xfId="0" applyFont="1" applyBorder="1">
      <alignment horizontal="right" vertical="center"/>
    </xf>
    <xf numFmtId="49" fontId="23" fillId="0" borderId="0" xfId="0" applyFont="1" applyNumberFormat="1">
      <alignment vertical="center"/>
    </xf>
    <xf numFmtId="49" fontId="105" fillId="0" borderId="0" xfId="0" applyFont="1" applyNumberFormat="1">
      <alignment vertical="center"/>
    </xf>
    <xf numFmtId="49" fontId="0" fillId="0" borderId="0" xfId="0" applyFont="1" applyNumberFormat="1">
      <alignment vertical="top"/>
    </xf>
    <xf numFmtId="0" fontId="23" fillId="36" borderId="13" xfId="0" applyFont="1" applyFill="1" applyBorder="1">
      <alignment horizontal="center" vertical="center"/>
    </xf>
    <xf numFmtId="0" fontId="129" fillId="42" borderId="13" xfId="0" applyFont="1" applyFill="1" applyBorder="1">
      <alignment horizontal="left" vertical="center" wrapText="1" indent="1"/>
    </xf>
    <xf numFmtId="0" fontId="129" fillId="41" borderId="13" xfId="0" applyFont="1" applyFill="1" applyBorder="1">
      <alignment horizontal="left" vertical="center" wrapText="1" indent="1"/>
      <protection locked="0"/>
    </xf>
    <xf numFmtId="0" fontId="23" fillId="33" borderId="13" xfId="0" applyFont="1" applyFill="1" applyBorder="1">
      <alignment horizontal="left" vertical="center" indent="1"/>
      <protection locked="0"/>
    </xf>
    <xf numFmtId="0" fontId="23" fillId="34" borderId="13" xfId="0" applyFont="1" applyFill="1" applyBorder="1">
      <alignment horizontal="right" vertical="center"/>
    </xf>
    <xf numFmtId="3" fontId="23" fillId="33" borderId="13" xfId="0" applyFont="1" applyFill="1" applyBorder="1" applyNumberFormat="1">
      <alignment horizontal="right" vertical="center"/>
      <protection locked="0"/>
    </xf>
    <xf numFmtId="4" fontId="23" fillId="33" borderId="13" xfId="0" applyFont="1" applyFill="1" applyBorder="1" applyNumberFormat="1">
      <alignment horizontal="right" vertical="center"/>
      <protection locked="0"/>
    </xf>
    <xf numFmtId="49" fontId="49" fillId="40" borderId="58" xfId="0" applyFont="1" applyFill="1" applyBorder="1" applyNumberFormat="1">
      <alignment horizontal="left" vertical="center" indent="1"/>
    </xf>
    <xf numFmtId="49" fontId="49" fillId="40" borderId="52" xfId="0" applyFont="1" applyFill="1" applyBorder="1" applyNumberFormat="1">
      <alignment horizontal="left" vertical="center" indent="1"/>
    </xf>
    <xf numFmtId="49" fontId="49" fillId="40" borderId="52" xfId="0" applyFont="1" applyFill="1" applyBorder="1" applyNumberFormat="1">
      <alignment horizontal="left" vertical="center" indent="1"/>
    </xf>
    <xf numFmtId="49" fontId="49" fillId="53" borderId="14" xfId="0" applyFont="1" applyFill="1" applyBorder="1" applyNumberFormat="1">
      <alignment horizontal="left" vertical="center" indent="1"/>
    </xf>
    <xf numFmtId="49" fontId="23" fillId="0" borderId="0" xfId="0" applyFont="1" applyNumberFormat="1">
      <alignment vertical="top"/>
    </xf>
    <xf numFmtId="49" fontId="54" fillId="0" borderId="0" xfId="0" applyFont="1" applyNumberFormat="1">
      <alignment vertical="top"/>
    </xf>
    <xf numFmtId="0" fontId="0" fillId="0" borderId="0" xfId="0" applyFont="1">
      <alignment vertical="top"/>
    </xf>
    <xf numFmtId="49" fontId="0" fillId="0" borderId="0" xfId="0" applyFont="1" applyNumberFormat="1">
      <alignment vertical="top"/>
    </xf>
    <xf numFmtId="49" fontId="23" fillId="0" borderId="18" xfId="0" applyFont="1" applyBorder="1" applyNumberFormat="1">
      <alignment horizontal="center" vertical="center" wrapText="1"/>
    </xf>
    <xf numFmtId="0" fontId="0" fillId="0" borderId="15" xfId="0" applyFont="1" applyBorder="1">
      <alignment horizontal="right" vertical="center" wrapText="1" indent="1"/>
    </xf>
    <xf numFmtId="0" fontId="0" fillId="0" borderId="16" xfId="0" applyFont="1" applyBorder="1">
      <alignment horizontal="right" vertical="center" wrapText="1" indent="1"/>
    </xf>
    <xf numFmtId="0" fontId="0" fillId="0" borderId="14" xfId="0" applyFont="1" applyBorder="1">
      <alignment horizontal="right" vertical="center" wrapText="1" indent="1"/>
    </xf>
    <xf numFmtId="0" fontId="0" fillId="38" borderId="13" xfId="0" applyFont="1" applyFill="1" applyBorder="1">
      <alignment horizontal="left" vertical="center" wrapText="1" indent="1"/>
    </xf>
    <xf numFmtId="0" fontId="23" fillId="0" borderId="14" xfId="0" applyFont="1" applyBorder="1">
      <alignment horizontal="left" vertical="center" wrapText="1" indent="1"/>
    </xf>
    <xf numFmtId="49" fontId="56" fillId="0" borderId="23" xfId="0" applyFont="1" applyBorder="1" applyNumberFormat="1">
      <alignment vertical="top"/>
    </xf>
    <xf numFmtId="49" fontId="56" fillId="0" borderId="0" xfId="0" applyFont="1" applyNumberFormat="1">
      <alignment vertical="top"/>
    </xf>
    <xf numFmtId="49" fontId="55" fillId="0" borderId="0" xfId="0" applyFont="1" applyNumberFormat="1">
      <alignment vertical="top"/>
    </xf>
    <xf numFmtId="49" fontId="56" fillId="0" borderId="0" xfId="0" applyFont="1" applyNumberFormat="1">
      <alignment vertical="top"/>
    </xf>
    <xf numFmtId="49" fontId="55" fillId="0" borderId="0" xfId="0" applyFont="1" applyNumberFormat="1">
      <alignment vertical="top"/>
    </xf>
    <xf numFmtId="0" fontId="55" fillId="0" borderId="0" xfId="0" applyFont="1">
      <alignment horizontal="center" vertical="top"/>
    </xf>
    <xf numFmtId="49" fontId="55" fillId="0" borderId="0" xfId="0" applyFont="1" applyNumberFormat="1">
      <alignment vertical="top"/>
    </xf>
    <xf numFmtId="0" fontId="55" fillId="0" borderId="0" xfId="0" applyFont="1">
      <alignment vertical="top"/>
    </xf>
    <xf numFmtId="0" fontId="80" fillId="0" borderId="0" xfId="0" applyFont="1">
      <alignment vertical="top"/>
    </xf>
    <xf numFmtId="0" fontId="93" fillId="0" borderId="0" xfId="0" applyFont="1">
      <alignment vertical="top"/>
    </xf>
    <xf numFmtId="49" fontId="23" fillId="0" borderId="37" xfId="0" applyFont="1" applyBorder="1" applyNumberFormat="1">
      <alignment horizontal="center" vertical="center" wrapText="1"/>
    </xf>
    <xf numFmtId="0" fontId="55" fillId="0" borderId="0" xfId="0" applyFont="1">
      <alignment horizontal="center" vertical="center" wrapText="1"/>
    </xf>
    <xf numFmtId="0" fontId="23" fillId="0" borderId="24" xfId="0" applyFont="1" applyBorder="1">
      <alignment horizontal="left" vertical="center" wrapText="1"/>
    </xf>
    <xf numFmtId="4" fontId="23" fillId="38" borderId="13" xfId="0" applyFont="1" applyFill="1" applyBorder="1" applyNumberFormat="1">
      <alignment horizontal="right" vertical="center" wrapText="1"/>
    </xf>
    <xf numFmtId="2" fontId="23" fillId="0" borderId="24" xfId="0" applyFont="1" applyBorder="1" applyNumberFormat="1">
      <alignment horizontal="center" vertical="center" wrapText="1"/>
    </xf>
    <xf numFmtId="0" fontId="23" fillId="0" borderId="13" xfId="0" applyFont="1" applyBorder="1">
      <alignment horizontal="left" vertical="center" wrapText="1"/>
    </xf>
    <xf numFmtId="49" fontId="56" fillId="0" borderId="23" xfId="0" applyFont="1" applyBorder="1" applyNumberFormat="1">
      <alignment vertical="top"/>
    </xf>
    <xf numFmtId="0" fontId="56" fillId="0" borderId="0" xfId="0" applyFont="1">
      <alignment horizontal="center" vertical="center" wrapText="1"/>
    </xf>
    <xf numFmtId="0" fontId="56" fillId="0" borderId="0" xfId="0" applyFont="1">
      <alignment horizontal="center" vertical="center" wrapText="1"/>
    </xf>
    <xf numFmtId="0" fontId="56" fillId="0" borderId="13" xfId="0" applyFont="1" applyBorder="1">
      <alignment horizontal="left" vertical="center" wrapText="1"/>
    </xf>
    <xf numFmtId="0" fontId="56" fillId="0" borderId="13" xfId="0" applyFont="1" applyBorder="1">
      <alignment vertical="center" wrapText="1"/>
    </xf>
    <xf numFmtId="0" fontId="56" fillId="0" borderId="23" xfId="0" applyFont="1" applyBorder="1">
      <alignment vertical="center" wrapText="1"/>
    </xf>
    <xf numFmtId="49" fontId="49" fillId="40" borderId="15" xfId="0" applyFont="1" applyFill="1" applyBorder="1" applyNumberFormat="1">
      <alignment horizontal="left" vertical="center"/>
    </xf>
    <xf numFmtId="49" fontId="49" fillId="40" borderId="16" xfId="0" applyFont="1" applyFill="1" applyBorder="1" applyNumberFormat="1">
      <alignment horizontal="left" vertical="center" indent="1"/>
    </xf>
    <xf numFmtId="49" fontId="49" fillId="40" borderId="16" xfId="0" applyFont="1" applyFill="1" applyBorder="1" applyNumberFormat="1">
      <alignment horizontal="left" vertical="center"/>
    </xf>
    <xf numFmtId="0" fontId="49" fillId="0" borderId="13" xfId="0" applyFont="1" applyBorder="1">
      <alignment horizontal="left" vertical="center" indent="1"/>
    </xf>
    <xf numFmtId="0" fontId="55" fillId="0" borderId="0" xfId="0" applyFont="1">
      <alignment horizontal="center" vertical="top"/>
    </xf>
    <xf numFmtId="49" fontId="23" fillId="0" borderId="24" xfId="0" applyFont="1" applyBorder="1" applyNumberFormat="1">
      <alignment horizontal="center" vertical="center" wrapText="1"/>
    </xf>
    <xf numFmtId="0" fontId="23" fillId="0" borderId="13" xfId="0" applyFont="1" applyBorder="1">
      <alignment horizontal="left" vertical="center" wrapText="1"/>
    </xf>
    <xf numFmtId="0" fontId="56" fillId="0" borderId="0" xfId="0" applyFont="1">
      <alignment horizontal="center" vertical="center" wrapText="1"/>
    </xf>
    <xf numFmtId="0" fontId="56" fillId="0" borderId="24" xfId="0" applyFont="1" applyBorder="1">
      <alignment vertical="center" wrapText="1"/>
    </xf>
    <xf numFmtId="4" fontId="56" fillId="0" borderId="13" xfId="0" applyFont="1" applyBorder="1" applyNumberFormat="1">
      <alignment horizontal="right" vertical="center" wrapText="1"/>
    </xf>
    <xf numFmtId="2" fontId="56" fillId="0" borderId="24" xfId="0" applyFont="1" applyBorder="1" applyNumberFormat="1">
      <alignment horizontal="center" vertical="center" wrapText="1"/>
    </xf>
    <xf numFmtId="0" fontId="56" fillId="0" borderId="13" xfId="0" applyFont="1" applyBorder="1">
      <alignment horizontal="left" vertical="center" wrapText="1"/>
    </xf>
    <xf numFmtId="0" fontId="56" fillId="0" borderId="0" xfId="0" applyFont="1">
      <alignment horizontal="center" vertical="top"/>
    </xf>
    <xf numFmtId="49" fontId="56" fillId="0" borderId="0" xfId="0" applyFont="1" applyNumberFormat="1">
      <alignment vertical="top"/>
    </xf>
    <xf numFmtId="49" fontId="56" fillId="0" borderId="15" xfId="0" applyFont="1" applyBorder="1" applyNumberFormat="1">
      <alignment horizontal="left" vertical="center"/>
    </xf>
    <xf numFmtId="49" fontId="56" fillId="0" borderId="16" xfId="0" applyFont="1" applyBorder="1" applyNumberFormat="1">
      <alignment horizontal="left" vertical="center" indent="1"/>
    </xf>
    <xf numFmtId="49" fontId="56" fillId="0" borderId="16" xfId="0" applyFont="1" applyBorder="1" applyNumberFormat="1">
      <alignment horizontal="left" vertical="center"/>
    </xf>
    <xf numFmtId="49" fontId="56" fillId="0" borderId="14" xfId="0" applyFont="1" applyBorder="1" applyNumberFormat="1">
      <alignment horizontal="left" vertical="center" indent="1"/>
    </xf>
    <xf numFmtId="0" fontId="56" fillId="0" borderId="13" xfId="0" applyFont="1" applyBorder="1">
      <alignment horizontal="left" vertical="center" indent="1"/>
    </xf>
    <xf numFmtId="49" fontId="0" fillId="0" borderId="20" xfId="0" applyFont="1" applyBorder="1" applyNumberFormat="1">
      <alignment vertical="top"/>
    </xf>
    <xf numFmtId="49" fontId="46" fillId="0" borderId="18" xfId="0" applyFont="1" applyBorder="1" applyNumberFormat="1">
      <alignment horizontal="center" vertical="top" wrapText="1"/>
    </xf>
    <xf numFmtId="49" fontId="23" fillId="41" borderId="15" xfId="0" applyFont="1" applyFill="1" applyBorder="1" applyNumberFormat="1">
      <alignment horizontal="left" vertical="center" wrapText="1" indent="1"/>
      <protection locked="0"/>
    </xf>
    <xf numFmtId="0" fontId="23" fillId="0" borderId="13" xfId="0" applyFont="1" applyBorder="1">
      <alignment vertical="center" wrapText="1"/>
    </xf>
    <xf numFmtId="49" fontId="0" fillId="0" borderId="14" xfId="0" applyFont="1" applyBorder="1" applyNumberFormat="1">
      <alignment horizontal="center" vertical="center" wrapText="1"/>
    </xf>
    <xf numFmtId="0" fontId="0" fillId="0" borderId="13" xfId="0" applyFont="1" applyBorder="1">
      <alignment horizontal="left" vertical="center" wrapText="1"/>
    </xf>
    <xf numFmtId="49" fontId="0" fillId="0" borderId="13" xfId="0" applyFont="1" applyBorder="1" applyNumberFormat="1">
      <alignment horizontal="center" vertical="center"/>
    </xf>
    <xf numFmtId="0" fontId="0" fillId="0" borderId="13" xfId="0" applyFont="1" applyBorder="1">
      <alignment horizontal="center" vertical="center" wrapText="1"/>
    </xf>
    <xf numFmtId="4" fontId="0" fillId="38" borderId="13" xfId="0" applyFont="1" applyFill="1" applyBorder="1" applyNumberFormat="1">
      <alignment horizontal="right" vertical="center" wrapText="1"/>
    </xf>
    <xf numFmtId="0" fontId="23" fillId="0" borderId="13" xfId="0" applyFont="1" applyBorder="1">
      <alignment horizontal="left" vertical="center" wrapText="1"/>
    </xf>
    <xf numFmtId="49" fontId="23" fillId="0" borderId="37" xfId="0" applyFont="1" applyBorder="1" applyNumberFormat="1">
      <alignment horizontal="center" vertical="top" wrapText="1"/>
    </xf>
    <xf numFmtId="0" fontId="0" fillId="41" borderId="13" xfId="0" applyFont="1" applyFill="1" applyBorder="1">
      <alignment horizontal="left" vertical="center" wrapText="1"/>
      <protection locked="0"/>
    </xf>
    <xf numFmtId="49" fontId="0" fillId="41" borderId="15" xfId="0" applyFont="1" applyFill="1" applyBorder="1" applyNumberFormat="1">
      <alignment horizontal="left" vertical="center" wrapText="1"/>
      <protection locked="0"/>
    </xf>
    <xf numFmtId="0" fontId="0" fillId="0" borderId="13" xfId="0" applyFont="1" applyBorder="1">
      <alignment vertical="center" wrapText="1"/>
    </xf>
    <xf numFmtId="49" fontId="0" fillId="0" borderId="31" xfId="0" applyFont="1" applyBorder="1" applyNumberFormat="1">
      <alignment horizontal="center" vertical="center" wrapText="1"/>
    </xf>
    <xf numFmtId="49" fontId="0" fillId="41" borderId="13" xfId="0" applyFont="1" applyFill="1" applyBorder="1" applyNumberFormat="1">
      <alignment horizontal="left" vertical="center" wrapText="1"/>
      <protection locked="0"/>
    </xf>
    <xf numFmtId="4" fontId="0" fillId="41" borderId="13" xfId="0" applyFont="1" applyFill="1" applyBorder="1" applyNumberFormat="1">
      <alignment horizontal="right" vertical="center" wrapText="1"/>
      <protection locked="0"/>
    </xf>
    <xf numFmtId="49" fontId="0" fillId="41" borderId="13" xfId="0" applyFont="1" applyFill="1" applyBorder="1" applyNumberFormat="1">
      <alignment horizontal="center" vertical="center" wrapText="1"/>
      <protection locked="0"/>
    </xf>
    <xf numFmtId="4" fontId="55" fillId="0" borderId="13" xfId="0" applyFont="1" applyBorder="1" applyNumberFormat="1">
      <alignment horizontal="right" vertical="center" wrapText="1"/>
    </xf>
    <xf numFmtId="49" fontId="0" fillId="41" borderId="13" xfId="0" applyFont="1" applyFill="1" applyBorder="1" applyNumberFormat="1">
      <alignment horizontal="left" vertical="center" wrapText="1"/>
      <protection locked="0"/>
    </xf>
    <xf numFmtId="49" fontId="0" fillId="40" borderId="28" xfId="0" applyFont="1" applyFill="1" applyBorder="1" applyNumberFormat="1">
      <alignment horizontal="center" vertical="center"/>
    </xf>
    <xf numFmtId="49" fontId="0" fillId="40" borderId="16" xfId="0" applyFont="1" applyFill="1" applyBorder="1" applyNumberFormat="1">
      <alignment horizontal="center" vertical="center"/>
    </xf>
    <xf numFmtId="49" fontId="49" fillId="40" borderId="16" xfId="0" applyFont="1" applyFill="1" applyBorder="1" applyNumberFormat="1">
      <alignment horizontal="left" vertical="center"/>
    </xf>
    <xf numFmtId="49" fontId="49" fillId="40" borderId="14" xfId="0" applyFont="1" applyFill="1" applyBorder="1" applyNumberFormat="1">
      <alignment horizontal="left" vertical="center" indent="1"/>
    </xf>
    <xf numFmtId="49" fontId="23" fillId="0" borderId="24" xfId="0" applyFont="1" applyBorder="1" applyNumberFormat="1">
      <alignment horizontal="center" vertical="top" wrapText="1"/>
    </xf>
    <xf numFmtId="49" fontId="23" fillId="41" borderId="13" xfId="0" applyFont="1" applyFill="1" applyBorder="1" applyNumberFormat="1">
      <alignment horizontal="left" vertical="center" wrapText="1" indent="1"/>
      <protection locked="0"/>
    </xf>
    <xf numFmtId="0" fontId="55" fillId="0" borderId="0" xfId="0" applyFont="1">
      <alignment horizontal="center" vertical="center" wrapText="1"/>
    </xf>
    <xf numFmtId="49" fontId="0" fillId="41" borderId="13" xfId="0" applyFont="1" applyFill="1" applyBorder="1" applyNumberFormat="1">
      <alignment horizontal="left" vertical="center" wrapText="1"/>
      <protection locked="0"/>
    </xf>
    <xf numFmtId="49" fontId="0" fillId="0" borderId="23" xfId="0" applyFont="1" applyBorder="1" applyNumberFormat="1">
      <alignment vertical="top"/>
    </xf>
    <xf numFmtId="49" fontId="0" fillId="0" borderId="0" xfId="0" applyFont="1" applyNumberFormat="1">
      <alignment vertical="top"/>
    </xf>
    <xf numFmtId="49" fontId="0" fillId="0" borderId="25" xfId="0" applyFont="1" applyBorder="1" applyNumberFormat="1">
      <alignment vertical="top"/>
    </xf>
    <xf numFmtId="49" fontId="0" fillId="0" borderId="0" xfId="0" applyFont="1" applyNumberFormat="1">
      <alignment horizontal="left" vertical="top"/>
    </xf>
    <xf numFmtId="49" fontId="0" fillId="0" borderId="0" xfId="0" applyFont="1" applyNumberFormat="1">
      <alignment vertical="top"/>
    </xf>
    <xf numFmtId="0" fontId="0" fillId="0" borderId="13" xfId="0" applyFont="1" applyBorder="1">
      <alignment horizontal="center" vertical="center"/>
    </xf>
    <xf numFmtId="49" fontId="23" fillId="33" borderId="13" xfId="0" applyFont="1" applyFill="1" applyBorder="1" applyNumberFormat="1">
      <alignment horizontal="left" vertical="center" wrapText="1"/>
      <protection locked="0"/>
    </xf>
    <xf numFmtId="0" fontId="0" fillId="42" borderId="13" xfId="0" applyFont="1" applyFill="1" applyBorder="1">
      <alignment horizontal="left" vertical="center" wrapText="1"/>
      <protection locked="0"/>
    </xf>
    <xf numFmtId="49" fontId="0" fillId="41" borderId="13" xfId="0" applyFont="1" applyFill="1" applyBorder="1" applyNumberFormat="1">
      <alignment horizontal="left" vertical="center" wrapText="1"/>
      <protection locked="0"/>
    </xf>
    <xf numFmtId="49" fontId="23" fillId="0" borderId="13" xfId="0" applyFont="1" applyBorder="1" applyNumberFormat="1">
      <alignment horizontal="center" vertical="center" wrapText="1"/>
    </xf>
    <xf numFmtId="49" fontId="0" fillId="41" borderId="13" xfId="0" applyFont="1" applyFill="1" applyBorder="1" applyNumberFormat="1">
      <alignment horizontal="left" vertical="center" wrapText="1"/>
      <protection locked="0"/>
    </xf>
    <xf numFmtId="49" fontId="23" fillId="33" borderId="13" xfId="0" applyFont="1" applyFill="1" applyBorder="1" applyNumberFormat="1">
      <alignment horizontal="left" vertical="center" wrapText="1"/>
      <protection locked="0"/>
    </xf>
    <xf numFmtId="0" fontId="49" fillId="40" borderId="15" xfId="0" applyFont="1" applyFill="1" applyBorder="1">
      <alignment horizontal="left" vertical="center"/>
    </xf>
    <xf numFmtId="0" fontId="49" fillId="40" borderId="16" xfId="0" applyFont="1" applyFill="1" applyBorder="1">
      <alignment horizontal="left" vertical="center"/>
    </xf>
    <xf numFmtId="0" fontId="49" fillId="40" borderId="14" xfId="0" applyFont="1" applyFill="1" applyBorder="1">
      <alignment horizontal="left" vertical="center"/>
    </xf>
    <xf numFmtId="49" fontId="0" fillId="0" borderId="13" xfId="0" applyFont="1" applyBorder="1" applyNumberFormat="1">
      <alignment vertical="top"/>
    </xf>
    <xf numFmtId="49" fontId="0" fillId="33" borderId="13" xfId="0" applyFont="1" applyFill="1" applyBorder="1" applyNumberFormat="1">
      <alignment horizontal="left" vertical="top"/>
      <protection locked="0"/>
    </xf>
    <xf numFmtId="49" fontId="0" fillId="42" borderId="13" xfId="0" applyFont="1" applyFill="1" applyBorder="1" applyNumberFormat="1">
      <alignment horizontal="left" vertical="center" wrapText="1"/>
      <protection locked="0"/>
    </xf>
    <xf numFmtId="0" fontId="0" fillId="40" borderId="16" xfId="0" applyFont="1" applyFill="1" applyBorder="1">
      <alignment vertical="center"/>
    </xf>
    <xf numFmtId="49" fontId="0" fillId="0" borderId="37" xfId="0" applyFont="1" applyBorder="1" applyNumberFormat="1">
      <alignment horizontal="left" vertical="top"/>
    </xf>
    <xf numFmtId="0" fontId="23" fillId="42" borderId="37" xfId="0" applyFont="1" applyFill="1" applyBorder="1">
      <alignment horizontal="center" vertical="top" wrapText="1"/>
    </xf>
    <xf numFmtId="49" fontId="0" fillId="42" borderId="37" xfId="0" applyFont="1" applyFill="1" applyBorder="1" applyNumberFormat="1">
      <alignment horizontal="left" vertical="top"/>
    </xf>
    <xf numFmtId="49" fontId="23" fillId="0" borderId="13" xfId="0" applyFont="1" applyBorder="1" applyNumberFormat="1">
      <alignment horizontal="center" vertical="center" wrapText="1"/>
    </xf>
    <xf numFmtId="49" fontId="0" fillId="41" borderId="13" xfId="0" applyFont="1" applyFill="1" applyBorder="1" applyNumberFormat="1">
      <alignment horizontal="left" vertical="center" wrapText="1"/>
      <protection locked="0"/>
    </xf>
    <xf numFmtId="49" fontId="23" fillId="33" borderId="13" xfId="0" applyFont="1" applyFill="1" applyBorder="1" applyNumberFormat="1">
      <alignment horizontal="left" vertical="center" wrapText="1"/>
      <protection locked="0"/>
    </xf>
    <xf numFmtId="49" fontId="0" fillId="33" borderId="37" xfId="0" applyFont="1" applyFill="1" applyBorder="1" applyNumberFormat="1">
      <alignment horizontal="left" vertical="top"/>
      <protection locked="0"/>
    </xf>
    <xf numFmtId="49" fontId="23" fillId="42" borderId="0" xfId="0" applyFont="1" applyFill="1" applyNumberFormat="1">
      <alignment horizontal="center" vertical="center" wrapText="1"/>
    </xf>
    <xf numFmtId="0" fontId="49" fillId="0" borderId="37" xfId="0" applyFont="1" applyBorder="1">
      <alignment horizontal="left" vertical="center"/>
    </xf>
    <xf numFmtId="49" fontId="0" fillId="42" borderId="37" xfId="0" applyFont="1" applyFill="1" applyBorder="1" applyNumberFormat="1">
      <alignment horizontal="left" vertical="center" wrapText="1"/>
      <protection locked="0"/>
    </xf>
    <xf numFmtId="49" fontId="23" fillId="42" borderId="37" xfId="0" applyFont="1" applyFill="1" applyBorder="1" applyNumberFormat="1">
      <alignment horizontal="center" vertical="center" wrapText="1"/>
    </xf>
    <xf numFmtId="0" fontId="23" fillId="42" borderId="37" xfId="0" applyFont="1" applyFill="1" applyBorder="1">
      <alignment horizontal="center" vertical="top" wrapText="1"/>
    </xf>
    <xf numFmtId="0" fontId="49" fillId="33" borderId="37" xfId="0" applyFont="1" applyFill="1" applyBorder="1">
      <alignment horizontal="left" vertical="center"/>
      <protection locked="0"/>
    </xf>
    <xf numFmtId="0" fontId="49" fillId="41" borderId="37" xfId="0" applyFont="1" applyFill="1" applyBorder="1">
      <alignment horizontal="left" vertical="center"/>
      <protection locked="0"/>
    </xf>
    <xf numFmtId="49" fontId="23" fillId="0" borderId="13" xfId="0" applyFont="1" applyBorder="1" applyNumberFormat="1">
      <alignment horizontal="center" vertical="center" wrapText="1"/>
    </xf>
    <xf numFmtId="49" fontId="0" fillId="41" borderId="13" xfId="0" applyFont="1" applyFill="1" applyBorder="1" applyNumberFormat="1">
      <alignment horizontal="left" vertical="center" wrapText="1"/>
      <protection locked="0"/>
    </xf>
    <xf numFmtId="49" fontId="23" fillId="33" borderId="13" xfId="0" applyFont="1" applyFill="1" applyBorder="1" applyNumberFormat="1">
      <alignment horizontal="left" vertical="center" wrapText="1"/>
      <protection locked="0"/>
    </xf>
    <xf numFmtId="49" fontId="0" fillId="0" borderId="0" xfId="0" applyFont="1" applyNumberFormat="1">
      <alignment vertical="top"/>
    </xf>
    <xf numFmtId="49" fontId="56" fillId="0" borderId="13" xfId="0" applyFont="1" applyBorder="1" applyNumberFormat="1">
      <alignment horizontal="center" vertical="center" wrapText="1"/>
    </xf>
    <xf numFmtId="49" fontId="56" fillId="0" borderId="13" xfId="0" applyFont="1" applyBorder="1" applyNumberFormat="1">
      <alignment horizontal="center" vertical="center" wrapText="1"/>
    </xf>
    <xf numFmtId="49" fontId="56" fillId="0" borderId="15" xfId="0" applyFont="1" applyBorder="1" applyNumberFormat="1">
      <alignment horizontal="left" vertical="center" wrapText="1"/>
    </xf>
    <xf numFmtId="49" fontId="23" fillId="33" borderId="13" xfId="0" applyFont="1" applyFill="1" applyBorder="1" applyNumberFormat="1">
      <alignment horizontal="left" vertical="center" wrapText="1"/>
      <protection locked="0"/>
    </xf>
    <xf numFmtId="0" fontId="56" fillId="0" borderId="15" xfId="0" applyFont="1" applyBorder="1">
      <alignment horizontal="left" vertical="center"/>
    </xf>
    <xf numFmtId="0" fontId="56" fillId="0" borderId="16" xfId="0" applyFont="1" applyBorder="1">
      <alignment horizontal="left" vertical="center"/>
    </xf>
    <xf numFmtId="0" fontId="49" fillId="40" borderId="31" xfId="0" applyFont="1" applyFill="1" applyBorder="1">
      <alignment horizontal="left" vertical="center"/>
    </xf>
    <xf numFmtId="49" fontId="0" fillId="0" borderId="0" xfId="0" applyFont="1" applyNumberFormat="1">
      <alignment vertical="top"/>
    </xf>
    <xf numFmtId="49" fontId="56" fillId="0" borderId="13" xfId="0" applyFont="1" applyBorder="1" applyNumberFormat="1">
      <alignment horizontal="center" vertical="center" wrapText="1"/>
    </xf>
    <xf numFmtId="49" fontId="0" fillId="33" borderId="37" xfId="0" applyFont="1" applyFill="1" applyBorder="1" applyNumberFormat="1">
      <alignment vertical="top"/>
      <protection locked="0"/>
    </xf>
    <xf numFmtId="49" fontId="23" fillId="42" borderId="37" xfId="0" applyFont="1" applyFill="1" applyBorder="1" applyNumberFormat="1">
      <alignment horizontal="center" vertical="center" wrapText="1"/>
    </xf>
    <xf numFmtId="49" fontId="0" fillId="0" borderId="0" xfId="0" applyFont="1" applyNumberFormat="1">
      <alignment vertical="center"/>
    </xf>
    <xf numFmtId="0" fontId="0" fillId="0" borderId="0" xfId="0" applyFont="1">
      <alignment vertical="center"/>
    </xf>
    <xf numFmtId="0" fontId="0" fillId="0" borderId="13" xfId="0" applyFont="1" applyBorder="1">
      <alignment horizontal="center" vertical="center"/>
    </xf>
    <xf numFmtId="0" fontId="23" fillId="0" borderId="13" xfId="0" applyFont="1" applyBorder="1">
      <alignment horizontal="center" vertical="center" wrapText="1"/>
    </xf>
    <xf numFmtId="49" fontId="23" fillId="0" borderId="20" xfId="0" applyFont="1" applyBorder="1" applyNumberFormat="1">
      <alignment horizontal="center" vertical="center" wrapText="1"/>
    </xf>
    <xf numFmtId="49" fontId="0" fillId="0" borderId="20" xfId="0" applyFont="1" applyBorder="1" applyNumberFormat="1">
      <alignment horizontal="left" vertical="center" wrapText="1"/>
    </xf>
    <xf numFmtId="49" fontId="0" fillId="0" borderId="0" xfId="0" applyFont="1" applyNumberFormat="1">
      <alignment vertical="top"/>
    </xf>
    <xf numFmtId="0" fontId="0" fillId="0" borderId="0" xfId="0" applyFont="1">
      <alignment vertical="center"/>
    </xf>
    <xf numFmtId="49" fontId="23" fillId="0" borderId="0" xfId="0" applyFont="1" applyNumberFormat="1">
      <alignment horizontal="center" vertical="center" wrapText="1"/>
    </xf>
    <xf numFmtId="49" fontId="23" fillId="0" borderId="37" xfId="0" applyFont="1" applyBorder="1" applyNumberFormat="1">
      <alignment horizontal="center" vertical="center"/>
    </xf>
    <xf numFmtId="0" fontId="23" fillId="0" borderId="37" xfId="0" applyFont="1" applyBorder="1">
      <alignment horizontal="center" vertical="center" wrapText="1"/>
    </xf>
    <xf numFmtId="0" fontId="23" fillId="0" borderId="37" xfId="0" applyFont="1" applyBorder="1">
      <alignment horizontal="center" vertical="center" wrapText="1"/>
    </xf>
    <xf numFmtId="49" fontId="23" fillId="0" borderId="37" xfId="0" applyFont="1" applyBorder="1" applyNumberFormat="1">
      <alignment vertical="center" wrapText="1"/>
    </xf>
    <xf numFmtId="0" fontId="23" fillId="0" borderId="25" xfId="0" applyFont="1" applyBorder="1">
      <alignment horizontal="center" vertical="center"/>
    </xf>
    <xf numFmtId="49" fontId="23" fillId="0" borderId="18" xfId="0" applyFont="1" applyBorder="1" applyNumberFormat="1">
      <alignment horizontal="left" vertical="center" wrapText="1"/>
    </xf>
    <xf numFmtId="49" fontId="23" fillId="41" borderId="13" xfId="0" applyFont="1" applyFill="1" applyBorder="1" applyNumberFormat="1">
      <alignment horizontal="left" vertical="center" wrapText="1"/>
      <protection locked="0"/>
    </xf>
    <xf numFmtId="49" fontId="23" fillId="0" borderId="18" xfId="0" applyFont="1" applyBorder="1" applyNumberFormat="1">
      <alignment horizontal="left" vertical="center" wrapText="1"/>
    </xf>
    <xf numFmtId="49" fontId="23" fillId="42" borderId="18" xfId="0" applyFont="1" applyFill="1" applyBorder="1" applyNumberFormat="1">
      <alignment horizontal="center" vertical="center" wrapText="1"/>
    </xf>
    <xf numFmtId="49" fontId="46" fillId="0" borderId="37" xfId="0" applyFont="1" applyBorder="1" applyNumberFormat="1">
      <alignment vertical="center" wrapText="1"/>
    </xf>
    <xf numFmtId="0" fontId="23" fillId="42" borderId="18" xfId="0" applyFont="1" applyFill="1" applyBorder="1">
      <alignment horizontal="left" vertical="center" wrapText="1"/>
    </xf>
    <xf numFmtId="49" fontId="23" fillId="0" borderId="18" xfId="0" applyFont="1" applyBorder="1" applyNumberFormat="1">
      <alignment horizontal="center" vertical="center" wrapText="1"/>
    </xf>
    <xf numFmtId="49" fontId="23" fillId="42" borderId="18" xfId="0" applyFont="1" applyFill="1" applyBorder="1" applyNumberFormat="1">
      <alignment horizontal="left" vertical="center" wrapText="1"/>
    </xf>
    <xf numFmtId="0" fontId="23" fillId="0" borderId="18" xfId="0" applyFont="1" applyBorder="1">
      <alignment horizontal="left" vertical="center" wrapText="1"/>
    </xf>
    <xf numFmtId="49" fontId="23" fillId="0" borderId="18" xfId="0" applyFont="1" applyBorder="1" applyNumberFormat="1">
      <alignment horizontal="center" vertical="center" wrapText="1"/>
    </xf>
    <xf numFmtId="49" fontId="23" fillId="0" borderId="13" xfId="0" applyFont="1" applyBorder="1" applyNumberFormat="1">
      <alignment horizontal="center" vertical="center" wrapText="1"/>
    </xf>
    <xf numFmtId="49" fontId="23" fillId="42" borderId="18" xfId="0" applyFont="1" applyFill="1" applyBorder="1" applyNumberFormat="1">
      <alignment vertical="center" wrapText="1"/>
    </xf>
    <xf numFmtId="49" fontId="23" fillId="33" borderId="13" xfId="0" applyFont="1" applyFill="1" applyBorder="1" applyNumberFormat="1">
      <alignment horizontal="left" vertical="center" wrapText="1"/>
      <protection locked="0"/>
    </xf>
    <xf numFmtId="0" fontId="23" fillId="0" borderId="37" xfId="0" applyFont="1" applyBorder="1">
      <alignment horizontal="left" vertical="center" wrapText="1"/>
    </xf>
    <xf numFmtId="49" fontId="23" fillId="0" borderId="37" xfId="0" applyFont="1" applyBorder="1" applyNumberFormat="1">
      <alignment horizontal="left" vertical="center" wrapText="1"/>
    </xf>
    <xf numFmtId="49" fontId="23" fillId="42" borderId="37" xfId="0" applyFont="1" applyFill="1" applyBorder="1" applyNumberFormat="1">
      <alignment horizontal="center" vertical="center" wrapText="1"/>
    </xf>
    <xf numFmtId="0" fontId="23" fillId="42" borderId="37" xfId="0" applyFont="1" applyFill="1" applyBorder="1">
      <alignment horizontal="left" vertical="center" wrapText="1"/>
    </xf>
    <xf numFmtId="49" fontId="23" fillId="0" borderId="37" xfId="0" applyFont="1" applyBorder="1" applyNumberFormat="1">
      <alignment horizontal="center" vertical="center" wrapText="1"/>
    </xf>
    <xf numFmtId="49" fontId="23" fillId="42" borderId="24" xfId="0" applyFont="1" applyFill="1" applyBorder="1" applyNumberFormat="1">
      <alignment horizontal="left" vertical="center" wrapText="1"/>
    </xf>
    <xf numFmtId="0" fontId="23" fillId="0" borderId="24" xfId="0" applyFont="1" applyBorder="1">
      <alignment horizontal="left" vertical="center" wrapText="1"/>
    </xf>
    <xf numFmtId="0" fontId="49" fillId="0" borderId="24" xfId="0" applyFont="1" applyBorder="1">
      <alignment horizontal="left" vertical="center"/>
    </xf>
    <xf numFmtId="0" fontId="49" fillId="40" borderId="15" xfId="0" applyFont="1" applyFill="1" applyBorder="1">
      <alignment horizontal="left" vertical="center"/>
    </xf>
    <xf numFmtId="0" fontId="49" fillId="40" borderId="16" xfId="0" applyFont="1" applyFill="1" applyBorder="1">
      <alignment horizontal="left" vertical="center"/>
    </xf>
    <xf numFmtId="0" fontId="49" fillId="40" borderId="14" xfId="0" applyFont="1" applyFill="1" applyBorder="1">
      <alignment horizontal="left" vertical="center"/>
    </xf>
    <xf numFmtId="49" fontId="23" fillId="0" borderId="37" xfId="0" applyFont="1" applyBorder="1" applyNumberFormat="1">
      <alignment horizontal="center" vertical="center" wrapText="1"/>
    </xf>
    <xf numFmtId="0" fontId="49" fillId="40" borderId="38" xfId="0" applyFont="1" applyFill="1" applyBorder="1">
      <alignment horizontal="left" vertical="center"/>
    </xf>
    <xf numFmtId="0" fontId="49" fillId="40" borderId="20" xfId="0" applyFont="1" applyFill="1" applyBorder="1">
      <alignment horizontal="left" vertical="center"/>
    </xf>
    <xf numFmtId="0" fontId="49" fillId="40" borderId="21" xfId="0" applyFont="1" applyFill="1" applyBorder="1">
      <alignment horizontal="left" vertical="center"/>
    </xf>
    <xf numFmtId="49" fontId="23" fillId="41" borderId="18" xfId="0" applyFont="1" applyFill="1" applyBorder="1" applyNumberFormat="1">
      <alignment horizontal="left" vertical="center" wrapText="1"/>
      <protection locked="0"/>
    </xf>
    <xf numFmtId="49" fontId="46" fillId="0" borderId="37" xfId="0" applyFont="1" applyBorder="1" applyNumberFormat="1">
      <alignment horizontal="center" vertical="center" wrapText="1"/>
    </xf>
    <xf numFmtId="0" fontId="49" fillId="40" borderId="38" xfId="0" applyFont="1" applyFill="1" applyBorder="1">
      <alignment vertical="center"/>
    </xf>
    <xf numFmtId="0" fontId="49" fillId="0" borderId="37" xfId="0" applyFont="1" applyBorder="1">
      <alignment horizontal="left" vertical="center"/>
    </xf>
    <xf numFmtId="49" fontId="23" fillId="33" borderId="18" xfId="0" applyFont="1" applyFill="1" applyBorder="1" applyNumberFormat="1">
      <alignment horizontal="left" vertical="center" wrapText="1"/>
      <protection locked="0"/>
    </xf>
    <xf numFmtId="49" fontId="73" fillId="40" borderId="15" xfId="0" applyFont="1" applyFill="1" applyBorder="1" applyNumberFormat="1">
      <alignment vertical="top"/>
    </xf>
    <xf numFmtId="49" fontId="73" fillId="40" borderId="16" xfId="0" applyFont="1" applyFill="1" applyBorder="1" applyNumberFormat="1">
      <alignment vertical="top"/>
    </xf>
    <xf numFmtId="0" fontId="23" fillId="0" borderId="0" xfId="0" applyFont="1">
      <alignment horizontal="left" vertical="center" wrapText="1" indent="2"/>
    </xf>
    <xf numFmtId="0" fontId="48" fillId="36" borderId="0" xfId="0" applyFont="1" applyFill="1">
      <alignment vertical="center" wrapText="1"/>
    </xf>
    <xf numFmtId="0" fontId="23" fillId="36" borderId="0" xfId="0" applyFont="1" applyFill="1">
      <alignment vertical="center" wrapText="1"/>
    </xf>
    <xf numFmtId="0" fontId="23" fillId="36" borderId="0" xfId="0" applyFont="1" applyFill="1">
      <alignment horizontal="right" vertical="center" wrapText="1"/>
    </xf>
    <xf numFmtId="0" fontId="23" fillId="0" borderId="21" xfId="0" applyFont="1" applyBorder="1">
      <alignment horizontal="left" vertical="center" wrapText="1" indent="1"/>
    </xf>
    <xf numFmtId="0" fontId="23" fillId="0" borderId="18" xfId="0" applyFont="1" applyBorder="1">
      <alignment horizontal="left" vertical="center" wrapText="1" indent="1"/>
    </xf>
    <xf numFmtId="0" fontId="23" fillId="0" borderId="38" xfId="0" applyFont="1" applyBorder="1">
      <alignment horizontal="left" vertical="center" wrapText="1" indent="1"/>
    </xf>
    <xf numFmtId="49" fontId="23" fillId="0" borderId="0" xfId="0" applyFont="1" applyNumberFormat="1">
      <alignment vertical="center" wrapText="1"/>
    </xf>
    <xf numFmtId="0" fontId="23" fillId="0" borderId="31" xfId="0" applyFont="1" applyBorder="1">
      <alignment horizontal="left" vertical="center" wrapText="1" indent="1"/>
    </xf>
    <xf numFmtId="0" fontId="23" fillId="0" borderId="24" xfId="0" applyFont="1" applyBorder="1">
      <alignment horizontal="left" vertical="center" wrapText="1" indent="1"/>
    </xf>
    <xf numFmtId="0" fontId="23" fillId="0" borderId="28" xfId="0" applyFont="1" applyBorder="1">
      <alignment horizontal="left" vertical="center" wrapText="1" indent="1"/>
    </xf>
    <xf numFmtId="0" fontId="23" fillId="36" borderId="0" xfId="0" applyFont="1" applyFill="1">
      <alignment horizontal="center" vertical="center" wrapText="1"/>
    </xf>
    <xf numFmtId="0" fontId="23" fillId="36" borderId="0" xfId="0" applyFont="1" applyFill="1">
      <alignment horizontal="right" vertical="center"/>
    </xf>
    <xf numFmtId="49" fontId="23" fillId="0" borderId="0" xfId="0" applyFont="1" applyNumberFormat="1">
      <alignment vertical="center" wrapText="1"/>
    </xf>
    <xf numFmtId="0" fontId="23" fillId="36" borderId="0" xfId="0" applyFont="1" applyFill="1">
      <alignment vertical="center" wrapText="1"/>
    </xf>
    <xf numFmtId="0" fontId="23" fillId="36" borderId="0" xfId="0" applyFont="1" applyFill="1">
      <alignment horizontal="center" vertical="center" wrapText="1"/>
    </xf>
    <xf numFmtId="0" fontId="23" fillId="36" borderId="13" xfId="0" applyFont="1" applyFill="1" applyBorder="1">
      <alignment horizontal="center" vertical="center"/>
    </xf>
    <xf numFmtId="0" fontId="23" fillId="36" borderId="13" xfId="0" applyFont="1" applyFill="1" applyBorder="1">
      <alignment horizontal="center" vertical="center" wrapText="1"/>
    </xf>
    <xf numFmtId="0" fontId="0" fillId="0" borderId="13" xfId="0" applyFont="1" applyBorder="1">
      <alignment horizontal="center" vertical="center" wrapText="1"/>
    </xf>
    <xf numFmtId="49" fontId="45" fillId="36" borderId="0" xfId="0" applyFont="1" applyFill="1" applyNumberFormat="1">
      <alignment horizontal="center" vertical="center" wrapText="1"/>
    </xf>
    <xf numFmtId="49" fontId="23" fillId="0" borderId="0" xfId="0" applyFont="1" applyNumberFormat="1">
      <alignment vertical="top"/>
    </xf>
    <xf numFmtId="49" fontId="0" fillId="36" borderId="13" xfId="0" applyFont="1" applyFill="1" applyBorder="1" applyNumberFormat="1">
      <alignment horizontal="center" vertical="center" wrapText="1"/>
    </xf>
    <xf numFmtId="0" fontId="0" fillId="0" borderId="13" xfId="0" applyFont="1" applyBorder="1">
      <alignment vertical="center" wrapText="1"/>
    </xf>
    <xf numFmtId="0" fontId="0" fillId="0" borderId="13" xfId="0" applyFont="1" applyBorder="1">
      <alignment horizontal="center" vertical="center" wrapText="1"/>
    </xf>
    <xf numFmtId="0" fontId="23" fillId="0" borderId="13" xfId="0" applyFont="1" applyBorder="1">
      <alignment vertical="center" wrapText="1"/>
    </xf>
    <xf numFmtId="0" fontId="0" fillId="0" borderId="13" xfId="0" applyFont="1" applyBorder="1">
      <alignment horizontal="left" vertical="center" wrapText="1" indent="1"/>
    </xf>
    <xf numFmtId="0" fontId="132" fillId="41" borderId="13" xfId="0" applyFont="1" applyFill="1" applyBorder="1">
      <alignment horizontal="left" vertical="center" wrapText="1" indent="2"/>
      <protection locked="0"/>
    </xf>
    <xf numFmtId="49" fontId="29" fillId="41" borderId="13" xfId="0" applyFont="1" applyFill="1" applyBorder="1" applyNumberFormat="1">
      <alignment horizontal="left" vertical="center" wrapText="1"/>
      <protection locked="0"/>
    </xf>
    <xf numFmtId="0" fontId="23" fillId="40" borderId="15" xfId="0" applyFont="1" applyFill="1" applyBorder="1">
      <alignment vertical="center" wrapText="1"/>
    </xf>
    <xf numFmtId="49" fontId="49" fillId="40" borderId="16" xfId="0" applyFont="1" applyFill="1" applyBorder="1" applyNumberFormat="1">
      <alignment horizontal="left" vertical="center" indent="2"/>
    </xf>
    <xf numFmtId="49" fontId="53" fillId="40" borderId="14" xfId="0" applyFont="1" applyFill="1" applyBorder="1" applyNumberFormat="1">
      <alignment horizontal="center" vertical="top"/>
    </xf>
    <xf numFmtId="0" fontId="23" fillId="0" borderId="18" xfId="0" applyFont="1" applyBorder="1">
      <alignment vertical="center" wrapText="1"/>
    </xf>
    <xf numFmtId="49" fontId="29" fillId="41" borderId="15" xfId="0" applyFont="1" applyFill="1" applyBorder="1" applyNumberFormat="1">
      <alignment horizontal="left" vertical="center" wrapText="1"/>
      <protection locked="0"/>
    </xf>
    <xf numFmtId="0" fontId="23" fillId="0" borderId="0" xfId="0" applyFont="1">
      <alignment vertical="center" wrapText="1"/>
    </xf>
    <xf numFmtId="0" fontId="55" fillId="0" borderId="0" xfId="0" applyFont="1">
      <alignment vertical="center" wrapText="1"/>
    </xf>
    <xf numFmtId="0" fontId="48" fillId="36" borderId="0" xfId="0" applyFont="1" applyFill="1">
      <alignment vertical="center" wrapText="1"/>
    </xf>
    <xf numFmtId="49" fontId="53" fillId="40" borderId="16" xfId="0" applyFont="1" applyFill="1" applyBorder="1" applyNumberFormat="1">
      <alignment horizontal="center" vertical="top"/>
    </xf>
    <xf numFmtId="0" fontId="56" fillId="0" borderId="0" xfId="0" applyFont="1">
      <alignment vertical="center"/>
    </xf>
    <xf numFmtId="0" fontId="0" fillId="0" borderId="13" xfId="0" applyFont="1" applyBorder="1">
      <alignment horizontal="left" vertical="center" wrapText="1" indent="1"/>
    </xf>
    <xf numFmtId="0" fontId="0" fillId="36" borderId="13" xfId="0" applyFont="1" applyFill="1" applyBorder="1">
      <alignment horizontal="center" vertical="center" wrapText="1"/>
    </xf>
    <xf numFmtId="0" fontId="0" fillId="0" borderId="13" xfId="0" applyFont="1" applyBorder="1">
      <alignment horizontal="left" vertical="center" wrapText="1" indent="1"/>
    </xf>
    <xf numFmtId="49" fontId="73" fillId="0" borderId="13" xfId="0" applyFont="1" applyBorder="1" applyNumberFormat="1">
      <alignment horizontal="center" vertical="center" wrapText="1"/>
    </xf>
    <xf numFmtId="0" fontId="134" fillId="0" borderId="13" xfId="0" applyFont="1" applyBorder="1">
      <alignment horizontal="left" vertical="center" wrapText="1" indent="2"/>
    </xf>
    <xf numFmtId="49" fontId="77" fillId="0" borderId="15" xfId="0" applyFont="1" applyBorder="1" applyNumberFormat="1">
      <alignment horizontal="left" vertical="center" wrapText="1"/>
    </xf>
    <xf numFmtId="0" fontId="23" fillId="0" borderId="18" xfId="0" applyFont="1" applyBorder="1">
      <alignment vertical="top" wrapText="1"/>
    </xf>
    <xf numFmtId="0" fontId="78" fillId="0" borderId="0" xfId="0" applyFont="1">
      <alignment vertical="center" wrapText="1"/>
    </xf>
    <xf numFmtId="49" fontId="49" fillId="40" borderId="16" xfId="0" applyFont="1" applyFill="1" applyBorder="1" applyNumberFormat="1">
      <alignment horizontal="left" vertical="center" indent="1"/>
    </xf>
    <xf numFmtId="0" fontId="23" fillId="0" borderId="24" xfId="0" applyFont="1" applyBorder="1">
      <alignment vertical="top" wrapText="1"/>
    </xf>
    <xf numFmtId="49" fontId="0" fillId="36" borderId="13" xfId="0" applyFont="1" applyFill="1" applyBorder="1" applyNumberFormat="1">
      <alignment horizontal="center" vertical="center" wrapText="1"/>
    </xf>
    <xf numFmtId="0" fontId="0" fillId="0" borderId="13" xfId="0" applyFont="1" applyBorder="1">
      <alignment horizontal="center" vertical="center" wrapText="1"/>
    </xf>
    <xf numFmtId="0" fontId="23" fillId="0" borderId="13" xfId="0" applyFont="1" applyBorder="1">
      <alignment vertical="center" wrapText="1"/>
    </xf>
    <xf numFmtId="0" fontId="0" fillId="0" borderId="13" xfId="0" applyFont="1" applyBorder="1">
      <alignment horizontal="left" vertical="center" wrapText="1" indent="1"/>
    </xf>
    <xf numFmtId="0" fontId="23" fillId="0" borderId="0" xfId="0" applyFont="1">
      <alignment vertical="top"/>
    </xf>
    <xf numFmtId="0" fontId="23" fillId="0" borderId="0" xfId="0" applyFont="1">
      <alignment vertical="top" wrapText="1"/>
    </xf>
    <xf numFmtId="0" fontId="23" fillId="0" borderId="0" xfId="0" applyFont="1">
      <alignment vertical="center"/>
    </xf>
    <xf numFmtId="49" fontId="23" fillId="0" borderId="0" xfId="0" applyFont="1" applyNumberFormat="1">
      <alignment vertical="center" wrapText="1"/>
    </xf>
    <xf numFmtId="0" fontId="48" fillId="0" borderId="0" xfId="0" applyFont="1">
      <alignment vertical="center" wrapText="1"/>
    </xf>
    <xf numFmtId="0" fontId="23" fillId="0" borderId="0" xfId="0" applyFont="1">
      <alignment vertical="center" wrapText="1"/>
    </xf>
    <xf numFmtId="0" fontId="55" fillId="0" borderId="0" xfId="0" applyFont="1">
      <alignment horizontal="left" vertical="center" indent="1"/>
    </xf>
    <xf numFmtId="0" fontId="55" fillId="0" borderId="13" xfId="0" applyFont="1" applyBorder="1">
      <alignment horizontal="center" vertical="center"/>
    </xf>
    <xf numFmtId="0" fontId="55" fillId="0" borderId="0" xfId="0" applyFont="1">
      <alignment horizontal="center" vertical="center"/>
    </xf>
    <xf numFmtId="0" fontId="55" fillId="0" borderId="0" xfId="0" applyFont="1">
      <alignment horizontal="left" vertical="center" wrapText="1"/>
    </xf>
    <xf numFmtId="49" fontId="23" fillId="0" borderId="0" xfId="0" applyFont="1" applyNumberFormat="1">
      <alignment vertical="center" wrapText="1"/>
    </xf>
    <xf numFmtId="49" fontId="23" fillId="0" borderId="0" xfId="0" applyFont="1" applyNumberFormat="1">
      <alignment vertical="top"/>
    </xf>
    <xf numFmtId="49" fontId="23" fillId="0" borderId="25" xfId="0" applyFont="1" applyBorder="1" applyNumberFormat="1">
      <alignment vertical="top"/>
    </xf>
    <xf numFmtId="0" fontId="23" fillId="36" borderId="13" xfId="0" applyFont="1" applyFill="1" applyBorder="1">
      <alignment horizontal="left" vertical="center" wrapText="1"/>
    </xf>
    <xf numFmtId="0" fontId="23" fillId="0" borderId="13" xfId="0" applyFont="1" applyBorder="1">
      <alignment vertical="center" wrapText="1"/>
    </xf>
    <xf numFmtId="0" fontId="23" fillId="0" borderId="13" xfId="0" applyFont="1" applyBorder="1">
      <alignment horizontal="left" vertical="center" wrapText="1" indent="6"/>
    </xf>
    <xf numFmtId="4" fontId="129" fillId="38" borderId="15" xfId="0" applyFont="1" applyFill="1" applyBorder="1" applyNumberFormat="1">
      <alignment horizontal="left" vertical="center" wrapText="1"/>
    </xf>
    <xf numFmtId="4" fontId="129" fillId="38" borderId="16" xfId="0" applyFont="1" applyFill="1" applyBorder="1" applyNumberFormat="1">
      <alignment horizontal="left" vertical="center" wrapText="1"/>
    </xf>
    <xf numFmtId="4" fontId="129" fillId="38" borderId="14" xfId="0" applyFont="1" applyFill="1" applyBorder="1" applyNumberFormat="1">
      <alignment horizontal="left" vertical="center" wrapText="1"/>
    </xf>
    <xf numFmtId="0" fontId="54" fillId="0" borderId="13" xfId="0" applyFont="1" applyBorder="1">
      <alignment vertical="top" wrapText="1"/>
    </xf>
    <xf numFmtId="0" fontId="55" fillId="0" borderId="15" xfId="0" applyFont="1" applyBorder="1">
      <alignment horizontal="center" vertical="center"/>
    </xf>
    <xf numFmtId="0" fontId="23" fillId="0" borderId="0" xfId="0" applyFont="1">
      <alignment horizontal="center" vertical="center" wrapText="1"/>
    </xf>
    <xf numFmtId="0" fontId="51" fillId="36" borderId="0" xfId="0" applyFont="1" applyFill="1">
      <alignment horizontal="center" vertical="center" wrapText="1"/>
    </xf>
    <xf numFmtId="0" fontId="23" fillId="0" borderId="25" xfId="0" applyFont="1" applyBorder="1">
      <alignment vertical="center" wrapText="1"/>
    </xf>
    <xf numFmtId="0" fontId="23" fillId="36" borderId="13" xfId="0" applyFont="1" applyFill="1" applyBorder="1">
      <alignment horizontal="left" vertical="center" wrapText="1" indent="1"/>
    </xf>
    <xf numFmtId="0" fontId="46" fillId="0" borderId="0" xfId="0" applyFont="1">
      <alignment vertical="center" wrapText="1"/>
    </xf>
    <xf numFmtId="0" fontId="23" fillId="36" borderId="13" xfId="0" applyFont="1" applyFill="1" applyBorder="1">
      <alignment horizontal="left" vertical="center" wrapText="1" indent="2"/>
    </xf>
    <xf numFmtId="0" fontId="23" fillId="36" borderId="13" xfId="0" applyFont="1" applyFill="1" applyBorder="1">
      <alignment horizontal="left" vertical="center" wrapText="1" indent="3"/>
    </xf>
    <xf numFmtId="0" fontId="55" fillId="0" borderId="13" xfId="0" applyFont="1" applyBorder="1">
      <alignment horizontal="center" vertical="center" wrapText="1"/>
    </xf>
    <xf numFmtId="0" fontId="55" fillId="0" borderId="0" xfId="0" applyFont="1">
      <alignment vertical="center" wrapText="1"/>
    </xf>
    <xf numFmtId="0" fontId="56" fillId="0" borderId="0" xfId="0" applyFont="1">
      <alignment horizontal="center" vertical="center" wrapText="1"/>
    </xf>
    <xf numFmtId="0" fontId="56" fillId="0" borderId="0" xfId="0" applyFont="1">
      <alignment horizontal="center" vertical="center" wrapText="1"/>
    </xf>
    <xf numFmtId="0" fontId="56" fillId="0" borderId="25" xfId="0" applyFont="1" applyBorder="1">
      <alignment horizontal="center" vertical="center" wrapText="1"/>
    </xf>
    <xf numFmtId="0" fontId="23" fillId="36" borderId="13" xfId="0" applyFont="1" applyFill="1" applyBorder="1">
      <alignment horizontal="left" vertical="center" wrapText="1" indent="4"/>
    </xf>
    <xf numFmtId="0" fontId="23" fillId="42" borderId="15" xfId="0" applyFont="1" applyFill="1" applyBorder="1">
      <alignment horizontal="left" vertical="center" wrapText="1"/>
    </xf>
    <xf numFmtId="0" fontId="23" fillId="42" borderId="16" xfId="0" applyFont="1" applyFill="1" applyBorder="1">
      <alignment horizontal="left" vertical="center" wrapText="1"/>
    </xf>
    <xf numFmtId="0" fontId="23" fillId="42" borderId="14" xfId="0" applyFont="1" applyFill="1" applyBorder="1">
      <alignment horizontal="left" vertical="center" wrapText="1"/>
    </xf>
    <xf numFmtId="0" fontId="55" fillId="0" borderId="15" xfId="0" applyFont="1" applyBorder="1">
      <alignment horizontal="center" vertical="center" wrapText="1"/>
    </xf>
    <xf numFmtId="0" fontId="55" fillId="0" borderId="13" xfId="0" applyFont="1" applyBorder="1">
      <alignment horizontal="center" vertical="center" wrapText="1"/>
    </xf>
    <xf numFmtId="0" fontId="55" fillId="0" borderId="0" xfId="0" applyFont="1">
      <alignment vertical="center" wrapText="1"/>
    </xf>
    <xf numFmtId="0" fontId="56" fillId="0" borderId="25" xfId="0" applyFont="1" applyBorder="1">
      <alignment vertical="center" wrapText="1"/>
    </xf>
    <xf numFmtId="0" fontId="23" fillId="36" borderId="13" xfId="0" applyFont="1" applyFill="1" applyBorder="1">
      <alignment horizontal="left" vertical="center" wrapText="1" indent="5"/>
    </xf>
    <xf numFmtId="0" fontId="55" fillId="0" borderId="15" xfId="0" applyFont="1" applyBorder="1">
      <alignment horizontal="center" vertical="center" wrapText="1"/>
    </xf>
    <xf numFmtId="0" fontId="23" fillId="42" borderId="13" xfId="0" applyFont="1" applyFill="1" applyBorder="1">
      <alignment horizontal="left" vertical="center" wrapText="1" indent="6"/>
    </xf>
    <xf numFmtId="4" fontId="129" fillId="33" borderId="13" xfId="0" applyFont="1" applyFill="1" applyBorder="1" applyNumberFormat="1">
      <alignment horizontal="right" vertical="center" wrapText="1"/>
      <protection locked="0"/>
    </xf>
    <xf numFmtId="4" fontId="129" fillId="0" borderId="13" xfId="0" applyFont="1" applyBorder="1" applyNumberFormat="1">
      <alignment horizontal="right" vertical="center" wrapText="1"/>
    </xf>
    <xf numFmtId="247" fontId="129" fillId="33" borderId="13" xfId="0" applyFont="1" applyFill="1" applyBorder="1" applyNumberFormat="1">
      <alignment horizontal="right" vertical="center" wrapText="1"/>
      <protection locked="0"/>
    </xf>
    <xf numFmtId="250" fontId="0" fillId="41" borderId="13" xfId="0" applyFont="1" applyFill="1" applyBorder="1" applyNumberFormat="1">
      <alignment horizontal="center" vertical="center" wrapText="1"/>
      <protection locked="0"/>
    </xf>
    <xf numFmtId="0" fontId="54" fillId="0" borderId="18" xfId="0" applyFont="1" applyBorder="1">
      <alignment horizontal="left" vertical="top" wrapText="1"/>
    </xf>
    <xf numFmtId="49" fontId="23" fillId="0" borderId="13" xfId="0" applyFont="1" applyBorder="1" applyNumberFormat="1">
      <alignment horizontal="left" vertical="center" wrapText="1"/>
    </xf>
    <xf numFmtId="4" fontId="131" fillId="0" borderId="13" xfId="0" applyFont="1" applyBorder="1" applyNumberFormat="1">
      <alignment horizontal="center" vertical="center" wrapText="1"/>
    </xf>
    <xf numFmtId="49" fontId="0" fillId="41" borderId="13" xfId="0" applyFont="1" applyFill="1" applyBorder="1" applyNumberFormat="1">
      <alignment horizontal="center" vertical="center" wrapText="1"/>
      <protection locked="0"/>
    </xf>
    <xf numFmtId="0" fontId="54" fillId="0" borderId="37" xfId="0" applyFont="1" applyBorder="1">
      <alignment horizontal="left" vertical="top" wrapText="1"/>
    </xf>
    <xf numFmtId="49" fontId="76" fillId="40" borderId="15" xfId="0" applyFont="1" applyFill="1" applyBorder="1" applyNumberFormat="1">
      <alignment horizontal="left" vertical="center"/>
    </xf>
    <xf numFmtId="49" fontId="49" fillId="40" borderId="16" xfId="0" applyFont="1" applyFill="1" applyBorder="1" applyNumberFormat="1">
      <alignment horizontal="left" vertical="center" indent="6"/>
    </xf>
    <xf numFmtId="49" fontId="23" fillId="40" borderId="14" xfId="0" applyFont="1" applyFill="1" applyBorder="1" applyNumberFormat="1">
      <alignment horizontal="center" vertical="center" wrapText="1"/>
    </xf>
    <xf numFmtId="0" fontId="54" fillId="0" borderId="24" xfId="0" applyFont="1" applyBorder="1">
      <alignment horizontal="left" vertical="top" wrapText="1"/>
    </xf>
    <xf numFmtId="49" fontId="49" fillId="40" borderId="16" xfId="0" applyFont="1" applyFill="1" applyBorder="1" applyNumberFormat="1">
      <alignment horizontal="left" vertical="center" indent="5"/>
    </xf>
    <xf numFmtId="49" fontId="0" fillId="40" borderId="16" xfId="0" applyFont="1" applyFill="1" applyBorder="1" applyNumberFormat="1">
      <alignment horizontal="center" vertical="center" wrapText="1"/>
    </xf>
    <xf numFmtId="49" fontId="0" fillId="40" borderId="14" xfId="0" applyFont="1" applyFill="1" applyBorder="1" applyNumberFormat="1">
      <alignment horizontal="center" vertical="center" wrapText="1"/>
    </xf>
    <xf numFmtId="49" fontId="48" fillId="0" borderId="0" xfId="0" applyFont="1" applyNumberFormat="1">
      <alignment vertical="top"/>
    </xf>
    <xf numFmtId="49" fontId="49" fillId="40" borderId="16" xfId="0" applyFont="1" applyFill="1" applyBorder="1" applyNumberFormat="1">
      <alignment horizontal="left" vertical="center" indent="4"/>
    </xf>
    <xf numFmtId="0" fontId="56" fillId="0" borderId="0" xfId="0" applyFont="1">
      <alignment vertical="center" wrapText="1"/>
    </xf>
    <xf numFmtId="0" fontId="56" fillId="0" borderId="0" xfId="0" applyFont="1">
      <alignment horizontal="left" vertical="center" indent="1"/>
    </xf>
    <xf numFmtId="0" fontId="56" fillId="0" borderId="0" xfId="0" applyFont="1">
      <alignment horizontal="center" vertical="center"/>
    </xf>
    <xf numFmtId="0" fontId="56" fillId="0" borderId="0" xfId="0" applyFont="1">
      <alignment horizontal="left" vertical="center" wrapText="1"/>
    </xf>
    <xf numFmtId="49" fontId="56" fillId="0" borderId="0" xfId="0" applyFont="1" applyNumberFormat="1">
      <alignment vertical="top"/>
    </xf>
    <xf numFmtId="49" fontId="114" fillId="0" borderId="0" xfId="0" applyFont="1" applyNumberFormat="1">
      <alignment vertical="top"/>
    </xf>
    <xf numFmtId="49" fontId="103" fillId="0" borderId="20" xfId="0" applyFont="1" applyBorder="1" applyNumberFormat="1">
      <alignment horizontal="left" vertical="center"/>
    </xf>
    <xf numFmtId="49" fontId="56" fillId="0" borderId="20" xfId="0" applyFont="1" applyBorder="1" applyNumberFormat="1">
      <alignment horizontal="left" vertical="center" indent="3"/>
    </xf>
    <xf numFmtId="49" fontId="56" fillId="0" borderId="20" xfId="0" applyFont="1" applyBorder="1" applyNumberFormat="1">
      <alignment horizontal="center" vertical="center" wrapText="1"/>
    </xf>
    <xf numFmtId="49" fontId="56" fillId="0" borderId="0" xfId="0" applyFont="1" applyNumberFormat="1">
      <alignment horizontal="left" vertical="center"/>
    </xf>
    <xf numFmtId="49" fontId="103" fillId="0" borderId="0" xfId="0" applyFont="1" applyNumberFormat="1">
      <alignment horizontal="left" vertical="center"/>
    </xf>
    <xf numFmtId="49" fontId="56" fillId="0" borderId="0" xfId="0" applyFont="1" applyNumberFormat="1">
      <alignment horizontal="left" vertical="center" indent="2"/>
    </xf>
    <xf numFmtId="49" fontId="56" fillId="0" borderId="0" xfId="0" applyFont="1" applyNumberFormat="1">
      <alignment horizontal="center" vertical="center" wrapText="1"/>
    </xf>
    <xf numFmtId="49" fontId="56" fillId="0" borderId="0" xfId="0" applyFont="1" applyNumberFormat="1">
      <alignment horizontal="left" vertical="center" indent="1"/>
    </xf>
    <xf numFmtId="49" fontId="23" fillId="0" borderId="0" xfId="0" applyFont="1" applyNumberFormat="1">
      <alignment vertical="center" wrapText="1"/>
    </xf>
    <xf numFmtId="4" fontId="130" fillId="0" borderId="13" xfId="0" applyFont="1" applyBorder="1" applyNumberFormat="1">
      <alignment horizontal="right" vertical="center" wrapText="1"/>
    </xf>
    <xf numFmtId="247" fontId="130" fillId="0" borderId="13" xfId="0" applyFont="1" applyBorder="1" applyNumberFormat="1">
      <alignment horizontal="right" vertical="center" wrapText="1"/>
    </xf>
    <xf numFmtId="250" fontId="55" fillId="0" borderId="13" xfId="0" applyFont="1" applyBorder="1" applyNumberFormat="1">
      <alignment horizontal="center" vertical="center" wrapText="1"/>
    </xf>
    <xf numFmtId="49" fontId="55" fillId="0" borderId="13" xfId="0" applyFont="1" applyBorder="1" applyNumberFormat="1">
      <alignment horizontal="center" vertical="center" wrapText="1"/>
    </xf>
    <xf numFmtId="0" fontId="55" fillId="0" borderId="0" xfId="0" applyFont="1">
      <alignment horizontal="center" vertical="center" wrapText="1"/>
    </xf>
    <xf numFmtId="49" fontId="55" fillId="0" borderId="0" xfId="0" applyFont="1" applyNumberFormat="1">
      <alignment vertical="center" wrapText="1"/>
    </xf>
    <xf numFmtId="49" fontId="55" fillId="0" borderId="13" xfId="0" applyFont="1" applyBorder="1" applyNumberFormat="1">
      <alignment vertical="center" wrapText="1"/>
    </xf>
    <xf numFmtId="0" fontId="75" fillId="0" borderId="0" xfId="0" applyFont="1">
      <alignment vertical="center" wrapText="1"/>
    </xf>
    <xf numFmtId="0" fontId="55" fillId="0" borderId="0" xfId="0" applyFont="1">
      <alignment horizontal="left" vertical="center" wrapText="1"/>
    </xf>
    <xf numFmtId="0" fontId="23" fillId="36" borderId="0" xfId="0" applyFont="1" applyFill="1">
      <alignment horizontal="left" vertical="center" wrapText="1"/>
    </xf>
    <xf numFmtId="0" fontId="22" fillId="0" borderId="20" xfId="0" applyFont="1" applyBorder="1">
      <alignment horizontal="left" vertical="center" wrapText="1" indent="1"/>
    </xf>
    <xf numFmtId="0" fontId="22" fillId="0" borderId="0" xfId="0" applyFont="1">
      <alignment vertical="center" wrapText="1"/>
    </xf>
    <xf numFmtId="0" fontId="22" fillId="0" borderId="29" xfId="0" applyFont="1" applyBorder="1">
      <alignment horizontal="left" vertical="center" wrapText="1" indent="1"/>
    </xf>
    <xf numFmtId="0" fontId="35" fillId="36" borderId="0" xfId="0" applyFont="1" applyFill="1">
      <alignment horizontal="center" vertical="center" wrapText="1"/>
    </xf>
    <xf numFmtId="0" fontId="0" fillId="0" borderId="0" xfId="0" applyFont="1">
      <alignment vertical="center"/>
    </xf>
    <xf numFmtId="0" fontId="55" fillId="0" borderId="0" xfId="0" applyFont="1">
      <alignment vertical="center"/>
    </xf>
    <xf numFmtId="0" fontId="55" fillId="0" borderId="0" xfId="0" applyFont="1">
      <alignment horizontal="center" vertical="center"/>
    </xf>
    <xf numFmtId="0" fontId="0" fillId="36" borderId="13" xfId="0" applyFont="1" applyFill="1" applyBorder="1">
      <alignment horizontal="right" vertical="center" wrapText="1" indent="1"/>
    </xf>
    <xf numFmtId="0" fontId="0" fillId="0" borderId="16" xfId="0" applyFont="1" applyBorder="1">
      <alignment vertical="center"/>
    </xf>
    <xf numFmtId="0" fontId="23" fillId="38" borderId="13" xfId="0" applyFont="1" applyFill="1" applyBorder="1">
      <alignment horizontal="left" vertical="center" wrapText="1" indent="1"/>
    </xf>
    <xf numFmtId="0" fontId="23" fillId="0" borderId="0" xfId="0" applyFont="1">
      <alignment vertical="center" wrapText="1"/>
    </xf>
    <xf numFmtId="0" fontId="74" fillId="0" borderId="0" xfId="0" applyFont="1">
      <alignment vertical="center"/>
    </xf>
    <xf numFmtId="0" fontId="56" fillId="0" borderId="0" xfId="0" applyFont="1">
      <alignment vertical="center"/>
    </xf>
    <xf numFmtId="49" fontId="23" fillId="0" borderId="0" xfId="0" applyFont="1" applyNumberFormat="1">
      <alignment vertical="center" wrapText="1"/>
    </xf>
    <xf numFmtId="0" fontId="23" fillId="0" borderId="0" xfId="0" applyFont="1">
      <alignment horizontal="right" vertical="center" wrapText="1"/>
    </xf>
    <xf numFmtId="0" fontId="56" fillId="0" borderId="0" xfId="0" applyFont="1">
      <alignment vertical="center" wrapText="1"/>
    </xf>
    <xf numFmtId="0" fontId="23" fillId="36" borderId="29" xfId="0" applyFont="1" applyFill="1" applyBorder="1">
      <alignment vertical="center" wrapText="1"/>
    </xf>
    <xf numFmtId="0" fontId="46" fillId="0" borderId="29" xfId="0" applyFont="1" applyBorder="1">
      <alignment horizontal="center" vertical="center" wrapText="1"/>
    </xf>
    <xf numFmtId="0" fontId="23" fillId="36" borderId="13" xfId="0" applyFont="1" applyFill="1" applyBorder="1">
      <alignment horizontal="left" vertical="center" wrapText="1"/>
    </xf>
    <xf numFmtId="0" fontId="23" fillId="0" borderId="18" xfId="0" applyFont="1" applyBorder="1">
      <alignment vertical="center" wrapText="1"/>
    </xf>
    <xf numFmtId="0" fontId="0" fillId="36" borderId="15" xfId="0" applyFont="1" applyFill="1" applyBorder="1">
      <alignment horizontal="center" vertical="center" wrapText="1"/>
    </xf>
    <xf numFmtId="0" fontId="0" fillId="36" borderId="16" xfId="0" applyFont="1" applyFill="1" applyBorder="1">
      <alignment horizontal="center" vertical="center" wrapText="1"/>
    </xf>
    <xf numFmtId="0" fontId="0" fillId="36" borderId="14" xfId="0" applyFont="1" applyFill="1" applyBorder="1">
      <alignment horizontal="center" vertical="center" wrapText="1"/>
    </xf>
    <xf numFmtId="0" fontId="23" fillId="36" borderId="18" xfId="0" applyFont="1" applyFill="1" applyBorder="1">
      <alignment horizontal="center" vertical="center" wrapText="1"/>
    </xf>
    <xf numFmtId="49" fontId="49" fillId="40" borderId="18" xfId="0" applyFont="1" applyFill="1" applyBorder="1" applyNumberFormat="1">
      <alignment horizontal="center" vertical="center" textRotation="90" wrapText="1"/>
    </xf>
    <xf numFmtId="0" fontId="23" fillId="0" borderId="37" xfId="0" applyFont="1" applyBorder="1">
      <alignment vertical="center" wrapText="1"/>
    </xf>
    <xf numFmtId="0" fontId="23" fillId="0" borderId="18" xfId="0" applyFont="1" applyBorder="1">
      <alignment horizontal="center" vertical="center" wrapText="1"/>
    </xf>
    <xf numFmtId="0" fontId="55" fillId="0" borderId="18" xfId="0" applyFont="1" applyBorder="1">
      <alignment horizontal="center" vertical="center" wrapText="1"/>
    </xf>
    <xf numFmtId="0" fontId="23" fillId="0" borderId="15" xfId="0" applyFont="1" applyBorder="1">
      <alignment horizontal="center" vertical="center" wrapText="1"/>
    </xf>
    <xf numFmtId="0" fontId="23" fillId="0" borderId="14" xfId="0" applyFont="1" applyBorder="1">
      <alignment horizontal="center" vertical="center" wrapText="1"/>
    </xf>
    <xf numFmtId="0" fontId="23" fillId="0" borderId="15" xfId="0" applyFont="1" applyBorder="1">
      <alignment horizontal="center" vertical="center" wrapText="1"/>
    </xf>
    <xf numFmtId="0" fontId="23" fillId="0" borderId="16" xfId="0" applyFont="1" applyBorder="1">
      <alignment horizontal="center" vertical="center" wrapText="1"/>
    </xf>
    <xf numFmtId="0" fontId="23" fillId="0" borderId="14" xfId="0" applyFont="1" applyBorder="1">
      <alignment horizontal="center" vertical="center" wrapText="1"/>
    </xf>
    <xf numFmtId="0" fontId="23" fillId="36" borderId="37" xfId="0" applyFont="1" applyFill="1" applyBorder="1">
      <alignment horizontal="center" vertical="center" wrapText="1"/>
    </xf>
    <xf numFmtId="49" fontId="49" fillId="40" borderId="37" xfId="0" applyFont="1" applyFill="1" applyBorder="1" applyNumberFormat="1">
      <alignment horizontal="center" vertical="center" textRotation="90" wrapText="1"/>
    </xf>
    <xf numFmtId="0" fontId="23" fillId="0" borderId="24" xfId="0" applyFont="1" applyBorder="1">
      <alignment vertical="center" wrapText="1"/>
    </xf>
    <xf numFmtId="0" fontId="23" fillId="0" borderId="24" xfId="0" applyFont="1" applyBorder="1">
      <alignment horizontal="center" vertical="center" wrapText="1"/>
    </xf>
    <xf numFmtId="0" fontId="55" fillId="0" borderId="24" xfId="0" applyFont="1" applyBorder="1">
      <alignment horizontal="center" vertical="center" wrapText="1"/>
    </xf>
    <xf numFmtId="0" fontId="0" fillId="0" borderId="13" xfId="0" applyFont="1" applyBorder="1">
      <alignment horizontal="center" vertical="center" wrapText="1"/>
    </xf>
    <xf numFmtId="0" fontId="0" fillId="0" borderId="13" xfId="0" applyFont="1" applyBorder="1">
      <alignment horizontal="center" vertical="center" wrapText="1"/>
    </xf>
    <xf numFmtId="0" fontId="0" fillId="0" borderId="15" xfId="0" applyFont="1" applyBorder="1">
      <alignment horizontal="center" vertical="center" wrapText="1"/>
    </xf>
    <xf numFmtId="0" fontId="0" fillId="0" borderId="14" xfId="0" applyFont="1" applyBorder="1">
      <alignment horizontal="center" vertical="center" wrapText="1"/>
    </xf>
    <xf numFmtId="0" fontId="23" fillId="36" borderId="24" xfId="0" applyFont="1" applyFill="1" applyBorder="1">
      <alignment horizontal="center" vertical="center" wrapText="1"/>
    </xf>
    <xf numFmtId="0" fontId="0" fillId="0" borderId="13" xfId="0" applyFont="1" applyBorder="1">
      <alignment horizontal="center" vertical="center" wrapText="1"/>
    </xf>
    <xf numFmtId="49" fontId="49" fillId="40" borderId="24" xfId="0" applyFont="1" applyFill="1" applyBorder="1" applyNumberFormat="1">
      <alignment horizontal="center" vertical="center" textRotation="90" wrapText="1"/>
    </xf>
    <xf numFmtId="49" fontId="79" fillId="0" borderId="0" xfId="0" applyFont="1" applyNumberFormat="1">
      <alignment vertical="center" wrapText="1"/>
    </xf>
    <xf numFmtId="0" fontId="113" fillId="36" borderId="0" xfId="0" applyFont="1" applyFill="1">
      <alignment vertical="center" wrapText="1"/>
    </xf>
    <xf numFmtId="0" fontId="114" fillId="36" borderId="0" xfId="0" applyFont="1" applyFill="1">
      <alignment vertical="center" wrapText="1"/>
    </xf>
    <xf numFmtId="49" fontId="86" fillId="36" borderId="20" xfId="0" applyFont="1" applyFill="1" applyBorder="1" applyNumberFormat="1">
      <alignment horizontal="left" vertical="center" wrapText="1"/>
    </xf>
    <xf numFmtId="49" fontId="86" fillId="36" borderId="20" xfId="0" applyFont="1" applyFill="1" applyBorder="1" applyNumberFormat="1">
      <alignment horizontal="center" vertical="center" wrapText="1"/>
    </xf>
    <xf numFmtId="0" fontId="56" fillId="36" borderId="20" xfId="0" applyFont="1" applyFill="1" applyBorder="1">
      <alignment horizontal="center" vertical="center" wrapText="1"/>
    </xf>
    <xf numFmtId="0" fontId="86" fillId="36" borderId="20" xfId="0" applyFont="1" applyFill="1" applyBorder="1">
      <alignment horizontal="center" vertical="center" wrapText="1"/>
    </xf>
    <xf numFmtId="0" fontId="86" fillId="36" borderId="20" xfId="0" applyFont="1" applyFill="1" applyBorder="1">
      <alignment horizontal="center" vertical="center" wrapText="1"/>
    </xf>
    <xf numFmtId="0" fontId="86" fillId="36" borderId="20" xfId="0" applyFont="1" applyFill="1" applyBorder="1">
      <alignment horizontal="center" vertical="center" wrapText="1"/>
    </xf>
    <xf numFmtId="0" fontId="23" fillId="36" borderId="13" xfId="0" applyFont="1" applyFill="1" applyBorder="1">
      <alignment horizontal="left" vertical="center" wrapText="1"/>
    </xf>
    <xf numFmtId="0" fontId="23" fillId="0" borderId="0" xfId="0" applyFont="1">
      <alignment horizontal="center" vertical="center" wrapText="1"/>
    </xf>
    <xf numFmtId="0" fontId="56" fillId="0" borderId="0" xfId="0" applyFont="1">
      <alignment horizontal="center" vertical="center" wrapText="1"/>
    </xf>
    <xf numFmtId="250" fontId="0" fillId="41" borderId="18" xfId="0" applyFont="1" applyFill="1" applyBorder="1" applyNumberFormat="1">
      <alignment horizontal="center" vertical="center" wrapText="1"/>
      <protection locked="0"/>
    </xf>
    <xf numFmtId="4" fontId="129" fillId="0" borderId="18" xfId="0" applyFont="1" applyBorder="1" applyNumberFormat="1">
      <alignment horizontal="right" vertical="center" wrapText="1"/>
    </xf>
    <xf numFmtId="49" fontId="23" fillId="0" borderId="13" xfId="0" applyFont="1" applyBorder="1" applyNumberFormat="1">
      <alignment horizontal="left" vertical="center" wrapText="1"/>
    </xf>
    <xf numFmtId="49" fontId="0" fillId="41" borderId="24" xfId="0" applyFont="1" applyFill="1" applyBorder="1" applyNumberFormat="1">
      <alignment horizontal="center" vertical="center" wrapText="1"/>
      <protection locked="0"/>
    </xf>
    <xf numFmtId="4" fontId="129" fillId="0" borderId="24" xfId="0" applyFont="1" applyBorder="1" applyNumberFormat="1">
      <alignment horizontal="right" vertical="center" wrapText="1"/>
    </xf>
    <xf numFmtId="0" fontId="56" fillId="0" borderId="0" xfId="0" applyFont="1">
      <alignment horizontal="center" vertical="center"/>
    </xf>
    <xf numFmtId="49" fontId="56" fillId="0" borderId="0" xfId="0" applyFont="1" applyNumberFormat="1">
      <alignment vertical="top"/>
    </xf>
    <xf numFmtId="49" fontId="114" fillId="0" borderId="0" xfId="0" applyFont="1" applyNumberFormat="1">
      <alignment vertical="top"/>
    </xf>
    <xf numFmtId="0" fontId="23" fillId="0" borderId="0" xfId="0" applyFont="1">
      <alignment horizontal="right" vertical="top" wrapText="1"/>
    </xf>
    <xf numFmtId="0" fontId="23" fillId="0" borderId="0" xfId="0" applyFont="1">
      <alignment horizontal="left" vertical="top" wrapText="1"/>
    </xf>
    <xf numFmtId="49" fontId="23" fillId="0" borderId="0" xfId="0" applyFont="1" applyNumberFormat="1">
      <alignment vertical="center" wrapText="1"/>
    </xf>
    <xf numFmtId="49" fontId="23" fillId="0" borderId="0" xfId="0" applyFont="1" applyNumberFormat="1">
      <alignment vertical="center" wrapText="1"/>
    </xf>
    <xf numFmtId="0" fontId="48" fillId="0" borderId="0" xfId="0" applyFont="1">
      <alignment vertical="center" wrapText="1"/>
    </xf>
    <xf numFmtId="0" fontId="23" fillId="0" borderId="0" xfId="0" applyFont="1">
      <alignment horizontal="left" vertical="center" wrapText="1"/>
    </xf>
    <xf numFmtId="0" fontId="23" fillId="36" borderId="13" xfId="0" applyFont="1" applyFill="1" applyBorder="1">
      <alignment horizontal="left" vertical="center" wrapText="1"/>
    </xf>
    <xf numFmtId="0" fontId="23" fillId="0" borderId="0" xfId="0" applyFont="1">
      <alignment horizontal="center" vertical="center" wrapText="1"/>
    </xf>
    <xf numFmtId="0" fontId="56" fillId="0" borderId="0" xfId="0" applyFont="1">
      <alignment horizontal="center" vertical="center" wrapText="1"/>
    </xf>
    <xf numFmtId="49" fontId="23" fillId="0" borderId="13" xfId="0" applyFont="1" applyBorder="1" applyNumberFormat="1">
      <alignment horizontal="left" vertical="center" wrapText="1"/>
    </xf>
    <xf numFmtId="0" fontId="23" fillId="0" borderId="0" xfId="0" applyFont="1">
      <alignment horizontal="right" vertical="center" wrapText="1"/>
    </xf>
    <xf numFmtId="0" fontId="0" fillId="0" borderId="13" xfId="0" applyFont="1" applyBorder="1">
      <alignment horizontal="center" vertical="center" wrapText="1"/>
    </xf>
    <xf numFmtId="0" fontId="86" fillId="36" borderId="20" xfId="0" applyFont="1" applyFill="1" applyBorder="1">
      <alignment horizontal="center" vertical="center" wrapText="1"/>
    </xf>
    <xf numFmtId="247" fontId="129" fillId="0" borderId="13" xfId="0" applyFont="1" applyBorder="1" applyNumberFormat="1">
      <alignment horizontal="right" vertical="center" wrapText="1"/>
    </xf>
    <xf numFmtId="0" fontId="0" fillId="36" borderId="20" xfId="0" applyFont="1" applyFill="1" applyBorder="1">
      <alignment horizontal="center" vertical="center" wrapText="1"/>
    </xf>
    <xf numFmtId="0" fontId="56" fillId="0" borderId="18" xfId="0" applyFont="1" applyBorder="1">
      <alignment horizontal="center" vertical="center" wrapText="1"/>
    </xf>
    <xf numFmtId="0" fontId="23" fillId="0" borderId="38" xfId="0" applyFont="1" applyBorder="1">
      <alignment horizontal="center" vertical="center" wrapText="1"/>
    </xf>
    <xf numFmtId="0" fontId="56" fillId="0" borderId="13" xfId="0" applyFont="1" applyBorder="1">
      <alignment vertical="center" wrapText="1"/>
    </xf>
    <xf numFmtId="0" fontId="56" fillId="0" borderId="24" xfId="0" applyFont="1" applyBorder="1">
      <alignment horizontal="center" vertical="center" wrapText="1"/>
    </xf>
    <xf numFmtId="0" fontId="23" fillId="0" borderId="28" xfId="0" applyFont="1" applyBorder="1">
      <alignment horizontal="center" vertical="center" wrapText="1"/>
    </xf>
    <xf numFmtId="0" fontId="56" fillId="0" borderId="13" xfId="0" applyFont="1" applyBorder="1">
      <alignment horizontal="center" vertical="center" wrapText="1"/>
    </xf>
    <xf numFmtId="0" fontId="0" fillId="0" borderId="14" xfId="0" applyFont="1" applyBorder="1">
      <alignment horizontal="center" vertical="center" wrapText="1"/>
    </xf>
    <xf numFmtId="0" fontId="86" fillId="36" borderId="0" xfId="0" applyFont="1" applyFill="1">
      <alignment horizontal="center" vertical="center" wrapText="1"/>
    </xf>
    <xf numFmtId="0" fontId="56" fillId="0" borderId="13" xfId="0" applyFont="1" applyBorder="1">
      <alignment horizontal="left" vertical="center" wrapText="1" indent="4"/>
    </xf>
    <xf numFmtId="0" fontId="56" fillId="0" borderId="13" xfId="0" applyFont="1" applyBorder="1">
      <alignment horizontal="left" vertical="center" wrapText="1" indent="6"/>
    </xf>
    <xf numFmtId="0" fontId="56" fillId="0" borderId="15" xfId="0" applyFont="1" applyBorder="1">
      <alignment horizontal="left" vertical="center" wrapText="1"/>
    </xf>
    <xf numFmtId="0" fontId="56" fillId="0" borderId="16" xfId="0" applyFont="1" applyBorder="1">
      <alignment horizontal="left" vertical="center" wrapText="1"/>
    </xf>
    <xf numFmtId="0" fontId="56" fillId="0" borderId="14" xfId="0" applyFont="1" applyBorder="1">
      <alignment horizontal="left" vertical="center" wrapText="1"/>
    </xf>
    <xf numFmtId="0" fontId="56" fillId="0" borderId="13" xfId="0" applyFont="1" applyBorder="1">
      <alignment vertical="top" wrapText="1"/>
    </xf>
    <xf numFmtId="49" fontId="103" fillId="0" borderId="15" xfId="0" applyFont="1" applyBorder="1" applyNumberFormat="1">
      <alignment horizontal="left" vertical="center"/>
    </xf>
    <xf numFmtId="49" fontId="56" fillId="0" borderId="16" xfId="0" applyFont="1" applyBorder="1" applyNumberFormat="1">
      <alignment horizontal="left" vertical="center" indent="4"/>
    </xf>
    <xf numFmtId="49" fontId="56" fillId="0" borderId="16" xfId="0" applyFont="1" applyBorder="1" applyNumberFormat="1">
      <alignment horizontal="center" vertical="center" wrapText="1"/>
    </xf>
    <xf numFmtId="49" fontId="56" fillId="0" borderId="14" xfId="0" applyFont="1" applyBorder="1" applyNumberFormat="1">
      <alignment horizontal="center" vertical="center" wrapText="1"/>
    </xf>
    <xf numFmtId="49" fontId="56" fillId="0" borderId="0" xfId="0" applyFont="1" applyNumberFormat="1">
      <alignment vertical="center" wrapText="1"/>
    </xf>
    <xf numFmtId="0" fontId="0" fillId="0" borderId="0" xfId="0" applyFont="1">
      <alignment horizontal="left" vertical="top" wrapText="1"/>
    </xf>
    <xf numFmtId="0" fontId="23" fillId="0" borderId="13" xfId="0" applyFont="1" applyBorder="1">
      <alignment horizontal="center" vertical="center"/>
    </xf>
    <xf numFmtId="0" fontId="23" fillId="0" borderId="0" xfId="0" applyFont="1">
      <alignment horizontal="center" vertical="center"/>
    </xf>
    <xf numFmtId="0" fontId="23" fillId="0" borderId="0" xfId="0" applyFont="1">
      <alignment horizontal="left" vertical="center" wrapText="1"/>
    </xf>
    <xf numFmtId="0" fontId="23" fillId="0" borderId="15" xfId="0" applyFont="1" applyBorder="1">
      <alignment horizontal="center" vertical="center"/>
    </xf>
    <xf numFmtId="0" fontId="23" fillId="0" borderId="13" xfId="0" applyFont="1" applyBorder="1">
      <alignment horizontal="center" vertical="center" wrapText="1"/>
    </xf>
    <xf numFmtId="0" fontId="23" fillId="42" borderId="20" xfId="0" applyFont="1" applyFill="1" applyBorder="1">
      <alignment horizontal="left" vertical="center" wrapText="1"/>
    </xf>
    <xf numFmtId="0" fontId="23" fillId="42" borderId="21" xfId="0" applyFont="1" applyFill="1" applyBorder="1">
      <alignment horizontal="left" vertical="center" wrapText="1"/>
    </xf>
    <xf numFmtId="0" fontId="23" fillId="0" borderId="15" xfId="0" applyFont="1" applyBorder="1">
      <alignment horizontal="center" vertical="center" wrapText="1"/>
    </xf>
    <xf numFmtId="0" fontId="23" fillId="0" borderId="0" xfId="0" applyFont="1">
      <alignment horizontal="center" vertical="center" wrapText="1"/>
    </xf>
    <xf numFmtId="247" fontId="129" fillId="33" borderId="15" xfId="0" applyFont="1" applyFill="1" applyBorder="1" applyNumberFormat="1">
      <alignment horizontal="right" vertical="center" wrapText="1"/>
      <protection locked="0"/>
    </xf>
    <xf numFmtId="4" fontId="129" fillId="33" borderId="14" xfId="0" applyFont="1" applyFill="1" applyBorder="1" applyNumberFormat="1">
      <alignment horizontal="right" vertical="center" wrapText="1"/>
      <protection locked="0"/>
    </xf>
    <xf numFmtId="0" fontId="54" fillId="0" borderId="18" xfId="0" applyFont="1" applyBorder="1">
      <alignment vertical="top" wrapText="1"/>
    </xf>
    <xf numFmtId="0" fontId="23" fillId="33" borderId="13" xfId="0" applyFont="1" applyFill="1" applyBorder="1">
      <alignment horizontal="left" vertical="center" wrapText="1" indent="7"/>
      <protection locked="0"/>
    </xf>
    <xf numFmtId="49" fontId="0" fillId="41" borderId="13" xfId="0" applyFont="1" applyFill="1" applyBorder="1" applyNumberFormat="1">
      <alignment horizontal="center" vertical="center" wrapText="1"/>
      <protection locked="0"/>
    </xf>
    <xf numFmtId="4" fontId="131" fillId="0" borderId="15" xfId="0" applyFont="1" applyBorder="1" applyNumberFormat="1">
      <alignment horizontal="center" vertical="center" wrapText="1"/>
    </xf>
    <xf numFmtId="4" fontId="129" fillId="0" borderId="14" xfId="0" applyFont="1" applyBorder="1" applyNumberFormat="1">
      <alignment horizontal="right" vertical="center" wrapText="1"/>
    </xf>
    <xf numFmtId="0" fontId="23" fillId="40" borderId="16" xfId="0" applyFont="1" applyFill="1" applyBorder="1">
      <alignment horizontal="left" vertical="center" wrapText="1" indent="6"/>
    </xf>
    <xf numFmtId="4" fontId="129" fillId="40" borderId="16" xfId="0" applyFont="1" applyFill="1" applyBorder="1" applyNumberFormat="1">
      <alignment horizontal="right" vertical="center" wrapText="1"/>
    </xf>
    <xf numFmtId="4" fontId="131" fillId="40" borderId="16" xfId="0" applyFont="1" applyFill="1" applyBorder="1" applyNumberFormat="1">
      <alignment horizontal="center" vertical="center" wrapText="1"/>
    </xf>
    <xf numFmtId="4" fontId="129" fillId="40" borderId="14" xfId="0" applyFont="1" applyFill="1" applyBorder="1" applyNumberFormat="1">
      <alignment horizontal="right" vertical="center" wrapText="1"/>
    </xf>
    <xf numFmtId="49" fontId="23" fillId="40" borderId="29" xfId="0" applyFont="1" applyFill="1" applyBorder="1" applyNumberFormat="1">
      <alignment horizontal="center" vertical="center" wrapText="1"/>
    </xf>
    <xf numFmtId="0" fontId="79" fillId="0" borderId="0" xfId="0" applyFont="1">
      <alignment horizontal="left" vertical="center" indent="1"/>
    </xf>
    <xf numFmtId="0" fontId="79" fillId="0" borderId="0" xfId="0" applyFont="1">
      <alignment horizontal="center" vertical="center"/>
    </xf>
    <xf numFmtId="0" fontId="79" fillId="0" borderId="0" xfId="0" applyFont="1">
      <alignment horizontal="left" vertical="center" wrapText="1"/>
    </xf>
    <xf numFmtId="0" fontId="79" fillId="0" borderId="0" xfId="0" applyFont="1">
      <alignment vertical="center" wrapText="1"/>
    </xf>
    <xf numFmtId="49" fontId="79" fillId="0" borderId="0" xfId="0" applyFont="1" applyNumberFormat="1">
      <alignment horizontal="left" vertical="center"/>
    </xf>
    <xf numFmtId="0" fontId="23" fillId="0" borderId="0" xfId="0" applyFont="1">
      <alignment horizontal="center" vertical="center" wrapText="1"/>
    </xf>
    <xf numFmtId="49" fontId="23" fillId="0" borderId="13" xfId="0" applyFont="1" applyBorder="1" applyNumberFormat="1">
      <alignment vertical="center" wrapText="1"/>
    </xf>
    <xf numFmtId="0" fontId="23" fillId="0" borderId="0" xfId="0" applyFont="1">
      <alignment vertical="center"/>
    </xf>
    <xf numFmtId="0" fontId="23" fillId="0" borderId="0" xfId="0" applyFont="1">
      <alignment horizontal="center" vertical="center"/>
    </xf>
    <xf numFmtId="0" fontId="23" fillId="0" borderId="13" xfId="0" applyFont="1" applyBorder="1">
      <alignment horizontal="center" vertical="center" wrapText="1"/>
    </xf>
    <xf numFmtId="0" fontId="23" fillId="0" borderId="38" xfId="0" applyFont="1" applyBorder="1">
      <alignment horizontal="center" vertical="center" wrapText="1"/>
    </xf>
    <xf numFmtId="0" fontId="23" fillId="0" borderId="20" xfId="0" applyFont="1" applyBorder="1">
      <alignment horizontal="center" vertical="center" wrapText="1"/>
    </xf>
    <xf numFmtId="0" fontId="23" fillId="0" borderId="21" xfId="0" applyFont="1" applyBorder="1">
      <alignment horizontal="center" vertical="center" wrapText="1"/>
    </xf>
    <xf numFmtId="0" fontId="23" fillId="0" borderId="23" xfId="0" applyFont="1" applyBorder="1">
      <alignment horizontal="center" vertical="center" wrapText="1"/>
    </xf>
    <xf numFmtId="0" fontId="0" fillId="0" borderId="18" xfId="0" applyFont="1" applyBorder="1">
      <alignment horizontal="center" vertical="center" wrapText="1"/>
    </xf>
    <xf numFmtId="0" fontId="0" fillId="0" borderId="15" xfId="0" applyFont="1" applyBorder="1">
      <alignment horizontal="center" vertical="center" wrapText="1"/>
    </xf>
    <xf numFmtId="0" fontId="0" fillId="0" borderId="16" xfId="0" applyFont="1" applyBorder="1">
      <alignment horizontal="center" vertical="center" wrapText="1"/>
    </xf>
    <xf numFmtId="0" fontId="0" fillId="0" borderId="14" xfId="0" applyFont="1" applyBorder="1">
      <alignment horizontal="center" vertical="center" wrapText="1"/>
    </xf>
    <xf numFmtId="0" fontId="23" fillId="0" borderId="28" xfId="0" applyFont="1" applyBorder="1">
      <alignment horizontal="center" vertical="center" wrapText="1"/>
    </xf>
    <xf numFmtId="0" fontId="23" fillId="0" borderId="29" xfId="0" applyFont="1" applyBorder="1">
      <alignment horizontal="center" vertical="center" wrapText="1"/>
    </xf>
    <xf numFmtId="0" fontId="23" fillId="0" borderId="31" xfId="0" applyFont="1" applyBorder="1">
      <alignment horizontal="center" vertical="center" wrapText="1"/>
    </xf>
    <xf numFmtId="0" fontId="0" fillId="0" borderId="37" xfId="0" applyFont="1" applyBorder="1">
      <alignment horizontal="center" vertical="center" wrapText="1"/>
    </xf>
    <xf numFmtId="0" fontId="0" fillId="0" borderId="18" xfId="0" applyFont="1" applyBorder="1">
      <alignment horizontal="center" vertical="center" wrapText="1"/>
    </xf>
    <xf numFmtId="0" fontId="0" fillId="0" borderId="38" xfId="0" applyFont="1" applyBorder="1">
      <alignment horizontal="center" vertical="center" wrapText="1"/>
    </xf>
    <xf numFmtId="0" fontId="0" fillId="0" borderId="21" xfId="0" applyFont="1" applyBorder="1">
      <alignment horizontal="center" vertical="center" wrapText="1"/>
    </xf>
    <xf numFmtId="0" fontId="0" fillId="0" borderId="24" xfId="0" applyFont="1" applyBorder="1">
      <alignment horizontal="center" vertical="center" wrapText="1"/>
    </xf>
    <xf numFmtId="0" fontId="0" fillId="0" borderId="24" xfId="0" applyFont="1" applyBorder="1">
      <alignment horizontal="center" vertical="center" wrapText="1"/>
    </xf>
    <xf numFmtId="0" fontId="0" fillId="0" borderId="28" xfId="0" applyFont="1" applyBorder="1">
      <alignment horizontal="center" vertical="center" wrapText="1"/>
    </xf>
    <xf numFmtId="0" fontId="0" fillId="0" borderId="31" xfId="0" applyFont="1" applyBorder="1">
      <alignment horizontal="center" vertical="center" wrapText="1"/>
    </xf>
    <xf numFmtId="0" fontId="23" fillId="0" borderId="13" xfId="0" applyFont="1" applyBorder="1">
      <alignment horizontal="center" vertical="center"/>
    </xf>
    <xf numFmtId="0" fontId="79" fillId="0" borderId="0" xfId="0" applyFont="1">
      <alignment horizontal="left" vertical="center" indent="1"/>
    </xf>
    <xf numFmtId="0" fontId="23" fillId="0" borderId="15" xfId="0" applyFont="1" applyBorder="1">
      <alignment horizontal="center" vertical="center"/>
    </xf>
    <xf numFmtId="0" fontId="79" fillId="0" borderId="0" xfId="0" applyFont="1">
      <alignment horizontal="center" vertical="center"/>
    </xf>
    <xf numFmtId="49" fontId="55" fillId="0" borderId="0" xfId="0" applyFont="1" applyNumberFormat="1">
      <alignment vertical="center" wrapText="1"/>
    </xf>
    <xf numFmtId="0" fontId="55" fillId="0" borderId="0" xfId="0" applyFont="1">
      <alignment horizontal="center" vertical="center" wrapText="1"/>
    </xf>
    <xf numFmtId="0" fontId="62" fillId="36" borderId="0" xfId="0" applyFont="1" applyFill="1">
      <alignment horizontal="center" vertical="center" wrapText="1"/>
    </xf>
    <xf numFmtId="0" fontId="62" fillId="0" borderId="0" xfId="0" applyFont="1">
      <alignment vertical="center" wrapText="1"/>
    </xf>
    <xf numFmtId="0" fontId="56" fillId="0" borderId="13" xfId="0" applyFont="1" applyBorder="1">
      <alignment horizontal="left" vertical="center" wrapText="1" indent="5"/>
    </xf>
    <xf numFmtId="0" fontId="56" fillId="0" borderId="25" xfId="0" applyFont="1" applyBorder="1">
      <alignment horizontal="center" vertical="top" wrapText="1"/>
    </xf>
    <xf numFmtId="0" fontId="23" fillId="36" borderId="18" xfId="0" applyFont="1" applyFill="1" applyBorder="1">
      <alignment horizontal="left" vertical="center" wrapText="1"/>
    </xf>
    <xf numFmtId="49" fontId="23" fillId="41" borderId="18" xfId="0" applyFont="1" applyFill="1" applyBorder="1" applyNumberFormat="1">
      <alignment horizontal="left" vertical="center" wrapText="1" indent="6"/>
      <protection locked="0"/>
    </xf>
    <xf numFmtId="0" fontId="46" fillId="0" borderId="13" xfId="0" applyFont="1" applyBorder="1">
      <alignment horizontal="center" vertical="center" wrapText="1"/>
    </xf>
    <xf numFmtId="49" fontId="23" fillId="36" borderId="13" xfId="0" applyFont="1" applyFill="1" applyBorder="1" applyNumberFormat="1">
      <alignment horizontal="center" vertical="center" wrapText="1"/>
    </xf>
    <xf numFmtId="49" fontId="23" fillId="42" borderId="13" xfId="0" applyFont="1" applyFill="1" applyBorder="1" applyNumberFormat="1">
      <alignment horizontal="left" vertical="center" wrapText="1" indent="1"/>
    </xf>
    <xf numFmtId="0" fontId="23" fillId="0" borderId="13" xfId="0" applyFont="1" applyBorder="1">
      <alignment horizontal="left" vertical="center" wrapText="1" indent="4"/>
    </xf>
    <xf numFmtId="49" fontId="23" fillId="36" borderId="13" xfId="0" applyFont="1" applyFill="1" applyBorder="1" applyNumberFormat="1">
      <alignment horizontal="center" vertical="center" wrapText="1"/>
    </xf>
    <xf numFmtId="0" fontId="23" fillId="42" borderId="13" xfId="0" applyFont="1" applyFill="1" applyBorder="1">
      <alignment horizontal="left" vertical="center" wrapText="1" indent="1"/>
    </xf>
    <xf numFmtId="49" fontId="23" fillId="42" borderId="13" xfId="0" applyFont="1" applyFill="1" applyBorder="1" applyNumberFormat="1">
      <alignment horizontal="center" vertical="center" wrapText="1"/>
    </xf>
    <xf numFmtId="0" fontId="23" fillId="36" borderId="37" xfId="0" applyFont="1" applyFill="1" applyBorder="1">
      <alignment horizontal="left" vertical="center" wrapText="1"/>
    </xf>
    <xf numFmtId="49" fontId="23" fillId="41" borderId="37" xfId="0" applyFont="1" applyFill="1" applyBorder="1" applyNumberFormat="1">
      <alignment horizontal="left" vertical="center" wrapText="1" indent="6"/>
      <protection locked="0"/>
    </xf>
    <xf numFmtId="247" fontId="129" fillId="40" borderId="14" xfId="0" applyFont="1" applyFill="1" applyBorder="1" applyNumberFormat="1">
      <alignment horizontal="right" vertical="center" wrapText="1"/>
    </xf>
    <xf numFmtId="49" fontId="49" fillId="40" borderId="15" xfId="0" applyFont="1" applyFill="1" applyBorder="1" applyNumberFormat="1">
      <alignment horizontal="left" vertical="center"/>
    </xf>
    <xf numFmtId="247" fontId="129" fillId="40" borderId="16" xfId="0" applyFont="1" applyFill="1" applyBorder="1" applyNumberFormat="1">
      <alignment horizontal="right" vertical="center" wrapText="1"/>
    </xf>
    <xf numFmtId="4" fontId="129" fillId="0" borderId="37" xfId="0" applyFont="1" applyBorder="1" applyNumberFormat="1">
      <alignment horizontal="right" vertical="center" wrapText="1"/>
    </xf>
    <xf numFmtId="49" fontId="49" fillId="40" borderId="15" xfId="0" applyFont="1" applyFill="1" applyBorder="1" applyNumberFormat="1">
      <alignment horizontal="left" vertical="center" indent="1"/>
    </xf>
    <xf numFmtId="0" fontId="23" fillId="36" borderId="24" xfId="0" applyFont="1" applyFill="1" applyBorder="1">
      <alignment horizontal="left" vertical="center" wrapText="1"/>
    </xf>
    <xf numFmtId="49" fontId="23" fillId="41" borderId="24" xfId="0" applyFont="1" applyFill="1" applyBorder="1" applyNumberFormat="1">
      <alignment horizontal="left" vertical="center" wrapText="1" indent="6"/>
      <protection locked="0"/>
    </xf>
    <xf numFmtId="4" fontId="131" fillId="40" borderId="14" xfId="0" applyFont="1" applyFill="1" applyBorder="1" applyNumberFormat="1">
      <alignment horizontal="center" vertical="center" wrapText="1"/>
    </xf>
    <xf numFmtId="49" fontId="49" fillId="40" borderId="15" xfId="0" applyFont="1" applyFill="1" applyBorder="1" applyNumberFormat="1">
      <alignment vertical="center" wrapText="1"/>
    </xf>
    <xf numFmtId="49" fontId="49" fillId="40" borderId="16" xfId="0" applyFont="1" applyFill="1" applyBorder="1" applyNumberFormat="1">
      <alignment vertical="center" wrapText="1"/>
    </xf>
    <xf numFmtId="49" fontId="56" fillId="0" borderId="25" xfId="0" applyFont="1" applyBorder="1" applyNumberFormat="1">
      <alignment vertical="top"/>
    </xf>
    <xf numFmtId="0" fontId="118" fillId="0" borderId="0" xfId="0" applyFont="1">
      <alignment horizontal="center" vertical="center" wrapText="1"/>
    </xf>
    <xf numFmtId="49" fontId="56" fillId="0" borderId="0" xfId="0" applyFont="1" applyNumberFormat="1">
      <alignment horizontal="center" vertical="center" wrapText="1"/>
    </xf>
    <xf numFmtId="49" fontId="56" fillId="0" borderId="0" xfId="0" applyFont="1" applyNumberFormat="1">
      <alignment horizontal="left" vertical="center" wrapText="1" indent="1"/>
    </xf>
    <xf numFmtId="0" fontId="56" fillId="0" borderId="0" xfId="0" applyFont="1">
      <alignment horizontal="left" vertical="center" wrapText="1" indent="4"/>
    </xf>
    <xf numFmtId="0" fontId="56" fillId="0" borderId="25" xfId="0" applyFont="1" applyBorder="1">
      <alignment horizontal="left" vertical="center" wrapText="1" indent="1"/>
    </xf>
    <xf numFmtId="4" fontId="131" fillId="0" borderId="13" xfId="0" applyFont="1" applyBorder="1" applyNumberFormat="1">
      <alignment horizontal="right" vertical="center" wrapText="1"/>
    </xf>
    <xf numFmtId="247" fontId="131" fillId="0" borderId="13" xfId="0" applyFont="1" applyBorder="1" applyNumberFormat="1">
      <alignment horizontal="right" vertical="center" wrapText="1"/>
    </xf>
    <xf numFmtId="250" fontId="56" fillId="0" borderId="13" xfId="0" applyFont="1" applyBorder="1" applyNumberFormat="1">
      <alignment horizontal="center" vertical="center" wrapText="1"/>
    </xf>
    <xf numFmtId="49" fontId="56" fillId="0" borderId="13" xfId="0" applyFont="1" applyBorder="1" applyNumberFormat="1">
      <alignment horizontal="center" vertical="center" wrapText="1"/>
    </xf>
    <xf numFmtId="0" fontId="55" fillId="0" borderId="0" xfId="0" applyFont="1">
      <alignment horizontal="left" vertical="center"/>
    </xf>
    <xf numFmtId="49" fontId="55" fillId="0" borderId="0" xfId="0" applyFont="1" applyNumberFormat="1">
      <alignment horizontal="left" vertical="center"/>
    </xf>
    <xf numFmtId="0" fontId="55" fillId="0" borderId="0" xfId="0" applyFont="1">
      <alignment horizontal="left" vertical="center"/>
    </xf>
    <xf numFmtId="0" fontId="75" fillId="0" borderId="0" xfId="0" applyFont="1">
      <alignment horizontal="left" vertical="center"/>
    </xf>
    <xf numFmtId="0" fontId="56" fillId="0" borderId="0" xfId="0" applyFont="1">
      <alignment horizontal="left" vertical="center"/>
    </xf>
    <xf numFmtId="0" fontId="75" fillId="36" borderId="0" xfId="0" applyFont="1" applyFill="1">
      <alignment vertical="center" wrapText="1"/>
    </xf>
    <xf numFmtId="0" fontId="0" fillId="36" borderId="38" xfId="0" applyFont="1" applyFill="1" applyBorder="1">
      <alignment horizontal="center" vertical="center" wrapText="1"/>
    </xf>
    <xf numFmtId="0" fontId="0" fillId="36" borderId="21" xfId="0" applyFont="1" applyFill="1" applyBorder="1">
      <alignment horizontal="center" vertical="center" wrapText="1"/>
    </xf>
    <xf numFmtId="0" fontId="0" fillId="36" borderId="23" xfId="0" applyFont="1" applyFill="1" applyBorder="1">
      <alignment horizontal="center" vertical="center" wrapText="1"/>
    </xf>
    <xf numFmtId="0" fontId="0" fillId="36" borderId="0" xfId="0" applyFont="1" applyFill="1">
      <alignment horizontal="center" vertical="center" wrapText="1"/>
    </xf>
    <xf numFmtId="0" fontId="0" fillId="36" borderId="25" xfId="0" applyFont="1" applyFill="1" applyBorder="1">
      <alignment horizontal="center" vertical="center" wrapText="1"/>
    </xf>
    <xf numFmtId="0" fontId="23" fillId="36" borderId="13" xfId="0" applyFont="1" applyFill="1" applyBorder="1">
      <alignment horizontal="center" vertical="center" wrapText="1"/>
    </xf>
    <xf numFmtId="0" fontId="0" fillId="36" borderId="28" xfId="0" applyFont="1" applyFill="1" applyBorder="1">
      <alignment horizontal="center" vertical="center" wrapText="1"/>
    </xf>
    <xf numFmtId="0" fontId="0" fillId="36" borderId="29" xfId="0" applyFont="1" applyFill="1" applyBorder="1">
      <alignment horizontal="center" vertical="center" wrapText="1"/>
    </xf>
    <xf numFmtId="0" fontId="0" fillId="36" borderId="31" xfId="0" applyFont="1" applyFill="1" applyBorder="1">
      <alignment horizontal="center" vertical="center" wrapText="1"/>
    </xf>
    <xf numFmtId="49" fontId="23" fillId="0" borderId="13" xfId="0" applyFont="1" applyBorder="1" applyNumberFormat="1">
      <alignment horizontal="left" vertical="center" wrapText="1" indent="1"/>
    </xf>
    <xf numFmtId="0" fontId="23" fillId="0" borderId="13" xfId="0" applyFont="1" applyBorder="1">
      <alignment horizontal="left" vertical="center" wrapText="1" indent="1"/>
    </xf>
    <xf numFmtId="49" fontId="23" fillId="40" borderId="15" xfId="0" applyFont="1" applyFill="1" applyBorder="1" applyNumberFormat="1">
      <alignment horizontal="center" vertical="center" wrapText="1"/>
    </xf>
    <xf numFmtId="49" fontId="79" fillId="0" borderId="25" xfId="0" applyFont="1" applyBorder="1" applyNumberFormat="1">
      <alignment vertical="top"/>
    </xf>
    <xf numFmtId="0" fontId="23" fillId="0" borderId="0" xfId="0" applyFont="1">
      <alignment horizontal="left" vertical="top" wrapText="1"/>
    </xf>
    <xf numFmtId="0" fontId="0" fillId="0" borderId="0" xfId="0" applyFont="1">
      <alignment horizontal="left" vertical="center"/>
    </xf>
    <xf numFmtId="0" fontId="0" fillId="36" borderId="13" xfId="0" applyFont="1" applyFill="1" applyBorder="1">
      <alignment horizontal="right" vertical="center" wrapText="1" indent="1"/>
    </xf>
    <xf numFmtId="0" fontId="0" fillId="0" borderId="15" xfId="0" applyFont="1" applyBorder="1">
      <alignment vertical="center"/>
    </xf>
    <xf numFmtId="0" fontId="23" fillId="0" borderId="0" xfId="0" applyFont="1">
      <alignment horizontal="left" vertical="center" wrapText="1"/>
    </xf>
    <xf numFmtId="0" fontId="23" fillId="0" borderId="0" xfId="0" applyFont="1">
      <alignment horizontal="right" vertical="center" wrapText="1"/>
    </xf>
    <xf numFmtId="0" fontId="23" fillId="0" borderId="0" xfId="0" applyFont="1">
      <alignment horizontal="right" vertical="center" wrapText="1"/>
    </xf>
    <xf numFmtId="0" fontId="0" fillId="0" borderId="13" xfId="0" applyFont="1" applyBorder="1">
      <alignment horizontal="center" vertical="center" wrapText="1"/>
    </xf>
    <xf numFmtId="0" fontId="86" fillId="36" borderId="20" xfId="0" applyFont="1" applyFill="1" applyBorder="1">
      <alignment horizontal="center" vertical="center" wrapText="1"/>
    </xf>
    <xf numFmtId="0" fontId="23" fillId="36" borderId="13" xfId="0" applyFont="1" applyFill="1" applyBorder="1">
      <alignment horizontal="left" vertical="center" wrapText="1"/>
    </xf>
    <xf numFmtId="4" fontId="129" fillId="38" borderId="13" xfId="0" applyFont="1" applyFill="1" applyBorder="1" applyNumberFormat="1">
      <alignment horizontal="left" vertical="center" wrapText="1"/>
    </xf>
    <xf numFmtId="0" fontId="23" fillId="0" borderId="0" xfId="0" applyFont="1">
      <alignment horizontal="center" vertical="center" wrapText="1"/>
    </xf>
    <xf numFmtId="0" fontId="55" fillId="0" borderId="0" xfId="0" applyFont="1">
      <alignment horizontal="center" vertical="center" wrapText="1"/>
    </xf>
    <xf numFmtId="0" fontId="56" fillId="0" borderId="0" xfId="0" applyFont="1">
      <alignment horizontal="center" vertical="center" wrapText="1"/>
    </xf>
    <xf numFmtId="0" fontId="23" fillId="42" borderId="13" xfId="0" applyFont="1" applyFill="1" applyBorder="1">
      <alignment horizontal="left" vertical="center" wrapText="1"/>
      <protection locked="0"/>
    </xf>
    <xf numFmtId="0" fontId="55" fillId="0" borderId="0" xfId="0" applyFont="1">
      <alignment horizontal="center" vertical="center" wrapText="1"/>
    </xf>
    <xf numFmtId="0" fontId="23" fillId="42" borderId="15" xfId="0" applyFont="1" applyFill="1" applyBorder="1">
      <alignment horizontal="left" vertical="center" wrapText="1"/>
      <protection locked="0"/>
    </xf>
    <xf numFmtId="0" fontId="23" fillId="42" borderId="16" xfId="0" applyFont="1" applyFill="1" applyBorder="1">
      <alignment horizontal="left" vertical="center" wrapText="1"/>
      <protection locked="0"/>
    </xf>
    <xf numFmtId="0" fontId="23" fillId="42" borderId="14" xfId="0" applyFont="1" applyFill="1" applyBorder="1">
      <alignment horizontal="left" vertical="center" wrapText="1"/>
      <protection locked="0"/>
    </xf>
    <xf numFmtId="0" fontId="23" fillId="42" borderId="13" xfId="0" applyFont="1" applyFill="1" applyBorder="1">
      <alignment horizontal="left" vertical="center" wrapText="1" indent="6"/>
      <protection locked="0"/>
    </xf>
    <xf numFmtId="250" fontId="0" fillId="41" borderId="13" xfId="0" applyFont="1" applyFill="1" applyBorder="1" applyNumberFormat="1">
      <alignment horizontal="center" vertical="center" wrapText="1"/>
      <protection locked="0"/>
    </xf>
    <xf numFmtId="49" fontId="23" fillId="0" borderId="13" xfId="0" applyFont="1" applyBorder="1" applyNumberFormat="1">
      <alignment horizontal="left" vertical="center" wrapText="1"/>
    </xf>
    <xf numFmtId="49" fontId="107" fillId="40" borderId="15" xfId="0" applyFont="1" applyFill="1" applyBorder="1" applyNumberFormat="1">
      <alignment horizontal="left" vertical="center"/>
    </xf>
    <xf numFmtId="49" fontId="116" fillId="40" borderId="16" xfId="0" applyFont="1" applyFill="1" applyBorder="1" applyNumberFormat="1">
      <alignment horizontal="left" vertical="center" indent="3"/>
    </xf>
    <xf numFmtId="49" fontId="79" fillId="40" borderId="16" xfId="0" applyFont="1" applyFill="1" applyBorder="1" applyNumberFormat="1">
      <alignment horizontal="center" vertical="center" wrapText="1"/>
    </xf>
    <xf numFmtId="49" fontId="73" fillId="40" borderId="16" xfId="0" applyFont="1" applyFill="1" applyBorder="1" applyNumberFormat="1">
      <alignment horizontal="center" vertical="center" wrapText="1"/>
    </xf>
    <xf numFmtId="49" fontId="73" fillId="40" borderId="14" xfId="0" applyFont="1" applyFill="1" applyBorder="1" applyNumberFormat="1">
      <alignment horizontal="center" vertical="center" wrapText="1"/>
    </xf>
    <xf numFmtId="49" fontId="55" fillId="0" borderId="0" xfId="0" applyFont="1" applyNumberFormat="1">
      <alignment horizontal="left" vertical="center"/>
    </xf>
    <xf numFmtId="49" fontId="41" fillId="0" borderId="0" xfId="0" applyFont="1" applyNumberFormat="1">
      <alignment vertical="top"/>
    </xf>
    <xf numFmtId="49" fontId="116" fillId="40" borderId="16" xfId="0" applyFont="1" applyFill="1" applyBorder="1" applyNumberFormat="1">
      <alignment horizontal="left" vertical="center" indent="2"/>
    </xf>
    <xf numFmtId="49" fontId="116" fillId="40" borderId="16" xfId="0" applyFont="1" applyFill="1" applyBorder="1" applyNumberFormat="1">
      <alignment horizontal="left" vertical="center" indent="1"/>
    </xf>
    <xf numFmtId="49" fontId="55" fillId="0" borderId="0" xfId="0" applyFont="1" applyNumberFormat="1">
      <alignment horizontal="left" vertical="center"/>
    </xf>
    <xf numFmtId="49" fontId="55" fillId="0" borderId="0" xfId="0" applyFont="1" applyNumberFormat="1">
      <alignment horizontal="left" vertical="top"/>
    </xf>
    <xf numFmtId="49" fontId="73" fillId="40" borderId="15" xfId="0" applyFont="1" applyFill="1" applyBorder="1" applyNumberFormat="1">
      <alignment horizontal="left" vertical="top"/>
    </xf>
    <xf numFmtId="49" fontId="116" fillId="40" borderId="16" xfId="0" applyFont="1" applyFill="1" applyBorder="1" applyNumberFormat="1">
      <alignment horizontal="left" vertical="center"/>
    </xf>
    <xf numFmtId="49" fontId="56" fillId="0" borderId="0" xfId="0" applyFont="1" applyNumberFormat="1">
      <alignment vertical="top"/>
    </xf>
    <xf numFmtId="0" fontId="23" fillId="0" borderId="0" xfId="0" applyFont="1">
      <alignment horizontal="left" vertical="top" wrapText="1"/>
    </xf>
    <xf numFmtId="49" fontId="23" fillId="0" borderId="0" xfId="0" applyFont="1" applyNumberFormat="1">
      <alignment vertical="center" wrapText="1"/>
    </xf>
    <xf numFmtId="0" fontId="23" fillId="0" borderId="0" xfId="0" applyFont="1">
      <alignment horizontal="center" vertical="center" wrapText="1"/>
    </xf>
    <xf numFmtId="0" fontId="23" fillId="0" borderId="0" xfId="0" applyFont="1">
      <alignment horizontal="center" vertical="center" wrapText="1"/>
    </xf>
    <xf numFmtId="49" fontId="23" fillId="0" borderId="0" xfId="0" applyFont="1" applyNumberFormat="1">
      <alignment horizontal="left" vertical="center"/>
    </xf>
    <xf numFmtId="49" fontId="23" fillId="0" borderId="0" xfId="0" applyFont="1" applyNumberFormat="1">
      <alignment horizontal="left" vertical="center"/>
    </xf>
    <xf numFmtId="49" fontId="23" fillId="0" borderId="0" xfId="0" applyFont="1" applyNumberFormat="1">
      <alignment horizontal="left" vertical="top"/>
    </xf>
    <xf numFmtId="0" fontId="22" fillId="0" borderId="16" xfId="0" applyFont="1" applyBorder="1">
      <alignment horizontal="left" vertical="center" wrapText="1" indent="1"/>
    </xf>
    <xf numFmtId="0" fontId="22" fillId="0" borderId="0" xfId="0" applyFont="1">
      <alignment horizontal="center" vertical="center" wrapText="1"/>
    </xf>
    <xf numFmtId="0" fontId="0" fillId="0" borderId="0" xfId="0" applyFont="1">
      <alignment horizontal="center" vertical="center"/>
    </xf>
    <xf numFmtId="0" fontId="23" fillId="38" borderId="15" xfId="0" applyFont="1" applyFill="1" applyBorder="1">
      <alignment horizontal="left" vertical="center" wrapText="1" indent="1"/>
    </xf>
    <xf numFmtId="0" fontId="23" fillId="38" borderId="16" xfId="0" applyFont="1" applyFill="1" applyBorder="1">
      <alignment horizontal="left" vertical="center" wrapText="1" indent="1"/>
    </xf>
    <xf numFmtId="0" fontId="23" fillId="38" borderId="14" xfId="0" applyFont="1" applyFill="1" applyBorder="1">
      <alignment horizontal="left" vertical="center" wrapText="1" indent="1"/>
    </xf>
    <xf numFmtId="0" fontId="78" fillId="0" borderId="0" xfId="0" applyFont="1">
      <alignment horizontal="left" vertical="center" wrapText="1"/>
    </xf>
    <xf numFmtId="0" fontId="56" fillId="0" borderId="0" xfId="0" applyFont="1">
      <alignment vertical="center"/>
    </xf>
    <xf numFmtId="0" fontId="0" fillId="0" borderId="0" xfId="0" applyFont="1">
      <alignment horizontal="right" vertical="center" wrapText="1" indent="1"/>
    </xf>
    <xf numFmtId="0" fontId="23" fillId="0" borderId="0" xfId="0" applyFont="1">
      <alignment horizontal="left" vertical="center" wrapText="1" indent="1"/>
    </xf>
    <xf numFmtId="0" fontId="88" fillId="0" borderId="0" xfId="0" applyFont="1">
      <alignment vertical="center" wrapText="1"/>
    </xf>
    <xf numFmtId="0" fontId="88" fillId="0" borderId="0" xfId="0" applyFont="1">
      <alignment horizontal="center" vertical="center" wrapText="1"/>
    </xf>
    <xf numFmtId="0" fontId="23" fillId="36" borderId="13" xfId="0" applyFont="1" applyFill="1" applyBorder="1">
      <alignment horizontal="center" vertical="center" wrapText="1"/>
    </xf>
    <xf numFmtId="0" fontId="0" fillId="36" borderId="13" xfId="0" applyFont="1" applyFill="1" applyBorder="1">
      <alignment horizontal="center" vertical="center" wrapText="1"/>
    </xf>
    <xf numFmtId="49" fontId="49" fillId="40" borderId="13" xfId="0" applyFont="1" applyFill="1" applyBorder="1" applyNumberFormat="1">
      <alignment horizontal="center" vertical="center" textRotation="90" wrapText="1"/>
    </xf>
    <xf numFmtId="0" fontId="23" fillId="0" borderId="13" xfId="0" applyFont="1" applyBorder="1">
      <alignment horizontal="center" vertical="center" wrapText="1"/>
    </xf>
    <xf numFmtId="0" fontId="0" fillId="0" borderId="13" xfId="0" applyFont="1" applyBorder="1">
      <alignment horizontal="center" vertical="center" wrapText="1"/>
    </xf>
    <xf numFmtId="0" fontId="45" fillId="36" borderId="0" xfId="0" applyFont="1" applyFill="1">
      <alignment horizontal="center" vertical="center" wrapText="1"/>
    </xf>
    <xf numFmtId="0" fontId="45" fillId="36" borderId="0" xfId="0" applyFont="1" applyFill="1">
      <alignment horizontal="center" vertical="center" wrapText="1"/>
    </xf>
    <xf numFmtId="49" fontId="56" fillId="0" borderId="0" xfId="0" applyFont="1" applyNumberFormat="1">
      <alignment vertical="center" wrapText="1"/>
    </xf>
    <xf numFmtId="0" fontId="23" fillId="0" borderId="13" xfId="0" applyFont="1" applyBorder="1">
      <alignment vertical="center" wrapText="1"/>
    </xf>
    <xf numFmtId="0" fontId="23" fillId="38" borderId="13" xfId="0" applyFont="1" applyFill="1" applyBorder="1">
      <alignment horizontal="left" vertical="center" wrapText="1"/>
    </xf>
    <xf numFmtId="49" fontId="56" fillId="0" borderId="0" xfId="0" applyFont="1" applyNumberFormat="1">
      <alignment vertical="center"/>
    </xf>
    <xf numFmtId="0" fontId="41" fillId="0" borderId="0" xfId="0" applyFont="1">
      <alignment horizontal="center" vertical="center" wrapText="1"/>
    </xf>
    <xf numFmtId="0" fontId="46" fillId="36" borderId="0" xfId="0" applyFont="1" applyFill="1">
      <alignment horizontal="center" vertical="center" wrapText="1"/>
    </xf>
    <xf numFmtId="0" fontId="41" fillId="0" borderId="0" xfId="0" applyFont="1">
      <alignment vertical="center" wrapText="1"/>
    </xf>
    <xf numFmtId="0" fontId="46" fillId="36" borderId="0" xfId="0" applyFont="1" applyFill="1">
      <alignment vertical="center" wrapText="1"/>
    </xf>
    <xf numFmtId="49" fontId="23" fillId="41" borderId="13" xfId="0" applyFont="1" applyFill="1" applyBorder="1" applyNumberFormat="1">
      <alignment horizontal="left" vertical="center" wrapText="1" indent="4"/>
      <protection locked="0"/>
    </xf>
    <xf numFmtId="49" fontId="23" fillId="0" borderId="13" xfId="0" applyFont="1" applyBorder="1" applyNumberFormat="1">
      <alignment horizontal="center" vertical="center" wrapText="1"/>
    </xf>
    <xf numFmtId="4" fontId="0" fillId="41" borderId="13" xfId="0" applyFont="1" applyFill="1" applyBorder="1" applyNumberFormat="1">
      <alignment horizontal="right" vertical="center" wrapText="1"/>
      <protection locked="0"/>
    </xf>
    <xf numFmtId="247" fontId="0" fillId="41" borderId="13" xfId="0" applyFont="1" applyFill="1" applyBorder="1" applyNumberFormat="1">
      <alignment horizontal="right" vertical="center"/>
      <protection locked="0"/>
    </xf>
    <xf numFmtId="49" fontId="23" fillId="42" borderId="13" xfId="0" applyFont="1" applyFill="1" applyBorder="1" applyNumberFormat="1">
      <alignment horizontal="center" vertical="center" wrapText="1"/>
    </xf>
    <xf numFmtId="49" fontId="0" fillId="36" borderId="13" xfId="0" applyFont="1" applyFill="1" applyBorder="1" applyNumberFormat="1">
      <alignment horizontal="center" vertical="center" wrapText="1"/>
    </xf>
    <xf numFmtId="4" fontId="0" fillId="36" borderId="15" xfId="0" applyFont="1" applyFill="1" applyBorder="1" applyNumberFormat="1">
      <alignment horizontal="right" vertical="center"/>
    </xf>
    <xf numFmtId="0" fontId="23" fillId="0" borderId="13" xfId="0" applyFont="1" applyBorder="1">
      <alignment horizontal="left" vertical="center" wrapText="1"/>
    </xf>
    <xf numFmtId="49" fontId="0" fillId="0" borderId="13" xfId="0" applyFont="1" applyBorder="1" applyNumberFormat="1">
      <alignment vertical="center" wrapText="1"/>
    </xf>
    <xf numFmtId="49" fontId="23" fillId="0" borderId="13" xfId="0" applyFont="1" applyBorder="1" applyNumberFormat="1">
      <alignment vertical="center" wrapText="1"/>
    </xf>
    <xf numFmtId="0" fontId="23" fillId="0" borderId="15" xfId="0" applyFont="1" applyBorder="1">
      <alignment horizontal="left" vertical="center" wrapText="1" indent="6"/>
    </xf>
    <xf numFmtId="49" fontId="76" fillId="40" borderId="15" xfId="0" applyFont="1" applyFill="1" applyBorder="1" applyNumberFormat="1">
      <alignment horizontal="center" vertical="center"/>
    </xf>
    <xf numFmtId="49" fontId="49" fillId="40" borderId="16" xfId="0" applyFont="1" applyFill="1" applyBorder="1" applyNumberFormat="1">
      <alignment horizontal="left" vertical="center" indent="2"/>
    </xf>
    <xf numFmtId="49" fontId="76" fillId="40" borderId="16" xfId="0" applyFont="1" applyFill="1" applyBorder="1" applyNumberFormat="1">
      <alignment horizontal="left" vertical="center"/>
    </xf>
    <xf numFmtId="49" fontId="0" fillId="40" borderId="16" xfId="0" applyFont="1" applyFill="1" applyBorder="1" applyNumberFormat="1">
      <alignment horizontal="center" vertical="center" wrapText="1"/>
    </xf>
    <xf numFmtId="49" fontId="23" fillId="0" borderId="0" xfId="0" applyFont="1" applyNumberFormat="1">
      <alignment vertical="top"/>
    </xf>
    <xf numFmtId="49" fontId="49" fillId="40" borderId="16" xfId="0" applyFont="1" applyFill="1" applyBorder="1" applyNumberFormat="1">
      <alignment horizontal="left" vertical="center" indent="3"/>
    </xf>
    <xf numFmtId="49" fontId="23" fillId="40" borderId="31" xfId="0" applyFont="1" applyFill="1" applyBorder="1" applyNumberFormat="1">
      <alignment horizontal="center" vertical="center" wrapText="1"/>
    </xf>
    <xf numFmtId="49" fontId="23" fillId="0" borderId="0" xfId="0" applyFont="1" applyNumberFormat="1">
      <alignment vertical="center"/>
    </xf>
    <xf numFmtId="49" fontId="41" fillId="0" borderId="0" xfId="0" applyFont="1" applyNumberFormat="1">
      <alignment vertical="top"/>
    </xf>
    <xf numFmtId="0" fontId="23" fillId="0" borderId="0" xfId="0" applyFont="1">
      <alignment vertical="top" wrapText="1"/>
    </xf>
    <xf numFmtId="0" fontId="56" fillId="0" borderId="0" xfId="0" applyFont="1">
      <alignment vertical="top" wrapText="1"/>
    </xf>
    <xf numFmtId="0" fontId="23" fillId="0" borderId="0" xfId="0" applyFont="1">
      <alignment vertical="top" wrapText="1"/>
    </xf>
    <xf numFmtId="49" fontId="0" fillId="0" borderId="0" xfId="0" applyFont="1" applyNumberFormat="1">
      <alignment vertical="center" wrapText="1"/>
    </xf>
    <xf numFmtId="49" fontId="55" fillId="0" borderId="0" xfId="0" applyFont="1" applyNumberFormat="1">
      <alignment vertical="top"/>
    </xf>
    <xf numFmtId="49" fontId="128" fillId="0" borderId="0" xfId="0" applyFont="1" applyNumberFormat="1">
      <alignment horizontal="center" vertical="center" wrapText="1"/>
    </xf>
    <xf numFmtId="0" fontId="132" fillId="41" borderId="13" xfId="0" applyFont="1" applyFill="1" applyBorder="1">
      <alignment horizontal="left" vertical="center" wrapText="1" indent="1"/>
      <protection locked="0"/>
    </xf>
    <xf numFmtId="0" fontId="132" fillId="0" borderId="13" xfId="0" applyFont="1" applyBorder="1">
      <alignment horizontal="left" vertical="center" wrapText="1" indent="1"/>
    </xf>
    <xf numFmtId="0" fontId="132" fillId="41" borderId="13" xfId="0" applyFont="1" applyFill="1" applyBorder="1">
      <alignment horizontal="left" vertical="center" wrapText="1"/>
      <protection locked="0"/>
    </xf>
    <xf numFmtId="0" fontId="132" fillId="0" borderId="13" xfId="0" applyFont="1" applyBorder="1">
      <alignment horizontal="left" vertical="center" wrapText="1" indent="2"/>
    </xf>
    <xf numFmtId="49" fontId="23" fillId="42" borderId="13" xfId="0" applyFont="1" applyFill="1" applyBorder="1" applyNumberFormat="1">
      <alignment horizontal="left" vertical="center" wrapText="1"/>
    </xf>
    <xf numFmtId="0" fontId="0" fillId="0" borderId="13" xfId="0" applyFont="1" applyBorder="1">
      <alignment horizontal="left" vertical="center" wrapText="1"/>
    </xf>
    <xf numFmtId="0" fontId="23" fillId="0" borderId="13" xfId="0" applyFont="1" applyBorder="1">
      <alignment vertical="top" wrapText="1"/>
    </xf>
    <xf numFmtId="250" fontId="0" fillId="41" borderId="13" xfId="0" applyFont="1" applyFill="1" applyBorder="1" applyNumberFormat="1">
      <alignment horizontal="left" vertical="center" wrapText="1"/>
      <protection locked="0"/>
    </xf>
    <xf numFmtId="0" fontId="23" fillId="0" borderId="13" xfId="0" applyFont="1" applyBorder="1">
      <alignment horizontal="left" vertical="top" wrapText="1"/>
    </xf>
    <xf numFmtId="0" fontId="0" fillId="0" borderId="13" xfId="0" applyFont="1" applyBorder="1">
      <alignment horizontal="left" vertical="center" wrapText="1"/>
    </xf>
    <xf numFmtId="0" fontId="23" fillId="0" borderId="13" xfId="0" applyFont="1" applyBorder="1">
      <alignment horizontal="left" vertical="center" wrapText="1"/>
    </xf>
    <xf numFmtId="0" fontId="0" fillId="0" borderId="13" xfId="0" applyFont="1" applyBorder="1">
      <alignment horizontal="left" vertical="center" wrapText="1"/>
    </xf>
    <xf numFmtId="0" fontId="23" fillId="0" borderId="13" xfId="0" applyFont="1" applyBorder="1">
      <alignment vertical="top" wrapText="1"/>
    </xf>
    <xf numFmtId="49" fontId="49" fillId="40" borderId="16" xfId="0" applyFont="1" applyFill="1" applyBorder="1" applyNumberFormat="1">
      <alignment horizontal="left" vertical="center" indent="2"/>
    </xf>
    <xf numFmtId="0" fontId="0" fillId="0" borderId="13" xfId="0" applyFont="1" applyBorder="1">
      <alignment horizontal="left" vertical="center" wrapText="1" indent="1"/>
    </xf>
    <xf numFmtId="49" fontId="49" fillId="40" borderId="16" xfId="0" applyFont="1" applyFill="1" applyBorder="1" applyNumberFormat="1">
      <alignment horizontal="left" vertical="center" indent="3"/>
    </xf>
    <xf numFmtId="0" fontId="23" fillId="0" borderId="13" xfId="0" applyFont="1" applyBorder="1">
      <alignment horizontal="left" vertical="top" wrapText="1"/>
    </xf>
    <xf numFmtId="49" fontId="23" fillId="42" borderId="13" xfId="0" applyFont="1" applyFill="1" applyBorder="1" applyNumberFormat="1">
      <alignment horizontal="left" vertical="center" wrapText="1"/>
    </xf>
    <xf numFmtId="49" fontId="23" fillId="0" borderId="0" xfId="0" applyFont="1" applyNumberFormat="1">
      <alignment vertical="top"/>
    </xf>
    <xf numFmtId="49" fontId="56" fillId="0" borderId="0" xfId="0" applyFont="1" applyNumberFormat="1">
      <alignment vertical="top"/>
    </xf>
    <xf numFmtId="0" fontId="23" fillId="0" borderId="0" xfId="0" applyFont="1">
      <alignment horizontal="right" vertical="top" wrapText="1"/>
    </xf>
    <xf numFmtId="49" fontId="23" fillId="0" borderId="0" xfId="0" applyFont="1" applyNumberFormat="1">
      <alignment vertical="top"/>
    </xf>
    <xf numFmtId="49" fontId="132" fillId="41" borderId="13" xfId="0" applyFont="1" applyFill="1" applyBorder="1" applyNumberFormat="1">
      <alignment horizontal="left" vertical="center" wrapText="1" indent="1"/>
      <protection locked="0"/>
    </xf>
    <xf numFmtId="0" fontId="23" fillId="0" borderId="0" xfId="0" applyFont="1">
      <alignment vertical="center" wrapText="1"/>
    </xf>
    <xf numFmtId="0" fontId="70" fillId="0" borderId="0" xfId="0" applyFont="1">
      <alignment vertical="center" wrapText="1"/>
    </xf>
    <xf numFmtId="0" fontId="23" fillId="36" borderId="13" xfId="0" applyFont="1" applyFill="1" applyBorder="1">
      <alignment horizontal="center" vertical="center" wrapText="1"/>
    </xf>
    <xf numFmtId="0" fontId="0" fillId="0" borderId="13" xfId="0" applyFont="1" applyBorder="1">
      <alignment horizontal="left" vertical="center" wrapText="1"/>
    </xf>
    <xf numFmtId="0" fontId="46" fillId="36" borderId="0" xfId="0" applyFont="1" applyFill="1">
      <alignment horizontal="center" vertical="center" wrapText="1"/>
    </xf>
    <xf numFmtId="49" fontId="49" fillId="40" borderId="16" xfId="0" applyFont="1" applyFill="1" applyBorder="1" applyNumberFormat="1">
      <alignment horizontal="left" vertical="center"/>
    </xf>
    <xf numFmtId="0" fontId="23" fillId="0" borderId="20" xfId="0" applyFont="1" applyBorder="1">
      <alignment vertical="center" wrapText="1"/>
    </xf>
    <xf numFmtId="49" fontId="49" fillId="0" borderId="20" xfId="0" applyFont="1" applyBorder="1" applyNumberFormat="1">
      <alignment horizontal="left" vertical="center"/>
    </xf>
    <xf numFmtId="49" fontId="49" fillId="0" borderId="20" xfId="0" applyFont="1" applyBorder="1" applyNumberFormat="1">
      <alignment horizontal="left" vertical="center" indent="2"/>
    </xf>
    <xf numFmtId="49" fontId="53" fillId="0" borderId="20" xfId="0" applyFont="1" applyBorder="1" applyNumberFormat="1">
      <alignment horizontal="center" vertical="top"/>
    </xf>
    <xf numFmtId="0" fontId="23" fillId="0" borderId="20" xfId="0" applyFont="1" applyBorder="1">
      <alignment horizontal="left" vertical="top" wrapText="1"/>
    </xf>
    <xf numFmtId="0" fontId="23" fillId="0" borderId="0" xfId="0" applyFont="1">
      <alignment horizontal="left" vertical="top" wrapText="1"/>
    </xf>
    <xf numFmtId="49" fontId="23" fillId="0" borderId="0" xfId="0" applyFont="1" applyNumberFormat="1">
      <alignment vertical="center" wrapText="1"/>
    </xf>
    <xf numFmtId="0" fontId="55" fillId="0" borderId="0" xfId="0" applyFont="1">
      <alignment horizontal="center" vertical="center" wrapText="1"/>
    </xf>
    <xf numFmtId="49" fontId="23" fillId="0" borderId="0" xfId="0" applyFont="1" applyNumberFormat="1">
      <alignment horizontal="center" vertical="center" wrapText="1"/>
    </xf>
    <xf numFmtId="49" fontId="23" fillId="0" borderId="0" xfId="0" applyFont="1" applyNumberFormat="1">
      <alignment horizontal="left" vertical="center" wrapText="1"/>
    </xf>
    <xf numFmtId="4" fontId="23" fillId="0" borderId="0" xfId="0" applyFont="1" applyNumberFormat="1">
      <alignment horizontal="right" vertical="center" wrapText="1"/>
    </xf>
    <xf numFmtId="0" fontId="89" fillId="0" borderId="0" xfId="0" applyFont="1">
      <alignment vertical="center" wrapText="1"/>
    </xf>
    <xf numFmtId="0" fontId="89" fillId="0" borderId="0" xfId="0" applyFont="1">
      <alignment vertical="center" wrapText="1"/>
    </xf>
    <xf numFmtId="0" fontId="23" fillId="0" borderId="15" xfId="0" applyFont="1" applyBorder="1">
      <alignment vertical="center" wrapText="1"/>
    </xf>
    <xf numFmtId="0" fontId="23" fillId="0" borderId="16" xfId="0" applyFont="1" applyBorder="1">
      <alignment horizontal="right" vertical="center" wrapText="1" indent="1"/>
    </xf>
    <xf numFmtId="0" fontId="23" fillId="0" borderId="14" xfId="0" applyFont="1" applyBorder="1">
      <alignment horizontal="right" vertical="center" wrapText="1" indent="1"/>
    </xf>
    <xf numFmtId="0" fontId="23" fillId="38" borderId="15" xfId="0" applyFont="1" applyFill="1" applyBorder="1">
      <alignment horizontal="left" vertical="top" wrapText="1" indent="1"/>
    </xf>
    <xf numFmtId="0" fontId="23" fillId="38" borderId="14" xfId="0" applyFont="1" applyFill="1" applyBorder="1">
      <alignment horizontal="left" vertical="top" wrapText="1" indent="1"/>
    </xf>
    <xf numFmtId="0" fontId="23" fillId="0" borderId="37" xfId="0" applyFont="1" applyBorder="1">
      <alignment horizontal="center" vertical="center" wrapText="1"/>
    </xf>
    <xf numFmtId="0" fontId="23" fillId="0" borderId="15" xfId="0" applyFont="1" applyBorder="1">
      <alignment horizontal="right" vertical="center" wrapText="1"/>
    </xf>
    <xf numFmtId="0" fontId="23" fillId="0" borderId="16" xfId="0" applyFont="1" applyBorder="1">
      <alignment horizontal="right" vertical="center" wrapText="1"/>
    </xf>
    <xf numFmtId="0" fontId="23" fillId="0" borderId="16" xfId="0" applyFont="1" applyBorder="1">
      <alignment horizontal="right" vertical="center" wrapText="1" indent="1"/>
    </xf>
    <xf numFmtId="0" fontId="23" fillId="0" borderId="13" xfId="0" applyFont="1" applyBorder="1">
      <alignment horizontal="center" vertical="center" wrapText="1"/>
    </xf>
    <xf numFmtId="0" fontId="23" fillId="0" borderId="13" xfId="0" applyFont="1" applyBorder="1">
      <alignment horizontal="center" vertical="center" wrapText="1"/>
    </xf>
    <xf numFmtId="0" fontId="23" fillId="0" borderId="15" xfId="0" applyFont="1" applyBorder="1">
      <alignment horizontal="center" vertical="center" wrapText="1"/>
    </xf>
    <xf numFmtId="0" fontId="45" fillId="0" borderId="0" xfId="0" applyFont="1">
      <alignment horizontal="center" vertical="center" wrapText="1"/>
    </xf>
    <xf numFmtId="0" fontId="23" fillId="0" borderId="13" xfId="0" applyFont="1" applyBorder="1">
      <alignment horizontal="center" vertical="center" wrapText="1"/>
    </xf>
    <xf numFmtId="0" fontId="23" fillId="0" borderId="13" xfId="0" applyFont="1" applyBorder="1">
      <alignment horizontal="left" vertical="center" wrapText="1"/>
    </xf>
    <xf numFmtId="3" fontId="23" fillId="0" borderId="15" xfId="0" applyFont="1" applyBorder="1" applyNumberFormat="1">
      <alignment vertical="center" wrapText="1"/>
    </xf>
    <xf numFmtId="0" fontId="23" fillId="0" borderId="13" xfId="0" applyFont="1" applyBorder="1">
      <alignment horizontal="left" vertical="center" wrapText="1"/>
    </xf>
    <xf numFmtId="0" fontId="23" fillId="0" borderId="13" xfId="0" applyFont="1" applyBorder="1">
      <alignment horizontal="center" vertical="center" wrapText="1"/>
    </xf>
    <xf numFmtId="0" fontId="23" fillId="0" borderId="18" xfId="0" applyFont="1" applyBorder="1">
      <alignment horizontal="center" vertical="center" wrapText="1"/>
    </xf>
    <xf numFmtId="0" fontId="23" fillId="0" borderId="18" xfId="0" applyFont="1" applyBorder="1">
      <alignment horizontal="center" vertical="center" wrapText="1"/>
    </xf>
    <xf numFmtId="49" fontId="23" fillId="0" borderId="13" xfId="0" applyFont="1" applyBorder="1" applyNumberFormat="1">
      <alignment horizontal="center" vertical="center" wrapText="1"/>
    </xf>
    <xf numFmtId="0" fontId="23" fillId="0" borderId="13" xfId="0" applyFont="1" applyBorder="1">
      <alignment horizontal="left" vertical="center" wrapText="1" indent="1"/>
    </xf>
    <xf numFmtId="3" fontId="23" fillId="33" borderId="15" xfId="0" applyFont="1" applyFill="1" applyBorder="1" applyNumberFormat="1">
      <alignment horizontal="right" vertical="center" wrapText="1"/>
      <protection locked="0"/>
    </xf>
    <xf numFmtId="49" fontId="23" fillId="33" borderId="13" xfId="0" applyFont="1" applyFill="1" applyBorder="1" applyNumberFormat="1">
      <alignment horizontal="left" vertical="center" wrapText="1"/>
      <protection locked="0"/>
    </xf>
    <xf numFmtId="49" fontId="29" fillId="33" borderId="13" xfId="0" applyFont="1" applyFill="1" applyBorder="1" applyNumberFormat="1">
      <alignment horizontal="left" vertical="center" wrapText="1"/>
      <protection locked="0"/>
    </xf>
    <xf numFmtId="0" fontId="23" fillId="0" borderId="14" xfId="0" applyFont="1" applyBorder="1">
      <alignment vertical="center" wrapText="1"/>
    </xf>
    <xf numFmtId="4" fontId="23" fillId="33" borderId="15" xfId="0" applyFont="1" applyFill="1" applyBorder="1" applyNumberFormat="1">
      <alignment horizontal="right" vertical="center" wrapText="1"/>
      <protection locked="0"/>
    </xf>
    <xf numFmtId="4" fontId="23" fillId="0" borderId="15" xfId="0" applyFont="1" applyBorder="1" applyNumberFormat="1">
      <alignment horizontal="right" vertical="center" wrapText="1"/>
    </xf>
    <xf numFmtId="4" fontId="23" fillId="0" borderId="28" xfId="0" applyFont="1" applyBorder="1" applyNumberFormat="1">
      <alignment horizontal="right" vertical="center" wrapText="1"/>
    </xf>
    <xf numFmtId="0" fontId="29" fillId="0" borderId="0" xfId="0" applyFont="1">
      <alignment vertical="center" wrapText="1"/>
    </xf>
    <xf numFmtId="0" fontId="45" fillId="0" borderId="0" xfId="0" applyFont="1">
      <alignment horizontal="center" vertical="center" wrapText="1"/>
    </xf>
    <xf numFmtId="49" fontId="23" fillId="41" borderId="13" xfId="0" applyFont="1" applyFill="1" applyBorder="1" applyNumberFormat="1">
      <alignment horizontal="left" vertical="center" wrapText="1"/>
      <protection locked="0"/>
    </xf>
    <xf numFmtId="0" fontId="23" fillId="0" borderId="13" xfId="0" applyFont="1" applyBorder="1">
      <alignment horizontal="center" vertical="center" wrapText="1"/>
    </xf>
    <xf numFmtId="0" fontId="23" fillId="0" borderId="20" xfId="0" applyFont="1" applyBorder="1">
      <alignment horizontal="left" vertical="center" wrapText="1" indent="1"/>
    </xf>
    <xf numFmtId="0" fontId="23" fillId="0" borderId="29" xfId="0" applyFont="1" applyBorder="1">
      <alignment horizontal="left" vertical="center" wrapText="1" indent="1"/>
    </xf>
    <xf numFmtId="0" fontId="23" fillId="0" borderId="0" xfId="0" applyFont="1">
      <alignment horizontal="left" vertical="center" wrapText="1"/>
    </xf>
    <xf numFmtId="0" fontId="23" fillId="38" borderId="15" xfId="0" applyFont="1" applyFill="1" applyBorder="1">
      <alignment horizontal="left" vertical="top" wrapText="1" indent="1"/>
    </xf>
    <xf numFmtId="0" fontId="23" fillId="0" borderId="13" xfId="0" applyFont="1" applyBorder="1">
      <alignment horizontal="center" vertical="center" wrapText="1"/>
    </xf>
    <xf numFmtId="0" fontId="23" fillId="0" borderId="13" xfId="0" applyFont="1" applyBorder="1">
      <alignment horizontal="center" vertical="center" wrapText="1"/>
    </xf>
    <xf numFmtId="0" fontId="23" fillId="0" borderId="15" xfId="0" applyFont="1" applyBorder="1">
      <alignment horizontal="center" vertical="center" wrapText="1"/>
    </xf>
    <xf numFmtId="3" fontId="23" fillId="41" borderId="15" xfId="0" applyFont="1" applyFill="1" applyBorder="1" applyNumberFormat="1">
      <alignment vertical="center" wrapText="1"/>
      <protection locked="0"/>
    </xf>
    <xf numFmtId="49" fontId="23" fillId="33" borderId="15" xfId="0" applyFont="1" applyFill="1" applyBorder="1" applyNumberFormat="1">
      <alignment horizontal="left" vertical="center" wrapText="1"/>
      <protection locked="0"/>
    </xf>
    <xf numFmtId="0" fontId="23" fillId="0" borderId="13" xfId="0" applyFont="1" applyBorder="1">
      <alignment horizontal="left" vertical="top" wrapText="1"/>
    </xf>
    <xf numFmtId="4" fontId="23" fillId="38" borderId="15" xfId="0" applyFont="1" applyFill="1" applyBorder="1" applyNumberFormat="1">
      <alignment horizontal="right" vertical="center" wrapText="1"/>
    </xf>
    <xf numFmtId="0" fontId="55" fillId="0" borderId="13" xfId="0" applyFont="1" applyBorder="1">
      <alignment vertical="top" wrapText="1"/>
    </xf>
    <xf numFmtId="49" fontId="23" fillId="41" borderId="13" xfId="0" applyFont="1" applyFill="1" applyBorder="1" applyNumberFormat="1">
      <alignment horizontal="left" vertical="center" wrapText="1" indent="1"/>
      <protection locked="0"/>
    </xf>
    <xf numFmtId="0" fontId="23" fillId="0" borderId="18" xfId="0" applyFont="1" applyBorder="1">
      <alignment horizontal="left" vertical="top" wrapText="1"/>
    </xf>
    <xf numFmtId="0" fontId="23" fillId="0" borderId="24" xfId="0" applyFont="1" applyBorder="1">
      <alignment horizontal="left" vertical="top" wrapText="1"/>
    </xf>
    <xf numFmtId="49" fontId="23" fillId="0" borderId="0" xfId="0" applyFont="1" applyNumberFormat="1">
      <alignment vertical="center" wrapText="1"/>
    </xf>
    <xf numFmtId="0" fontId="46" fillId="0" borderId="25" xfId="0" applyFont="1" applyBorder="1">
      <alignment horizontal="center" vertical="center" wrapText="1"/>
    </xf>
    <xf numFmtId="0" fontId="0" fillId="0" borderId="15" xfId="0" applyFont="1" applyBorder="1">
      <alignment horizontal="center" vertical="center"/>
    </xf>
    <xf numFmtId="49" fontId="0" fillId="0" borderId="13" xfId="0" applyFont="1" applyBorder="1" applyNumberFormat="1">
      <alignment horizontal="left" vertical="center" wrapText="1" indent="1"/>
    </xf>
    <xf numFmtId="0" fontId="23" fillId="0" borderId="14" xfId="0" applyFont="1" applyBorder="1">
      <alignment horizontal="center" vertical="center" wrapText="1"/>
    </xf>
    <xf numFmtId="49" fontId="29" fillId="33" borderId="13" xfId="0" applyFont="1" applyFill="1" applyBorder="1" applyNumberFormat="1">
      <alignment horizontal="left" vertical="center" wrapText="1"/>
      <protection locked="0"/>
    </xf>
    <xf numFmtId="250" fontId="0" fillId="33" borderId="13" xfId="0" applyFont="1" applyFill="1" applyBorder="1" applyNumberFormat="1">
      <alignment horizontal="left" vertical="center" wrapText="1" indent="1"/>
      <protection locked="0"/>
    </xf>
    <xf numFmtId="49" fontId="23" fillId="41" borderId="15" xfId="0" applyFont="1" applyFill="1" applyBorder="1" applyNumberFormat="1">
      <alignment horizontal="left" vertical="center" wrapText="1"/>
      <protection locked="0"/>
    </xf>
    <xf numFmtId="0" fontId="23" fillId="0" borderId="25" xfId="0" applyFont="1" applyBorder="1">
      <alignment horizontal="center" vertical="center" wrapText="1"/>
    </xf>
    <xf numFmtId="0" fontId="23" fillId="0" borderId="14" xfId="0" applyFont="1" applyBorder="1">
      <alignment horizontal="right" vertical="center" wrapText="1" indent="1"/>
    </xf>
    <xf numFmtId="0" fontId="23" fillId="0" borderId="15" xfId="0" applyFont="1" applyBorder="1">
      <alignment horizontal="center" vertical="center" wrapText="1"/>
    </xf>
    <xf numFmtId="49" fontId="0" fillId="0" borderId="15" xfId="0" applyFont="1" applyBorder="1" applyNumberFormat="1">
      <alignment horizontal="center" vertical="center"/>
    </xf>
    <xf numFmtId="49" fontId="0" fillId="0" borderId="13" xfId="0" applyFont="1" applyBorder="1" applyNumberFormat="1">
      <alignment vertical="center" wrapText="1"/>
    </xf>
    <xf numFmtId="0" fontId="23" fillId="0" borderId="14" xfId="0" applyFont="1" applyBorder="1">
      <alignment horizontal="center" vertical="center" wrapText="1"/>
    </xf>
    <xf numFmtId="0" fontId="55" fillId="40" borderId="14" xfId="0" applyFont="1" applyFill="1" applyBorder="1">
      <alignment vertical="center" wrapText="1"/>
    </xf>
    <xf numFmtId="0" fontId="23" fillId="0" borderId="14" xfId="0" applyFont="1" applyBorder="1">
      <alignment horizontal="center" vertical="center" wrapText="1"/>
    </xf>
    <xf numFmtId="0" fontId="23" fillId="40" borderId="20" xfId="0" applyFont="1" applyFill="1" applyBorder="1">
      <alignment vertical="center" wrapText="1"/>
    </xf>
    <xf numFmtId="0" fontId="23" fillId="0" borderId="16" xfId="0" applyFont="1" applyBorder="1">
      <alignment horizontal="center" vertical="center" wrapText="1"/>
    </xf>
    <xf numFmtId="49" fontId="23" fillId="42" borderId="13" xfId="0" applyFont="1" applyFill="1" applyBorder="1" applyNumberFormat="1">
      <alignment horizontal="center" vertical="center" wrapText="1"/>
    </xf>
    <xf numFmtId="49" fontId="23" fillId="42" borderId="13" xfId="0" applyFont="1" applyFill="1" applyBorder="1" applyNumberFormat="1">
      <alignment horizontal="center" vertical="center" wrapText="1"/>
    </xf>
    <xf numFmtId="0" fontId="23" fillId="0" borderId="13" xfId="0" applyFont="1" applyBorder="1">
      <alignment horizontal="center" vertical="center" wrapText="1"/>
    </xf>
    <xf numFmtId="0" fontId="23" fillId="40" borderId="29" xfId="0" applyFont="1" applyFill="1" applyBorder="1">
      <alignment vertical="center" wrapText="1"/>
    </xf>
    <xf numFmtId="0" fontId="23" fillId="0" borderId="0" xfId="0" applyFont="1">
      <alignment horizontal="left" vertical="center" wrapText="1" indent="1"/>
    </xf>
    <xf numFmtId="0" fontId="22" fillId="0" borderId="0" xfId="0" applyFont="1">
      <alignment vertical="center" wrapText="1"/>
    </xf>
    <xf numFmtId="0" fontId="0" fillId="36" borderId="15" xfId="0" applyFont="1" applyFill="1" applyBorder="1">
      <alignment horizontal="right" vertical="center" wrapText="1" indent="1"/>
    </xf>
    <xf numFmtId="0" fontId="78" fillId="0" borderId="0" xfId="0" applyFont="1">
      <alignment vertical="center" wrapText="1"/>
    </xf>
    <xf numFmtId="0" fontId="0" fillId="0" borderId="18" xfId="0" applyFont="1" applyBorder="1">
      <alignment horizontal="center" vertical="center" wrapText="1"/>
    </xf>
    <xf numFmtId="0" fontId="23" fillId="36" borderId="15" xfId="0" applyFont="1" applyFill="1" applyBorder="1">
      <alignment horizontal="center" vertical="center" wrapText="1"/>
    </xf>
    <xf numFmtId="0" fontId="23" fillId="36" borderId="16" xfId="0" applyFont="1" applyFill="1" applyBorder="1">
      <alignment horizontal="center" vertical="center" wrapText="1"/>
    </xf>
    <xf numFmtId="0" fontId="23" fillId="36" borderId="14" xfId="0" applyFont="1" applyFill="1" applyBorder="1">
      <alignment horizontal="center" vertical="center" wrapText="1"/>
    </xf>
    <xf numFmtId="0" fontId="0" fillId="0" borderId="24" xfId="0" applyFont="1" applyBorder="1">
      <alignment horizontal="center" vertical="center" wrapText="1"/>
    </xf>
    <xf numFmtId="0" fontId="0" fillId="0" borderId="15" xfId="0" applyFont="1" applyBorder="1">
      <alignment horizontal="center" vertical="center" wrapText="1"/>
    </xf>
    <xf numFmtId="0" fontId="0" fillId="0" borderId="14" xfId="0" applyFont="1" applyBorder="1">
      <alignment horizontal="center" vertical="center" wrapText="1"/>
    </xf>
    <xf numFmtId="49" fontId="45" fillId="36" borderId="0" xfId="0" applyFont="1" applyFill="1" applyNumberFormat="1">
      <alignment horizontal="center" vertical="center" wrapText="1"/>
    </xf>
    <xf numFmtId="49" fontId="45" fillId="36" borderId="16" xfId="0" applyFont="1" applyFill="1" applyBorder="1" applyNumberFormat="1">
      <alignment horizontal="center" vertical="center" wrapText="1"/>
    </xf>
    <xf numFmtId="49" fontId="0" fillId="36" borderId="15" xfId="0" applyFont="1" applyFill="1" applyBorder="1" applyNumberFormat="1">
      <alignment horizontal="center" vertical="center" wrapText="1"/>
    </xf>
    <xf numFmtId="49" fontId="0" fillId="36" borderId="18" xfId="0" applyFont="1" applyFill="1" applyBorder="1" applyNumberFormat="1">
      <alignment horizontal="center" vertical="center" wrapText="1"/>
    </xf>
    <xf numFmtId="0" fontId="0" fillId="0" borderId="37" xfId="0" applyFont="1" applyBorder="1">
      <alignment horizontal="left" vertical="center" wrapText="1"/>
    </xf>
    <xf numFmtId="0" fontId="0" fillId="0" borderId="37" xfId="0" applyFont="1" applyBorder="1">
      <alignment horizontal="left" vertical="center" wrapText="1"/>
    </xf>
    <xf numFmtId="0" fontId="0" fillId="0" borderId="24" xfId="0" applyFont="1" applyBorder="1">
      <alignment horizontal="left" vertical="center" wrapText="1"/>
    </xf>
    <xf numFmtId="0" fontId="23" fillId="0" borderId="24" xfId="0" applyFont="1" applyBorder="1">
      <alignment horizontal="left" vertical="center" wrapText="1"/>
    </xf>
    <xf numFmtId="0" fontId="48" fillId="36" borderId="25" xfId="0" applyFont="1" applyFill="1" applyBorder="1">
      <alignment horizontal="center" vertical="top" wrapText="1"/>
    </xf>
    <xf numFmtId="49" fontId="0" fillId="36" borderId="13" xfId="0" applyFont="1" applyFill="1" applyBorder="1" applyNumberFormat="1">
      <alignment horizontal="center" vertical="center" wrapText="1"/>
    </xf>
    <xf numFmtId="0" fontId="132" fillId="38" borderId="13" xfId="0" applyFont="1" applyFill="1" applyBorder="1">
      <alignment horizontal="left" vertical="center" wrapText="1" indent="1"/>
    </xf>
    <xf numFmtId="0" fontId="0" fillId="38" borderId="13" xfId="0" applyFont="1" applyFill="1" applyBorder="1">
      <alignment horizontal="left" vertical="center" wrapText="1" indent="1"/>
    </xf>
    <xf numFmtId="250" fontId="0" fillId="41" borderId="14" xfId="0" applyFont="1" applyFill="1" applyBorder="1" applyNumberFormat="1">
      <alignment horizontal="left" vertical="center" wrapText="1"/>
      <protection locked="0"/>
    </xf>
    <xf numFmtId="0" fontId="23" fillId="40" borderId="28" xfId="0" applyFont="1" applyFill="1" applyBorder="1">
      <alignment vertical="center" wrapText="1"/>
    </xf>
    <xf numFmtId="49" fontId="49" fillId="40" borderId="29" xfId="0" applyFont="1" applyFill="1" applyBorder="1" applyNumberFormat="1">
      <alignment horizontal="left" vertical="center" indent="1"/>
    </xf>
    <xf numFmtId="49" fontId="49" fillId="40" borderId="29" xfId="0" applyFont="1" applyFill="1" applyBorder="1" applyNumberFormat="1">
      <alignment horizontal="left" vertical="center" indent="2"/>
    </xf>
    <xf numFmtId="0" fontId="23" fillId="0" borderId="13" xfId="0" applyFont="1" applyBorder="1">
      <alignment vertical="top" wrapText="1"/>
    </xf>
    <xf numFmtId="4" fontId="132" fillId="41" borderId="13" xfId="0" applyFont="1" applyFill="1" applyBorder="1" applyNumberFormat="1">
      <alignment horizontal="right" vertical="center" wrapText="1"/>
      <protection locked="0"/>
    </xf>
    <xf numFmtId="49" fontId="0" fillId="36" borderId="18" xfId="0" applyFont="1" applyFill="1" applyBorder="1" applyNumberFormat="1">
      <alignment horizontal="center" vertical="center" wrapText="1"/>
    </xf>
    <xf numFmtId="49" fontId="0" fillId="36" borderId="24" xfId="0" applyFont="1" applyFill="1" applyBorder="1" applyNumberFormat="1">
      <alignment horizontal="center" vertical="center" wrapText="1"/>
    </xf>
    <xf numFmtId="49" fontId="23" fillId="0" borderId="20" xfId="0" applyFont="1" applyBorder="1" applyNumberFormat="1">
      <alignment vertical="top"/>
    </xf>
    <xf numFmtId="0" fontId="22" fillId="0" borderId="0" xfId="0" applyFont="1">
      <alignment horizontal="right" vertical="top" wrapText="1"/>
    </xf>
    <xf numFmtId="0" fontId="23" fillId="36" borderId="13" xfId="0" applyFont="1" applyFill="1" applyBorder="1">
      <alignment horizontal="left" vertical="center" wrapText="1"/>
    </xf>
    <xf numFmtId="0" fontId="23" fillId="0" borderId="0" xfId="0" applyFont="1">
      <alignment horizontal="center" vertical="center" wrapText="1"/>
    </xf>
    <xf numFmtId="0" fontId="56" fillId="0" borderId="0" xfId="0" applyFont="1">
      <alignment horizontal="center" vertical="center" wrapText="1"/>
    </xf>
    <xf numFmtId="0" fontId="23" fillId="33" borderId="15" xfId="0" applyFont="1" applyFill="1" applyBorder="1">
      <alignment horizontal="left" vertical="center" wrapText="1"/>
      <protection locked="0"/>
    </xf>
    <xf numFmtId="0" fontId="23" fillId="33" borderId="16" xfId="0" applyFont="1" applyFill="1" applyBorder="1">
      <alignment horizontal="left" vertical="center" wrapText="1"/>
      <protection locked="0"/>
    </xf>
    <xf numFmtId="0" fontId="23" fillId="33" borderId="14" xfId="0" applyFont="1" applyFill="1" applyBorder="1">
      <alignment horizontal="left" vertical="center" wrapText="1"/>
      <protection locked="0"/>
    </xf>
    <xf numFmtId="49" fontId="23" fillId="33" borderId="15" xfId="0" applyFont="1" applyFill="1" applyBorder="1" applyNumberFormat="1">
      <alignment horizontal="left" vertical="center" wrapText="1"/>
      <protection locked="0"/>
    </xf>
    <xf numFmtId="49" fontId="23" fillId="33" borderId="16" xfId="0" applyFont="1" applyFill="1" applyBorder="1" applyNumberFormat="1">
      <alignment horizontal="left" vertical="center" wrapText="1"/>
      <protection locked="0"/>
    </xf>
    <xf numFmtId="49" fontId="23" fillId="33" borderId="14" xfId="0" applyFont="1" applyFill="1" applyBorder="1" applyNumberFormat="1">
      <alignment horizontal="left" vertical="center" wrapText="1"/>
      <protection locked="0"/>
    </xf>
    <xf numFmtId="49" fontId="23" fillId="33" borderId="13" xfId="0" applyFont="1" applyFill="1" applyBorder="1" applyNumberFormat="1">
      <alignment horizontal="left" vertical="center" wrapText="1" indent="6"/>
      <protection locked="0"/>
    </xf>
    <xf numFmtId="4" fontId="129" fillId="0" borderId="38" xfId="0" applyFont="1" applyBorder="1" applyNumberFormat="1">
      <alignment horizontal="right" vertical="center" wrapText="1"/>
    </xf>
    <xf numFmtId="0" fontId="54" fillId="0" borderId="13" xfId="0" applyFont="1" applyBorder="1">
      <alignment horizontal="left" vertical="top" wrapText="1"/>
    </xf>
    <xf numFmtId="49" fontId="23" fillId="0" borderId="13" xfId="0" applyFont="1" applyBorder="1" applyNumberFormat="1">
      <alignment horizontal="left" vertical="center" wrapText="1"/>
    </xf>
    <xf numFmtId="4" fontId="129" fillId="0" borderId="28" xfId="0" applyFont="1" applyBorder="1" applyNumberFormat="1">
      <alignment horizontal="right" vertical="center" wrapText="1"/>
    </xf>
    <xf numFmtId="49" fontId="0" fillId="40" borderId="31" xfId="0" applyFont="1" applyFill="1" applyBorder="1" applyNumberFormat="1">
      <alignment horizontal="center" vertical="center" wrapText="1"/>
    </xf>
    <xf numFmtId="0" fontId="56" fillId="0" borderId="0" xfId="0" applyFont="1">
      <alignment horizontal="center" vertical="center"/>
    </xf>
    <xf numFmtId="0" fontId="55" fillId="0" borderId="0" xfId="0" applyFont="1">
      <alignment horizontal="center" vertical="center" wrapText="1"/>
    </xf>
    <xf numFmtId="0" fontId="117" fillId="0" borderId="0" xfId="0" applyFont="1">
      <alignment vertical="center" wrapText="1"/>
    </xf>
    <xf numFmtId="0" fontId="23" fillId="0" borderId="0" xfId="0" applyFont="1">
      <alignment horizontal="right" vertical="center" wrapText="1"/>
    </xf>
    <xf numFmtId="0" fontId="23" fillId="0" borderId="18" xfId="0" applyFont="1" applyBorder="1">
      <alignment horizontal="center" vertical="center" wrapText="1"/>
    </xf>
    <xf numFmtId="0" fontId="0" fillId="0" borderId="13" xfId="0" applyFont="1" applyBorder="1">
      <alignment horizontal="center" vertical="center" wrapText="1"/>
    </xf>
    <xf numFmtId="0" fontId="86" fillId="36" borderId="20" xfId="0" applyFont="1" applyFill="1" applyBorder="1">
      <alignment horizontal="center" vertical="center" wrapText="1"/>
    </xf>
    <xf numFmtId="0" fontId="23" fillId="36" borderId="13" xfId="0" applyFont="1" applyFill="1" applyBorder="1">
      <alignment horizontal="left" vertical="center" wrapText="1"/>
    </xf>
    <xf numFmtId="0" fontId="23" fillId="0" borderId="0" xfId="0" applyFont="1">
      <alignment horizontal="center" vertical="center" wrapText="1"/>
    </xf>
    <xf numFmtId="0" fontId="56" fillId="0" borderId="0" xfId="0" applyFont="1">
      <alignment horizontal="center" vertical="center" wrapText="1"/>
    </xf>
    <xf numFmtId="49" fontId="23" fillId="0" borderId="13" xfId="0" applyFont="1" applyBorder="1" applyNumberFormat="1">
      <alignment horizontal="left" vertical="center" wrapText="1"/>
    </xf>
    <xf numFmtId="49" fontId="23" fillId="0" borderId="0" xfId="0" applyFont="1" applyNumberFormat="1">
      <alignment vertical="center" wrapText="1"/>
    </xf>
    <xf numFmtId="0" fontId="23" fillId="36" borderId="13" xfId="0" applyFont="1" applyFill="1" applyBorder="1">
      <alignment horizontal="left" vertical="center" wrapText="1"/>
    </xf>
    <xf numFmtId="0" fontId="23" fillId="0" borderId="0" xfId="0" applyFont="1">
      <alignment horizontal="center" vertical="center" wrapText="1"/>
    </xf>
    <xf numFmtId="0" fontId="56" fillId="0" borderId="0" xfId="0" applyFont="1">
      <alignment horizontal="center" vertical="center" wrapText="1"/>
    </xf>
    <xf numFmtId="49" fontId="23" fillId="0" borderId="13" xfId="0" applyFont="1" applyBorder="1" applyNumberFormat="1">
      <alignment horizontal="left" vertical="center" wrapText="1"/>
    </xf>
    <xf numFmtId="0" fontId="56" fillId="0" borderId="0" xfId="0" applyFont="1">
      <alignment horizontal="center" vertical="center"/>
    </xf>
    <xf numFmtId="0" fontId="55" fillId="0" borderId="0" xfId="0" applyFont="1">
      <alignment horizontal="center" vertical="center" wrapText="1"/>
    </xf>
    <xf numFmtId="0" fontId="23" fillId="0" borderId="0" xfId="0" applyFont="1">
      <alignment horizontal="right" vertical="center" wrapText="1"/>
    </xf>
    <xf numFmtId="0" fontId="23" fillId="0" borderId="18" xfId="0" applyFont="1" applyBorder="1">
      <alignment horizontal="center" vertical="center" wrapText="1"/>
    </xf>
    <xf numFmtId="0" fontId="0" fillId="0" borderId="13" xfId="0" applyFont="1" applyBorder="1">
      <alignment horizontal="center" vertical="center" wrapText="1"/>
    </xf>
    <xf numFmtId="0" fontId="86" fillId="36" borderId="20" xfId="0" applyFont="1" applyFill="1" applyBorder="1">
      <alignment horizontal="center" vertical="center" wrapText="1"/>
    </xf>
    <xf numFmtId="49" fontId="23" fillId="0" borderId="0" xfId="0" applyFont="1" applyNumberFormat="1">
      <alignment vertical="center" wrapText="1"/>
    </xf>
    <xf numFmtId="0" fontId="23" fillId="36" borderId="13" xfId="0" applyFont="1" applyFill="1" applyBorder="1">
      <alignment horizontal="left" vertical="center" wrapText="1"/>
    </xf>
    <xf numFmtId="0" fontId="118" fillId="0" borderId="0" xfId="0" applyFont="1">
      <alignment vertical="center" wrapText="1"/>
    </xf>
    <xf numFmtId="0" fontId="118" fillId="36" borderId="0" xfId="0" applyFont="1" applyFill="1">
      <alignment horizontal="center" vertical="center" wrapText="1"/>
    </xf>
    <xf numFmtId="0" fontId="56" fillId="36" borderId="13" xfId="0" applyFont="1" applyFill="1" applyBorder="1">
      <alignment horizontal="left" vertical="center" wrapText="1" indent="3"/>
    </xf>
    <xf numFmtId="0" fontId="56" fillId="0" borderId="0" xfId="0" applyFont="1">
      <alignment horizontal="center" vertical="center" wrapText="1"/>
    </xf>
    <xf numFmtId="49" fontId="23" fillId="33" borderId="18" xfId="0" applyFont="1" applyFill="1" applyBorder="1" applyNumberFormat="1">
      <alignment horizontal="left" vertical="center" wrapText="1" indent="6"/>
      <protection locked="0"/>
    </xf>
    <xf numFmtId="4" fontId="23" fillId="41" borderId="13" xfId="0" applyFont="1" applyFill="1" applyBorder="1" applyNumberFormat="1">
      <alignment horizontal="left" vertical="center" wrapText="1" indent="1"/>
      <protection locked="0"/>
    </xf>
    <xf numFmtId="49" fontId="23" fillId="42" borderId="13" xfId="0" applyFont="1" applyFill="1" applyBorder="1" applyNumberFormat="1">
      <alignment horizontal="left" vertical="center" wrapText="1" indent="1"/>
      <protection locked="0"/>
    </xf>
    <xf numFmtId="0" fontId="23" fillId="0" borderId="38" xfId="0" applyFont="1" applyBorder="1">
      <alignment horizontal="center" vertical="center" wrapText="1"/>
    </xf>
    <xf numFmtId="4" fontId="23" fillId="41" borderId="13" xfId="0" applyFont="1" applyFill="1" applyBorder="1" applyNumberFormat="1">
      <alignment horizontal="center" vertical="center" wrapText="1"/>
      <protection locked="0"/>
    </xf>
    <xf numFmtId="49" fontId="23" fillId="42" borderId="21" xfId="0" applyFont="1" applyFill="1" applyBorder="1" applyNumberFormat="1">
      <alignment horizontal="center" vertical="center" wrapText="1"/>
    </xf>
    <xf numFmtId="49" fontId="23" fillId="36" borderId="13" xfId="0" applyFont="1" applyFill="1" applyBorder="1" applyNumberFormat="1">
      <alignment horizontal="center" vertical="center" wrapText="1"/>
    </xf>
    <xf numFmtId="49" fontId="23" fillId="41" borderId="13" xfId="0" applyFont="1" applyFill="1" applyBorder="1" applyNumberFormat="1">
      <alignment horizontal="left" vertical="center" wrapText="1" indent="1"/>
      <protection locked="0"/>
    </xf>
    <xf numFmtId="49" fontId="23" fillId="33" borderId="37" xfId="0" applyFont="1" applyFill="1" applyBorder="1" applyNumberFormat="1">
      <alignment horizontal="left" vertical="center" wrapText="1" indent="6"/>
      <protection locked="0"/>
    </xf>
    <xf numFmtId="0" fontId="23" fillId="0" borderId="28" xfId="0" applyFont="1" applyBorder="1">
      <alignment horizontal="center" vertical="center" wrapText="1"/>
    </xf>
    <xf numFmtId="49" fontId="23" fillId="42" borderId="31" xfId="0" applyFont="1" applyFill="1" applyBorder="1" applyNumberFormat="1">
      <alignment horizontal="center" vertical="center" wrapText="1"/>
    </xf>
    <xf numFmtId="49" fontId="49" fillId="40" borderId="29" xfId="0" applyFont="1" applyFill="1" applyBorder="1" applyNumberFormat="1">
      <alignment horizontal="left" vertical="center"/>
    </xf>
    <xf numFmtId="49" fontId="23" fillId="33" borderId="24" xfId="0" applyFont="1" applyFill="1" applyBorder="1" applyNumberFormat="1">
      <alignment horizontal="left" vertical="center" wrapText="1" indent="6"/>
      <protection locked="0"/>
    </xf>
    <xf numFmtId="0" fontId="56" fillId="0" borderId="0" xfId="0" applyFont="1">
      <alignment horizontal="center" vertical="center"/>
    </xf>
    <xf numFmtId="0" fontId="56" fillId="0" borderId="0" xfId="0" applyFont="1">
      <alignment horizontal="left" vertical="center" wrapText="1" indent="1"/>
    </xf>
    <xf numFmtId="0" fontId="23" fillId="36" borderId="13" xfId="0" applyFont="1" applyFill="1" applyBorder="1">
      <alignment horizontal="center" vertical="center" wrapText="1"/>
    </xf>
    <xf numFmtId="0" fontId="56" fillId="0" borderId="20" xfId="0" applyFont="1" applyBorder="1">
      <alignment horizontal="left" vertical="center" wrapText="1"/>
    </xf>
    <xf numFmtId="0" fontId="23" fillId="0" borderId="0" xfId="0" applyFont="1">
      <alignment horizontal="left" vertical="top" wrapText="1"/>
    </xf>
    <xf numFmtId="0" fontId="55" fillId="0" borderId="0" xfId="0" applyFont="1">
      <alignment horizontal="center" vertical="center" wrapText="1"/>
    </xf>
    <xf numFmtId="49" fontId="23" fillId="0" borderId="0" xfId="0" applyFont="1" applyNumberFormat="1">
      <alignment horizontal="center" vertical="center" wrapText="1"/>
    </xf>
    <xf numFmtId="0" fontId="23" fillId="0" borderId="30" xfId="0" applyFont="1" applyBorder="1">
      <alignment horizontal="center" vertical="center" wrapText="1"/>
    </xf>
    <xf numFmtId="0" fontId="23" fillId="41" borderId="13" xfId="0" applyFont="1" applyFill="1" applyBorder="1">
      <alignment horizontal="left" vertical="center" wrapText="1" indent="2"/>
      <protection locked="0"/>
    </xf>
    <xf numFmtId="0" fontId="23" fillId="0" borderId="13" xfId="0" applyFont="1" applyBorder="1">
      <alignment horizontal="center" vertical="center" wrapText="1"/>
    </xf>
    <xf numFmtId="0" fontId="90" fillId="0" borderId="0" xfId="0" applyFont="1">
      <alignment vertical="center" wrapText="1"/>
    </xf>
    <xf numFmtId="0" fontId="56" fillId="0" borderId="30" xfId="0" applyFont="1" applyBorder="1">
      <alignment horizontal="center" vertical="center" wrapText="1"/>
    </xf>
    <xf numFmtId="0" fontId="56" fillId="0" borderId="13" xfId="0" applyFont="1" applyBorder="1">
      <alignment horizontal="left" vertical="center" wrapText="1" indent="2"/>
    </xf>
    <xf numFmtId="0" fontId="56" fillId="0" borderId="13" xfId="0" applyFont="1" applyBorder="1">
      <alignment horizontal="center" vertical="center" wrapText="1"/>
    </xf>
    <xf numFmtId="0" fontId="56" fillId="0" borderId="13" xfId="0" applyFont="1" applyBorder="1">
      <alignment vertical="center" wrapText="1"/>
    </xf>
    <xf numFmtId="0" fontId="23" fillId="0" borderId="13" xfId="0" applyFont="1" applyBorder="1">
      <alignment horizontal="left" vertical="center" wrapText="1" indent="3"/>
    </xf>
    <xf numFmtId="49" fontId="23" fillId="41" borderId="13" xfId="0" applyFont="1" applyFill="1" applyBorder="1" applyNumberFormat="1">
      <alignment horizontal="center" vertical="center" wrapText="1"/>
      <protection locked="0"/>
    </xf>
    <xf numFmtId="4" fontId="23" fillId="33" borderId="13" xfId="0" applyFont="1" applyFill="1" applyBorder="1" applyNumberFormat="1">
      <alignment horizontal="right" vertical="center" wrapText="1"/>
      <protection locked="0"/>
    </xf>
    <xf numFmtId="0" fontId="23" fillId="33" borderId="13" xfId="0" applyFont="1" applyFill="1" applyBorder="1">
      <alignment horizontal="left" vertical="center" wrapText="1"/>
      <protection locked="0"/>
    </xf>
    <xf numFmtId="49" fontId="97" fillId="0" borderId="0" xfId="0" applyFont="1" applyNumberFormat="1">
      <alignment horizontal="center" vertical="center" wrapText="1"/>
    </xf>
    <xf numFmtId="49" fontId="23" fillId="0" borderId="0" xfId="0" applyFont="1" applyNumberFormat="1">
      <alignment horizontal="center" vertical="top" wrapText="1"/>
    </xf>
    <xf numFmtId="0" fontId="23" fillId="0" borderId="13" xfId="0" applyFont="1" applyBorder="1">
      <alignment horizontal="center" vertical="center" wrapText="1"/>
    </xf>
    <xf numFmtId="0" fontId="23" fillId="0" borderId="14" xfId="0" applyFont="1" applyBorder="1">
      <alignment vertical="top" wrapText="1"/>
    </xf>
    <xf numFmtId="0" fontId="60" fillId="0" borderId="0" xfId="0" applyFont="1">
      <alignment vertical="center" wrapText="1"/>
    </xf>
    <xf numFmtId="0" fontId="23" fillId="0" borderId="14" xfId="0" applyFont="1" applyBorder="1">
      <alignment horizontal="center" vertical="center" wrapText="1"/>
    </xf>
    <xf numFmtId="248" fontId="23" fillId="33" borderId="13" xfId="0" applyFont="1" applyFill="1" applyBorder="1" applyNumberFormat="1">
      <alignment horizontal="right" vertical="center" wrapText="1"/>
      <protection locked="0"/>
    </xf>
    <xf numFmtId="0" fontId="23" fillId="0" borderId="21" xfId="0" applyFont="1" applyBorder="1">
      <alignment vertical="center" wrapText="1"/>
    </xf>
    <xf numFmtId="0" fontId="22" fillId="0" borderId="0" xfId="0" applyFont="1">
      <alignment vertical="center" wrapText="1"/>
    </xf>
    <xf numFmtId="0" fontId="23" fillId="0" borderId="0" xfId="0" applyFont="1">
      <alignment horizontal="left" vertical="center" wrapText="1" indent="3"/>
    </xf>
    <xf numFmtId="0" fontId="56" fillId="0" borderId="0" xfId="0" applyFont="1">
      <alignment vertical="center" wrapText="1"/>
    </xf>
    <xf numFmtId="0" fontId="103" fillId="36" borderId="0" xfId="0" applyFont="1" applyFill="1">
      <alignment horizontal="right" vertical="center"/>
    </xf>
    <xf numFmtId="0" fontId="23" fillId="38" borderId="15" xfId="0" applyFont="1" applyFill="1" applyBorder="1">
      <alignment horizontal="left" vertical="top" wrapText="1"/>
    </xf>
    <xf numFmtId="0" fontId="23" fillId="0" borderId="16" xfId="0" applyFont="1" applyBorder="1">
      <alignment horizontal="right" vertical="center" wrapText="1" indent="1"/>
    </xf>
    <xf numFmtId="0" fontId="23" fillId="0" borderId="13" xfId="0" applyFont="1" applyBorder="1">
      <alignment horizontal="center" vertical="center" wrapText="1"/>
    </xf>
    <xf numFmtId="0" fontId="23" fillId="0" borderId="13" xfId="0" applyFont="1" applyBorder="1">
      <alignment horizontal="left" vertical="center" wrapText="1"/>
    </xf>
    <xf numFmtId="4" fontId="23" fillId="41" borderId="13" xfId="0" applyFont="1" applyFill="1" applyBorder="1" applyNumberFormat="1">
      <alignment horizontal="right" vertical="center" wrapText="1"/>
      <protection locked="0"/>
    </xf>
    <xf numFmtId="0" fontId="23" fillId="0" borderId="13" xfId="0" applyFont="1" applyBorder="1">
      <alignment horizontal="left" vertical="center" wrapText="1" indent="1"/>
    </xf>
    <xf numFmtId="49" fontId="97" fillId="47" borderId="0" xfId="0" applyFont="1" applyFill="1" applyNumberFormat="1">
      <alignment horizontal="center" vertical="center" textRotation="90" wrapText="1"/>
    </xf>
    <xf numFmtId="0" fontId="79" fillId="0" borderId="0" xfId="0" applyFont="1">
      <alignment vertical="center" wrapText="1"/>
    </xf>
    <xf numFmtId="0" fontId="79" fillId="0" borderId="0" xfId="0" applyFont="1">
      <alignment horizontal="center" vertical="center" wrapText="1"/>
    </xf>
    <xf numFmtId="49" fontId="79" fillId="0" borderId="0" xfId="0" applyFont="1" applyNumberFormat="1">
      <alignment horizontal="center" vertical="center" wrapText="1"/>
    </xf>
    <xf numFmtId="49" fontId="79" fillId="0" borderId="30" xfId="0" applyFont="1" applyBorder="1" applyNumberFormat="1">
      <alignment horizontal="center" vertical="center" wrapText="1"/>
    </xf>
    <xf numFmtId="0" fontId="79" fillId="0" borderId="13" xfId="0" applyFont="1" applyBorder="1">
      <alignment horizontal="left" vertical="center" wrapText="1" indent="2"/>
    </xf>
    <xf numFmtId="0" fontId="79" fillId="0" borderId="13" xfId="0" applyFont="1" applyBorder="1">
      <alignment horizontal="center" vertical="center" wrapText="1"/>
    </xf>
    <xf numFmtId="0" fontId="79" fillId="0" borderId="13" xfId="0" applyFont="1" applyBorder="1">
      <alignment vertical="center" wrapText="1"/>
    </xf>
    <xf numFmtId="0" fontId="91" fillId="0" borderId="0" xfId="0" applyFont="1">
      <alignment vertical="center" wrapText="1"/>
    </xf>
    <xf numFmtId="0" fontId="69" fillId="0" borderId="0" xfId="0" applyFont="1">
      <alignment vertical="center" wrapText="1"/>
    </xf>
    <xf numFmtId="0" fontId="79" fillId="0" borderId="30" xfId="0" applyFont="1" applyBorder="1">
      <alignment horizontal="center" vertical="center" wrapText="1"/>
    </xf>
    <xf numFmtId="0" fontId="79" fillId="0" borderId="13" xfId="0" applyFont="1" applyBorder="1">
      <alignment horizontal="left" vertical="center" wrapText="1" indent="3"/>
    </xf>
    <xf numFmtId="4" fontId="79" fillId="0" borderId="13" xfId="0" applyFont="1" applyBorder="1" applyNumberFormat="1">
      <alignment horizontal="right" vertical="center" wrapText="1"/>
    </xf>
    <xf numFmtId="0" fontId="46" fillId="0" borderId="0" xfId="0" applyFont="1">
      <alignment horizontal="center" vertical="center" wrapText="1"/>
    </xf>
    <xf numFmtId="49" fontId="23" fillId="40" borderId="15" xfId="0" applyFont="1" applyFill="1" applyBorder="1" applyNumberFormat="1">
      <alignment vertical="center" wrapText="1"/>
    </xf>
    <xf numFmtId="0" fontId="23" fillId="0" borderId="13" xfId="0" applyFont="1" applyBorder="1">
      <alignment horizontal="left" vertical="center" wrapText="1" indent="2"/>
    </xf>
    <xf numFmtId="14" fontId="23" fillId="0" borderId="0" xfId="0" applyFont="1" applyNumberFormat="1">
      <alignment horizontal="center" vertical="center" wrapText="1"/>
    </xf>
    <xf numFmtId="49" fontId="97" fillId="47" borderId="0" xfId="0" applyFont="1" applyFill="1" applyNumberFormat="1">
      <alignment horizontal="center" vertical="center" wrapText="1"/>
    </xf>
    <xf numFmtId="49" fontId="35" fillId="0" borderId="0" xfId="0" applyFont="1" applyNumberFormat="1">
      <alignment horizontal="center" vertical="center"/>
    </xf>
    <xf numFmtId="248" fontId="23" fillId="41" borderId="13" xfId="0" applyFont="1" applyFill="1" applyBorder="1" applyNumberFormat="1">
      <alignment horizontal="right" vertical="center" wrapText="1"/>
      <protection locked="0"/>
    </xf>
    <xf numFmtId="49" fontId="97" fillId="0" borderId="0" xfId="0" applyFont="1" applyNumberFormat="1">
      <alignment horizontal="left" vertical="center" wrapText="1"/>
    </xf>
    <xf numFmtId="0" fontId="56" fillId="0" borderId="0" xfId="0" applyFont="1">
      <alignment horizontal="left" vertical="center" wrapText="1"/>
    </xf>
    <xf numFmtId="0" fontId="60" fillId="0" borderId="0" xfId="0" applyFont="1">
      <alignment horizontal="left" vertical="center" wrapText="1"/>
    </xf>
    <xf numFmtId="0" fontId="41" fillId="0" borderId="0" xfId="0" applyFont="1">
      <alignment horizontal="left" vertical="center" wrapText="1"/>
    </xf>
    <xf numFmtId="49" fontId="23" fillId="42" borderId="13" xfId="0" applyFont="1" applyFill="1" applyBorder="1" applyNumberFormat="1">
      <alignment horizontal="left" vertical="center" wrapText="1"/>
    </xf>
    <xf numFmtId="0" fontId="23" fillId="0" borderId="18" xfId="0" applyFont="1" applyBorder="1">
      <alignment horizontal="center" vertical="center" wrapText="1"/>
    </xf>
    <xf numFmtId="4" fontId="23" fillId="38" borderId="18" xfId="0" applyFont="1" applyFill="1" applyBorder="1" applyNumberFormat="1">
      <alignment horizontal="right" vertical="center" wrapText="1"/>
    </xf>
    <xf numFmtId="0" fontId="56" fillId="0" borderId="13" xfId="0" applyFont="1" applyBorder="1">
      <alignment horizontal="left" vertical="center" wrapText="1" indent="3"/>
    </xf>
    <xf numFmtId="49" fontId="56" fillId="0" borderId="13" xfId="0" applyFont="1" applyBorder="1" applyNumberFormat="1">
      <alignment vertical="center" wrapText="1"/>
    </xf>
    <xf numFmtId="0" fontId="56" fillId="0" borderId="18" xfId="0" applyFont="1" applyBorder="1">
      <alignment vertical="top" wrapText="1"/>
    </xf>
    <xf numFmtId="4" fontId="23" fillId="41" borderId="14" xfId="0" applyFont="1" applyFill="1" applyBorder="1" applyNumberFormat="1">
      <alignment horizontal="right" vertical="center" wrapText="1"/>
      <protection locked="0"/>
    </xf>
    <xf numFmtId="49" fontId="29" fillId="33" borderId="14" xfId="0" applyFont="1" applyFill="1" applyBorder="1" applyNumberFormat="1">
      <alignment horizontal="left" vertical="center" wrapText="1"/>
      <protection locked="0"/>
    </xf>
    <xf numFmtId="0" fontId="55" fillId="0" borderId="0" xfId="0" applyFont="1">
      <alignment vertical="center" wrapText="1"/>
    </xf>
    <xf numFmtId="0" fontId="56" fillId="0" borderId="0" xfId="0" applyFont="1">
      <alignment vertical="center" wrapText="1"/>
    </xf>
    <xf numFmtId="49" fontId="23" fillId="0" borderId="0" xfId="0" applyFont="1" applyNumberFormat="1">
      <alignment horizontal="center" vertical="center" wrapText="1"/>
    </xf>
    <xf numFmtId="0" fontId="23" fillId="0" borderId="13" xfId="0" applyFont="1" applyBorder="1">
      <alignment horizontal="center" vertical="center" wrapText="1"/>
    </xf>
    <xf numFmtId="248" fontId="23" fillId="41" borderId="14" xfId="0" applyFont="1" applyFill="1" applyBorder="1" applyNumberFormat="1">
      <alignment horizontal="right" vertical="center" wrapText="1"/>
      <protection locked="0"/>
    </xf>
    <xf numFmtId="0" fontId="90" fillId="0" borderId="0" xfId="0" applyFont="1">
      <alignment vertical="center" wrapText="1"/>
    </xf>
    <xf numFmtId="0" fontId="60" fillId="0" borderId="0" xfId="0" applyFont="1">
      <alignment vertical="center" wrapText="1"/>
    </xf>
    <xf numFmtId="0" fontId="41" fillId="0" borderId="0" xfId="0" applyFont="1">
      <alignment vertical="center" wrapText="1"/>
    </xf>
    <xf numFmtId="49" fontId="35" fillId="0" borderId="0" xfId="0" applyFont="1" applyNumberFormat="1">
      <alignment horizontal="center" vertical="center"/>
    </xf>
    <xf numFmtId="0" fontId="23" fillId="0" borderId="0" xfId="0" applyFont="1">
      <alignment vertical="center" wrapText="1"/>
    </xf>
    <xf numFmtId="248" fontId="23" fillId="38" borderId="14" xfId="0" applyFont="1" applyFill="1" applyBorder="1" applyNumberFormat="1">
      <alignment horizontal="right" vertical="center" wrapText="1"/>
    </xf>
    <xf numFmtId="248" fontId="23" fillId="38" borderId="13" xfId="0" applyFont="1" applyFill="1" applyBorder="1" applyNumberFormat="1">
      <alignment horizontal="right" vertical="center" wrapText="1"/>
    </xf>
    <xf numFmtId="49" fontId="97" fillId="47" borderId="0" xfId="0" applyFont="1" applyFill="1" applyNumberFormat="1">
      <alignment horizontal="center" vertical="center" textRotation="90" wrapText="1"/>
    </xf>
    <xf numFmtId="0" fontId="23" fillId="41" borderId="13" xfId="0" applyFont="1" applyFill="1" applyBorder="1">
      <alignment horizontal="center" vertical="center" wrapText="1"/>
      <protection locked="0"/>
    </xf>
    <xf numFmtId="4" fontId="23" fillId="41" borderId="31" xfId="0" applyFont="1" applyFill="1" applyBorder="1" applyNumberFormat="1">
      <alignment horizontal="right" vertical="center" wrapText="1"/>
      <protection locked="0"/>
    </xf>
    <xf numFmtId="4" fontId="23" fillId="41" borderId="24" xfId="0" applyFont="1" applyFill="1" applyBorder="1" applyNumberFormat="1">
      <alignment horizontal="right" vertical="center" wrapText="1"/>
      <protection locked="0"/>
    </xf>
    <xf numFmtId="0" fontId="56" fillId="0" borderId="37" xfId="0" applyFont="1" applyBorder="1">
      <alignment horizontal="left" vertical="center" wrapText="1" indent="1"/>
    </xf>
    <xf numFmtId="0" fontId="56" fillId="0" borderId="37" xfId="0" applyFont="1" applyBorder="1">
      <alignment horizontal="center" vertical="center" wrapText="1"/>
    </xf>
    <xf numFmtId="0" fontId="56" fillId="0" borderId="18" xfId="0" applyFont="1" applyBorder="1">
      <alignment vertical="center" wrapText="1"/>
    </xf>
    <xf numFmtId="49" fontId="23" fillId="40" borderId="38" xfId="0" applyFont="1" applyFill="1" applyBorder="1" applyNumberFormat="1">
      <alignment vertical="center" wrapText="1"/>
    </xf>
    <xf numFmtId="49" fontId="49" fillId="40" borderId="20" xfId="0" applyFont="1" applyFill="1" applyBorder="1" applyNumberFormat="1">
      <alignment horizontal="left" vertical="center" indent="1"/>
    </xf>
    <xf numFmtId="0" fontId="23" fillId="0" borderId="24" xfId="0" applyFont="1" applyBorder="1">
      <alignment vertical="top" wrapText="1"/>
    </xf>
    <xf numFmtId="0" fontId="23" fillId="0" borderId="14" xfId="0" applyFont="1" applyBorder="1">
      <alignment horizontal="center" vertical="center" wrapText="1"/>
    </xf>
    <xf numFmtId="0" fontId="23" fillId="0" borderId="21" xfId="0" applyFont="1" applyBorder="1">
      <alignment horizontal="center" vertical="center" wrapText="1"/>
    </xf>
    <xf numFmtId="248" fontId="23" fillId="41" borderId="18" xfId="0" applyFont="1" applyFill="1" applyBorder="1" applyNumberFormat="1">
      <alignment horizontal="right" vertical="center" wrapText="1"/>
      <protection locked="0"/>
    </xf>
    <xf numFmtId="0" fontId="56" fillId="0" borderId="24" xfId="0" applyFont="1" applyBorder="1">
      <alignment horizontal="left" vertical="center" wrapText="1" indent="1"/>
    </xf>
    <xf numFmtId="0" fontId="56" fillId="0" borderId="18" xfId="0" applyFont="1" applyBorder="1">
      <alignment horizontal="center" vertical="center" wrapText="1"/>
    </xf>
    <xf numFmtId="0" fontId="46" fillId="0" borderId="0" xfId="0" applyFont="1">
      <alignment horizontal="center" vertical="center" wrapText="1"/>
    </xf>
    <xf numFmtId="49" fontId="23" fillId="40" borderId="38" xfId="0" applyFont="1" applyFill="1" applyBorder="1" applyNumberFormat="1">
      <alignment vertical="center" wrapText="1"/>
    </xf>
    <xf numFmtId="49" fontId="49" fillId="40" borderId="20" xfId="0" applyFont="1" applyFill="1" applyBorder="1" applyNumberFormat="1">
      <alignment horizontal="left" vertical="center" indent="1"/>
    </xf>
    <xf numFmtId="0" fontId="23" fillId="40" borderId="16" xfId="0" applyFont="1" applyFill="1" applyBorder="1">
      <alignment vertical="center" wrapText="1"/>
    </xf>
    <xf numFmtId="0" fontId="55" fillId="40" borderId="14" xfId="0" applyFont="1" applyFill="1" applyBorder="1">
      <alignment vertical="center" wrapText="1"/>
    </xf>
    <xf numFmtId="0" fontId="23" fillId="0" borderId="24" xfId="0" applyFont="1" applyBorder="1">
      <alignment vertical="top" wrapText="1"/>
    </xf>
    <xf numFmtId="0" fontId="56" fillId="0" borderId="18" xfId="0" applyFont="1" applyBorder="1">
      <alignment horizontal="left" vertical="center" wrapText="1" indent="1"/>
    </xf>
    <xf numFmtId="0" fontId="23" fillId="0" borderId="0" xfId="0" applyFont="1">
      <alignment horizontal="left" vertical="top" wrapText="1"/>
    </xf>
    <xf numFmtId="0" fontId="60" fillId="0" borderId="0" xfId="0" applyFont="1">
      <alignment vertical="center"/>
    </xf>
    <xf numFmtId="0" fontId="97" fillId="0" borderId="0" xfId="0" applyFont="1">
      <alignment vertical="center" wrapText="1"/>
    </xf>
    <xf numFmtId="0" fontId="23" fillId="0" borderId="0" xfId="0" applyFont="1">
      <alignment vertical="center" wrapText="1"/>
    </xf>
    <xf numFmtId="0" fontId="23" fillId="0" borderId="20" xfId="0" applyFont="1" applyBorder="1">
      <alignment vertical="center" wrapText="1"/>
    </xf>
    <xf numFmtId="0" fontId="23" fillId="0" borderId="20" xfId="0" applyFont="1" applyBorder="1">
      <alignment horizontal="left" vertical="center" wrapText="1" indent="1"/>
    </xf>
    <xf numFmtId="0" fontId="23" fillId="0" borderId="0" xfId="0" applyFont="1">
      <alignment horizontal="center" vertical="center" wrapText="1"/>
    </xf>
    <xf numFmtId="49" fontId="41" fillId="0" borderId="0" xfId="0" applyFont="1" applyNumberFormat="1">
      <alignment horizontal="center" vertical="center" wrapText="1"/>
    </xf>
    <xf numFmtId="0" fontId="23" fillId="0" borderId="29" xfId="0" applyFont="1" applyBorder="1">
      <alignment vertical="center" wrapText="1"/>
    </xf>
    <xf numFmtId="0" fontId="23" fillId="0" borderId="29" xfId="0" applyFont="1" applyBorder="1">
      <alignment horizontal="left" vertical="center" wrapText="1" indent="1"/>
    </xf>
    <xf numFmtId="0" fontId="56" fillId="0" borderId="0" xfId="0" applyFont="1">
      <alignment vertical="center" wrapText="1"/>
    </xf>
    <xf numFmtId="0" fontId="41" fillId="0" borderId="0" xfId="0" applyFont="1">
      <alignment vertical="center" wrapText="1"/>
    </xf>
    <xf numFmtId="0" fontId="35" fillId="0" borderId="0" xfId="0" applyFont="1">
      <alignment horizontal="center" vertical="center" wrapText="1"/>
    </xf>
    <xf numFmtId="49" fontId="69" fillId="0" borderId="0" xfId="0" applyFont="1" applyNumberFormat="1">
      <alignment horizontal="center" vertical="center" wrapText="1"/>
    </xf>
    <xf numFmtId="0" fontId="79" fillId="0" borderId="0" xfId="0" applyFont="1">
      <alignment horizontal="center" vertical="center" wrapText="1"/>
    </xf>
    <xf numFmtId="0" fontId="106" fillId="0" borderId="0" xfId="0" applyFont="1">
      <alignment horizontal="center" vertical="center" wrapText="1"/>
    </xf>
    <xf numFmtId="0" fontId="107" fillId="36" borderId="0" xfId="0" applyFont="1" applyFill="1">
      <alignment horizontal="right" vertical="center"/>
    </xf>
    <xf numFmtId="0" fontId="69" fillId="0" borderId="0" xfId="0" applyFont="1">
      <alignment vertical="center" wrapText="1"/>
    </xf>
    <xf numFmtId="49" fontId="56" fillId="0" borderId="0" xfId="0" applyFont="1" applyNumberFormat="1">
      <alignment horizontal="center" vertical="center" wrapText="1"/>
    </xf>
    <xf numFmtId="49" fontId="56" fillId="0" borderId="0" xfId="0" applyFont="1" applyNumberFormat="1">
      <alignment horizontal="center" vertical="center" wrapText="1"/>
    </xf>
    <xf numFmtId="49" fontId="41" fillId="0" borderId="0" xfId="0" applyFont="1" applyNumberFormat="1">
      <alignment horizontal="center" vertical="center" wrapText="1"/>
    </xf>
    <xf numFmtId="9" fontId="35" fillId="0" borderId="0" xfId="0" applyFont="1" applyNumberFormat="1">
      <alignment horizontal="center" vertical="center" wrapText="1"/>
    </xf>
    <xf numFmtId="0" fontId="78" fillId="0" borderId="0" xfId="0" applyFont="1">
      <alignment vertical="center" wrapText="1"/>
    </xf>
    <xf numFmtId="0" fontId="56" fillId="0" borderId="0" xfId="0" applyFont="1">
      <alignment vertical="center" wrapText="1"/>
    </xf>
    <xf numFmtId="0" fontId="41" fillId="0" borderId="0" xfId="0" applyFont="1">
      <alignment vertical="center" wrapText="1"/>
    </xf>
    <xf numFmtId="49" fontId="56" fillId="0" borderId="18" xfId="0" applyFont="1" applyBorder="1" applyNumberFormat="1">
      <alignment horizontal="center" vertical="center" wrapText="1"/>
    </xf>
    <xf numFmtId="49" fontId="56" fillId="0" borderId="37" xfId="0" applyFont="1" applyBorder="1" applyNumberFormat="1">
      <alignment horizontal="center" vertical="center" wrapText="1"/>
    </xf>
    <xf numFmtId="0" fontId="56" fillId="0" borderId="0" xfId="0" applyFont="1">
      <alignment horizontal="center" vertical="center" wrapText="1"/>
    </xf>
    <xf numFmtId="0" fontId="23" fillId="0" borderId="24" xfId="0" applyFont="1" applyBorder="1">
      <alignment horizontal="left" vertical="center" wrapText="1"/>
    </xf>
    <xf numFmtId="0" fontId="23" fillId="0" borderId="13" xfId="0" applyFont="1" applyBorder="1">
      <alignment horizontal="left" vertical="center" wrapText="1"/>
    </xf>
    <xf numFmtId="0" fontId="55" fillId="0" borderId="0" xfId="0" applyFont="1">
      <alignment horizontal="center" vertical="top"/>
    </xf>
    <xf numFmtId="0" fontId="56" fillId="0" borderId="0" xfId="0" applyFont="1">
      <alignment horizontal="center" vertical="center" wrapText="1"/>
    </xf>
    <xf numFmtId="49" fontId="56" fillId="0" borderId="24" xfId="0" applyFont="1" applyBorder="1" applyNumberFormat="1">
      <alignment horizontal="center" vertical="center" wrapText="1"/>
    </xf>
    <xf numFmtId="49" fontId="49" fillId="0" borderId="20" xfId="0" applyFont="1" applyBorder="1" applyNumberFormat="1">
      <alignment horizontal="right" vertical="center"/>
    </xf>
    <xf numFmtId="0" fontId="23" fillId="0" borderId="0" xfId="0" applyFont="1">
      <alignment horizontal="right" vertical="center" wrapText="1"/>
    </xf>
    <xf numFmtId="0" fontId="0" fillId="0" borderId="0" xfId="0" applyFont="1">
      <alignment vertical="center"/>
    </xf>
    <xf numFmtId="0" fontId="54" fillId="0" borderId="0" xfId="0" applyFont="1">
      <alignment horizontal="right" vertical="top" wrapText="1"/>
    </xf>
    <xf numFmtId="0" fontId="54" fillId="0" borderId="0" xfId="0" applyFont="1">
      <alignment horizontal="left" vertical="top" wrapText="1"/>
    </xf>
    <xf numFmtId="0" fontId="23" fillId="0" borderId="13" xfId="0" applyFont="1" applyBorder="1">
      <alignment horizontal="center" vertical="center" wrapText="1"/>
    </xf>
    <xf numFmtId="0" fontId="23" fillId="0" borderId="13" xfId="0" applyFont="1" applyBorder="1">
      <alignment horizontal="center" vertical="center" wrapText="1"/>
    </xf>
    <xf numFmtId="0" fontId="23" fillId="38" borderId="15" xfId="0" applyFont="1" applyFill="1" applyBorder="1">
      <alignment horizontal="left" vertical="top" wrapText="1"/>
    </xf>
    <xf numFmtId="0" fontId="56" fillId="0" borderId="15" xfId="0" applyFont="1" applyBorder="1">
      <alignment vertical="center" wrapText="1"/>
    </xf>
    <xf numFmtId="0" fontId="56" fillId="0" borderId="16" xfId="0" applyFont="1" applyBorder="1">
      <alignment horizontal="right" vertical="center" wrapText="1" indent="1"/>
    </xf>
    <xf numFmtId="0" fontId="56" fillId="0" borderId="14" xfId="0" applyFont="1" applyBorder="1">
      <alignment horizontal="right" vertical="center" wrapText="1" indent="1"/>
    </xf>
    <xf numFmtId="0" fontId="56" fillId="0" borderId="15" xfId="0" applyFont="1" applyBorder="1">
      <alignment horizontal="left" vertical="top" wrapText="1"/>
    </xf>
    <xf numFmtId="0" fontId="23" fillId="0" borderId="16" xfId="0" applyFont="1" applyBorder="1">
      <alignment horizontal="right" vertical="center" wrapText="1" indent="1"/>
    </xf>
    <xf numFmtId="0" fontId="23" fillId="0" borderId="13" xfId="0" applyFont="1" applyBorder="1">
      <alignment horizontal="center" vertical="center" wrapText="1"/>
    </xf>
    <xf numFmtId="49" fontId="23" fillId="0" borderId="30" xfId="0" applyFont="1" applyBorder="1" applyNumberFormat="1">
      <alignment horizontal="center" vertical="center" wrapText="1"/>
    </xf>
    <xf numFmtId="49" fontId="23" fillId="0" borderId="61" xfId="0" applyFont="1" applyBorder="1" applyNumberFormat="1">
      <alignment horizontal="center" vertical="center" wrapText="1"/>
    </xf>
    <xf numFmtId="49" fontId="23" fillId="0" borderId="62" xfId="0" applyFont="1" applyBorder="1" applyNumberFormat="1">
      <alignment horizontal="center" vertical="center" wrapText="1"/>
    </xf>
    <xf numFmtId="0" fontId="23" fillId="0" borderId="14" xfId="0" applyFont="1" applyBorder="1">
      <alignment horizontal="center" vertical="center" wrapText="1"/>
    </xf>
    <xf numFmtId="4" fontId="23" fillId="41" borderId="18" xfId="0" applyFont="1" applyFill="1" applyBorder="1" applyNumberFormat="1">
      <alignment horizontal="right" vertical="center" wrapText="1"/>
      <protection locked="0"/>
    </xf>
    <xf numFmtId="49" fontId="49" fillId="40" borderId="20" xfId="0" applyFont="1" applyFill="1" applyBorder="1" applyNumberFormat="1">
      <alignment horizontal="left" vertical="center" indent="2"/>
    </xf>
    <xf numFmtId="0" fontId="23" fillId="0" borderId="13" xfId="0" applyFont="1" applyBorder="1">
      <alignment horizontal="center" vertical="center" wrapText="1"/>
    </xf>
    <xf numFmtId="0" fontId="23" fillId="0" borderId="13" xfId="0" applyFont="1" applyBorder="1">
      <alignment horizontal="center" vertical="center" wrapText="1"/>
    </xf>
    <xf numFmtId="0" fontId="23" fillId="38" borderId="15" xfId="0" applyFont="1" applyFill="1" applyBorder="1">
      <alignment horizontal="left" vertical="top" wrapText="1"/>
    </xf>
    <xf numFmtId="0" fontId="23" fillId="0" borderId="16" xfId="0" applyFont="1" applyBorder="1">
      <alignment horizontal="right" vertical="center" wrapText="1" indent="1"/>
    </xf>
    <xf numFmtId="0" fontId="23" fillId="0" borderId="13" xfId="0" applyFont="1" applyBorder="1">
      <alignment horizontal="center" vertical="center" wrapText="1"/>
    </xf>
    <xf numFmtId="0" fontId="23" fillId="0" borderId="18" xfId="0" applyFont="1" applyBorder="1">
      <alignment horizontal="left" vertical="center" wrapText="1"/>
    </xf>
    <xf numFmtId="49" fontId="0" fillId="0" borderId="13" xfId="0" applyFont="1" applyBorder="1" applyNumberFormat="1">
      <alignment horizontal="left" vertical="center" wrapText="1" indent="1"/>
    </xf>
    <xf numFmtId="49" fontId="0" fillId="0" borderId="13" xfId="0" applyFont="1" applyBorder="1" applyNumberFormat="1">
      <alignment horizontal="left" vertical="center" wrapText="1" indent="2"/>
    </xf>
    <xf numFmtId="49" fontId="23" fillId="0" borderId="60" xfId="0" applyFont="1" applyBorder="1" applyNumberFormat="1">
      <alignment horizontal="center" vertical="center" wrapText="1"/>
    </xf>
    <xf numFmtId="0" fontId="23" fillId="0" borderId="18" xfId="0" applyFont="1" applyBorder="1">
      <alignment horizontal="left" vertical="center" wrapText="1" indent="1"/>
    </xf>
    <xf numFmtId="0" fontId="23" fillId="0" borderId="18" xfId="0" applyFont="1" applyBorder="1">
      <alignment horizontal="center" vertical="center" wrapText="1"/>
    </xf>
    <xf numFmtId="49" fontId="0" fillId="0" borderId="13" xfId="0" applyFont="1" applyBorder="1" applyNumberFormat="1">
      <alignment vertical="center" wrapText="1"/>
    </xf>
    <xf numFmtId="49" fontId="55" fillId="0" borderId="0" xfId="0" applyFont="1" applyNumberFormat="1">
      <alignment horizontal="center" vertical="center" wrapText="1"/>
    </xf>
    <xf numFmtId="0" fontId="23" fillId="0" borderId="21" xfId="0" applyFont="1" applyBorder="1">
      <alignment horizontal="left" vertical="center" wrapText="1" indent="1"/>
    </xf>
    <xf numFmtId="0" fontId="23" fillId="0" borderId="18" xfId="0" applyFont="1" applyBorder="1">
      <alignment horizontal="left" vertical="center" wrapText="1" indent="1"/>
    </xf>
    <xf numFmtId="0" fontId="23" fillId="0" borderId="38" xfId="0" applyFont="1" applyBorder="1">
      <alignment horizontal="left" vertical="center" wrapText="1" indent="1"/>
    </xf>
    <xf numFmtId="49" fontId="55" fillId="0" borderId="0" xfId="0" applyFont="1" applyNumberFormat="1">
      <alignment horizontal="center" vertical="center" wrapText="1"/>
    </xf>
    <xf numFmtId="0" fontId="23" fillId="0" borderId="31" xfId="0" applyFont="1" applyBorder="1">
      <alignment horizontal="left" vertical="center" wrapText="1" indent="1"/>
    </xf>
    <xf numFmtId="0" fontId="23" fillId="0" borderId="24" xfId="0" applyFont="1" applyBorder="1">
      <alignment horizontal="left" vertical="center" wrapText="1" indent="1"/>
    </xf>
    <xf numFmtId="0" fontId="23" fillId="0" borderId="28" xfId="0" applyFont="1" applyBorder="1">
      <alignment horizontal="left" vertical="center" wrapText="1" indent="1"/>
    </xf>
    <xf numFmtId="0" fontId="56" fillId="0" borderId="29" xfId="0" applyFont="1" applyBorder="1">
      <alignment vertical="center" wrapText="1"/>
    </xf>
    <xf numFmtId="0" fontId="23" fillId="38" borderId="15" xfId="0" applyFont="1" applyFill="1" applyBorder="1">
      <alignment horizontal="left" vertical="top" wrapText="1"/>
    </xf>
    <xf numFmtId="0" fontId="23" fillId="38" borderId="14" xfId="0" applyFont="1" applyFill="1" applyBorder="1">
      <alignment horizontal="left" vertical="top" wrapText="1"/>
    </xf>
    <xf numFmtId="0" fontId="23" fillId="0" borderId="18" xfId="0" applyFont="1" applyBorder="1">
      <alignment horizontal="center" vertical="center" wrapText="1"/>
    </xf>
    <xf numFmtId="49" fontId="55" fillId="0" borderId="0" xfId="0" applyFont="1" applyNumberFormat="1">
      <alignment horizontal="center" vertical="center" wrapText="1"/>
    </xf>
    <xf numFmtId="0" fontId="23" fillId="0" borderId="37" xfId="0" applyFont="1" applyBorder="1">
      <alignment horizontal="center" vertical="center" wrapText="1"/>
    </xf>
    <xf numFmtId="49" fontId="55" fillId="0" borderId="0" xfId="0" applyFont="1" applyNumberFormat="1">
      <alignment horizontal="center" vertical="center" wrapText="1"/>
    </xf>
    <xf numFmtId="0" fontId="23" fillId="0" borderId="0" xfId="0" applyFont="1">
      <alignment horizontal="left" vertical="top" wrapText="1"/>
    </xf>
    <xf numFmtId="0" fontId="23" fillId="0" borderId="0" xfId="0" applyFont="1">
      <alignment vertical="top" wrapText="1"/>
    </xf>
    <xf numFmtId="0" fontId="23" fillId="0" borderId="13" xfId="0" applyFont="1" applyBorder="1">
      <alignment horizontal="center" vertical="center" wrapText="1"/>
    </xf>
    <xf numFmtId="0" fontId="23" fillId="0" borderId="13" xfId="0" applyFont="1" applyBorder="1">
      <alignment horizontal="center" vertical="center" wrapText="1"/>
    </xf>
    <xf numFmtId="0" fontId="23" fillId="0" borderId="24" xfId="0" applyFont="1" applyBorder="1">
      <alignment horizontal="center" vertical="center" wrapText="1"/>
    </xf>
    <xf numFmtId="0" fontId="23" fillId="0" borderId="0" xfId="0" applyFont="1">
      <alignment horizontal="left" vertical="top" wrapText="1"/>
    </xf>
    <xf numFmtId="49" fontId="56" fillId="0" borderId="0" xfId="0" applyFont="1" applyNumberFormat="1">
      <alignment horizontal="center" vertical="center" wrapText="1"/>
    </xf>
    <xf numFmtId="0" fontId="56" fillId="0" borderId="0" xfId="0" applyFont="1">
      <alignment horizontal="center" vertical="center" wrapText="1"/>
    </xf>
    <xf numFmtId="49" fontId="23" fillId="55" borderId="0" xfId="0" applyFont="1" applyFill="1" applyNumberFormat="1">
      <alignment horizontal="center" vertical="center" textRotation="90" wrapText="1"/>
    </xf>
    <xf numFmtId="49" fontId="23" fillId="0" borderId="13" xfId="0" applyFont="1" applyBorder="1" applyNumberFormat="1">
      <alignment horizontal="center" vertical="center" wrapText="1"/>
    </xf>
    <xf numFmtId="4" fontId="23" fillId="0" borderId="13" xfId="0" applyFont="1" applyBorder="1" applyNumberFormat="1">
      <alignment horizontal="center" vertical="center" wrapText="1"/>
    </xf>
    <xf numFmtId="49" fontId="29" fillId="33" borderId="15" xfId="0" applyFont="1" applyFill="1" applyBorder="1" applyNumberFormat="1">
      <alignment horizontal="left" vertical="center" wrapText="1"/>
      <protection locked="0"/>
    </xf>
    <xf numFmtId="0" fontId="78" fillId="0" borderId="23" xfId="0" applyFont="1" applyBorder="1">
      <alignment vertical="center" wrapText="1"/>
    </xf>
    <xf numFmtId="49" fontId="29" fillId="33" borderId="15" xfId="0" applyFont="1" applyFill="1" applyBorder="1" applyNumberFormat="1">
      <alignment horizontal="left" vertical="center" wrapText="1"/>
      <protection locked="0"/>
    </xf>
    <xf numFmtId="0" fontId="23" fillId="0" borderId="13" xfId="0" applyFont="1" applyBorder="1">
      <alignment horizontal="center" vertical="center" wrapText="1"/>
    </xf>
    <xf numFmtId="49" fontId="23" fillId="41" borderId="13" xfId="0" applyFont="1" applyFill="1" applyBorder="1" applyNumberFormat="1">
      <alignment horizontal="left" vertical="center" wrapText="1"/>
      <protection locked="0"/>
    </xf>
    <xf numFmtId="0" fontId="46" fillId="0" borderId="0" xfId="0" applyFont="1">
      <alignment horizontal="center" vertical="center" wrapText="1"/>
    </xf>
    <xf numFmtId="0" fontId="23" fillId="0" borderId="18" xfId="0" applyFont="1" applyBorder="1">
      <alignment horizontal="center" vertical="center" wrapText="1"/>
    </xf>
    <xf numFmtId="0" fontId="23" fillId="0" borderId="15" xfId="0" applyFont="1" applyBorder="1">
      <alignment horizontal="center" vertical="center" wrapText="1"/>
    </xf>
    <xf numFmtId="0" fontId="23" fillId="0" borderId="13" xfId="0" applyFont="1" applyBorder="1">
      <alignment horizontal="left" vertical="center" wrapText="1" indent="2"/>
    </xf>
    <xf numFmtId="3" fontId="54" fillId="33" borderId="13" xfId="0" applyFont="1" applyFill="1" applyBorder="1" applyNumberFormat="1">
      <alignment horizontal="right" vertical="center"/>
      <protection locked="0"/>
    </xf>
    <xf numFmtId="49" fontId="55" fillId="0" borderId="0" xfId="0" applyFont="1" applyNumberFormat="1">
      <alignment horizontal="center" vertical="center" wrapText="1"/>
    </xf>
    <xf numFmtId="0" fontId="23" fillId="0" borderId="0" xfId="0" applyFont="1">
      <alignment vertical="top" wrapText="1"/>
    </xf>
    <xf numFmtId="0" fontId="23" fillId="0" borderId="0" xfId="0" applyFont="1">
      <alignment vertical="top"/>
    </xf>
    <xf numFmtId="49" fontId="29" fillId="0" borderId="13" xfId="0" applyFont="1" applyBorder="1" applyNumberFormat="1">
      <alignment horizontal="left" vertical="center" wrapText="1"/>
    </xf>
    <xf numFmtId="49" fontId="23" fillId="0" borderId="33" xfId="0" applyFont="1" applyBorder="1" applyNumberFormat="1">
      <alignment horizontal="center" vertical="center" wrapText="1"/>
    </xf>
    <xf numFmtId="0" fontId="23" fillId="0" borderId="33" xfId="0" applyFont="1" applyBorder="1">
      <alignment horizontal="left" vertical="center" wrapText="1"/>
    </xf>
    <xf numFmtId="4" fontId="23" fillId="0" borderId="41" xfId="0" applyFont="1" applyBorder="1" applyNumberFormat="1">
      <alignment horizontal="center" vertical="center" wrapText="1"/>
    </xf>
    <xf numFmtId="49" fontId="29" fillId="0" borderId="28" xfId="0" applyFont="1" applyBorder="1" applyNumberFormat="1">
      <alignment horizontal="left" vertical="center" wrapText="1"/>
    </xf>
    <xf numFmtId="49" fontId="23" fillId="0" borderId="32" xfId="0" applyFont="1" applyBorder="1" applyNumberFormat="1">
      <alignment horizontal="center" vertical="center" wrapText="1"/>
    </xf>
    <xf numFmtId="0" fontId="23" fillId="0" borderId="34" xfId="0" applyFont="1" applyBorder="1">
      <alignment horizontal="left" vertical="center" wrapText="1" indent="1"/>
    </xf>
    <xf numFmtId="4" fontId="23" fillId="41" borderId="32" xfId="0" applyFont="1" applyFill="1" applyBorder="1" applyNumberFormat="1">
      <alignment horizontal="right" vertical="center" wrapText="1"/>
      <protection locked="0"/>
    </xf>
    <xf numFmtId="49" fontId="29" fillId="0" borderId="15" xfId="0" applyFont="1" applyBorder="1" applyNumberFormat="1">
      <alignment horizontal="left" vertical="center" wrapText="1"/>
    </xf>
    <xf numFmtId="4" fontId="23" fillId="0" borderId="18" xfId="0" applyFont="1" applyBorder="1" applyNumberFormat="1">
      <alignment horizontal="center" vertical="center" wrapText="1"/>
    </xf>
    <xf numFmtId="4" fontId="23" fillId="41" borderId="36" xfId="0" applyFont="1" applyFill="1" applyBorder="1" applyNumberFormat="1">
      <alignment horizontal="right" vertical="center" wrapText="1"/>
      <protection locked="0"/>
    </xf>
    <xf numFmtId="0" fontId="23" fillId="0" borderId="34" xfId="0" applyFont="1" applyBorder="1">
      <alignment horizontal="left" vertical="center" wrapText="1"/>
    </xf>
    <xf numFmtId="49" fontId="29" fillId="0" borderId="16" xfId="0" applyFont="1" applyBorder="1" applyNumberFormat="1">
      <alignment horizontal="left" vertical="center" wrapText="1"/>
    </xf>
    <xf numFmtId="0" fontId="23" fillId="0" borderId="32" xfId="0" applyFont="1" applyBorder="1">
      <alignment horizontal="left" vertical="center" wrapText="1" indent="1"/>
    </xf>
    <xf numFmtId="4" fontId="23" fillId="0" borderId="33" xfId="0" applyFont="1" applyBorder="1" applyNumberFormat="1">
      <alignment horizontal="center" vertical="center" wrapText="1"/>
    </xf>
    <xf numFmtId="0" fontId="23" fillId="0" borderId="32" xfId="0" applyFont="1" applyBorder="1">
      <alignment horizontal="left" vertical="center" wrapText="1"/>
    </xf>
    <xf numFmtId="0" fontId="23" fillId="0" borderId="32" xfId="0" applyFont="1" applyBorder="1">
      <alignment horizontal="left" vertical="center" wrapText="1" indent="2"/>
    </xf>
    <xf numFmtId="4" fontId="23" fillId="0" borderId="32" xfId="0" applyFont="1" applyBorder="1" applyNumberFormat="1">
      <alignment horizontal="center" vertical="center" wrapText="1"/>
    </xf>
    <xf numFmtId="49" fontId="23" fillId="0" borderId="35" xfId="0" applyFont="1" applyBorder="1" applyNumberFormat="1">
      <alignment horizontal="center" vertical="center" wrapText="1"/>
    </xf>
    <xf numFmtId="0" fontId="23" fillId="0" borderId="36" xfId="0" applyFont="1" applyBorder="1">
      <alignment horizontal="left" vertical="center" wrapText="1"/>
    </xf>
    <xf numFmtId="4" fontId="23" fillId="0" borderId="36" xfId="0" applyFont="1" applyBorder="1" applyNumberFormat="1">
      <alignment horizontal="center" vertical="center" wrapText="1"/>
    </xf>
    <xf numFmtId="49" fontId="29" fillId="0" borderId="38" xfId="0" applyFont="1" applyBorder="1" applyNumberFormat="1">
      <alignment horizontal="left" vertical="center" wrapText="1"/>
    </xf>
    <xf numFmtId="49" fontId="23" fillId="0" borderId="34" xfId="0" applyFont="1" applyBorder="1" applyNumberFormat="1">
      <alignment horizontal="center" vertical="center" wrapText="1"/>
    </xf>
    <xf numFmtId="4" fontId="23" fillId="41" borderId="15" xfId="0" applyFont="1" applyFill="1" applyBorder="1" applyNumberFormat="1">
      <alignment horizontal="right" vertical="center" wrapText="1"/>
      <protection locked="0"/>
    </xf>
    <xf numFmtId="4" fontId="23" fillId="0" borderId="34" xfId="0" applyFont="1" applyBorder="1" applyNumberFormat="1">
      <alignment horizontal="center" vertical="center" wrapText="1"/>
    </xf>
    <xf numFmtId="4" fontId="23" fillId="41" borderId="35" xfId="0" applyFont="1" applyFill="1" applyBorder="1" applyNumberFormat="1">
      <alignment horizontal="right" vertical="center" wrapText="1"/>
      <protection locked="0"/>
    </xf>
    <xf numFmtId="49" fontId="55" fillId="0" borderId="0" xfId="0" applyFont="1" applyNumberFormat="1">
      <alignment horizontal="center" vertical="center" wrapText="1"/>
    </xf>
    <xf numFmtId="0" fontId="23" fillId="0" borderId="20" xfId="0" applyFont="1" applyBorder="1">
      <alignment horizontal="left" vertical="center" wrapText="1" indent="1"/>
    </xf>
    <xf numFmtId="0" fontId="23" fillId="0" borderId="0" xfId="0" applyFont="1">
      <alignment vertical="center" wrapText="1"/>
    </xf>
    <xf numFmtId="0" fontId="23" fillId="0" borderId="29" xfId="0" applyFont="1" applyBorder="1">
      <alignment horizontal="left" vertical="center" wrapText="1" indent="1"/>
    </xf>
    <xf numFmtId="0" fontId="23" fillId="0" borderId="0" xfId="0" applyFont="1">
      <alignment vertical="center" wrapText="1"/>
    </xf>
    <xf numFmtId="49" fontId="55" fillId="0" borderId="0" xfId="0" applyFont="1" applyNumberFormat="1">
      <alignment horizontal="center" vertical="center" wrapText="1"/>
    </xf>
    <xf numFmtId="49" fontId="104" fillId="0" borderId="0" xfId="0" applyFont="1" applyNumberFormat="1">
      <alignment horizontal="center" vertical="center" wrapText="1"/>
    </xf>
    <xf numFmtId="0" fontId="23" fillId="36" borderId="13" xfId="0" applyFont="1" applyFill="1" applyBorder="1">
      <alignment horizontal="center" vertical="center" wrapText="1"/>
    </xf>
    <xf numFmtId="0" fontId="0" fillId="36" borderId="15" xfId="0" applyFont="1" applyFill="1" applyBorder="1">
      <alignment horizontal="center" vertical="center" wrapText="1"/>
    </xf>
    <xf numFmtId="0" fontId="0" fillId="36" borderId="16" xfId="0" applyFont="1" applyFill="1" applyBorder="1">
      <alignment horizontal="center" vertical="center" wrapText="1"/>
    </xf>
    <xf numFmtId="0" fontId="0" fillId="36" borderId="14" xfId="0" applyFont="1" applyFill="1" applyBorder="1">
      <alignment horizontal="center" vertical="center" wrapText="1"/>
    </xf>
    <xf numFmtId="0" fontId="0" fillId="36" borderId="18" xfId="0" applyFont="1" applyFill="1" applyBorder="1">
      <alignment horizontal="center" vertical="center" wrapText="1"/>
    </xf>
    <xf numFmtId="0" fontId="23" fillId="36" borderId="18" xfId="0" applyFont="1" applyFill="1" applyBorder="1">
      <alignment horizontal="center" vertical="center" wrapText="1"/>
    </xf>
    <xf numFmtId="0" fontId="0" fillId="36" borderId="18" xfId="0" applyFont="1" applyFill="1" applyBorder="1">
      <alignment horizontal="center" vertical="center" wrapText="1"/>
    </xf>
    <xf numFmtId="0" fontId="0" fillId="36" borderId="38" xfId="0" applyFont="1" applyFill="1" applyBorder="1">
      <alignment horizontal="center" vertical="center" wrapText="1"/>
    </xf>
    <xf numFmtId="0" fontId="23" fillId="0" borderId="13" xfId="0" applyFont="1" applyBorder="1">
      <alignment horizontal="center" vertical="center" wrapText="1"/>
    </xf>
    <xf numFmtId="0" fontId="56" fillId="0" borderId="0" xfId="0" applyFont="1">
      <alignment horizontal="center" vertical="center" wrapText="1"/>
    </xf>
    <xf numFmtId="49" fontId="56" fillId="0" borderId="13" xfId="0" applyFont="1" applyBorder="1" applyNumberFormat="1">
      <alignment horizontal="center" vertical="center" wrapText="1"/>
    </xf>
    <xf numFmtId="0" fontId="0" fillId="0" borderId="13" xfId="0" applyFont="1" applyBorder="1">
      <alignment horizontal="left" vertical="center" wrapText="1" indent="1"/>
    </xf>
    <xf numFmtId="49" fontId="0" fillId="0" borderId="13" xfId="0" applyFont="1" applyBorder="1" applyNumberFormat="1">
      <alignment horizontal="center" vertical="center" wrapText="1"/>
    </xf>
    <xf numFmtId="49" fontId="23" fillId="0" borderId="13" xfId="0" applyFont="1" applyBorder="1" applyNumberFormat="1">
      <alignment horizontal="left" vertical="center" wrapText="1"/>
    </xf>
    <xf numFmtId="49" fontId="23" fillId="0" borderId="13" xfId="0" applyFont="1" applyBorder="1" applyNumberFormat="1">
      <alignment horizontal="left" vertical="center" wrapText="1"/>
    </xf>
    <xf numFmtId="49" fontId="23" fillId="0" borderId="13" xfId="0" applyFont="1" applyBorder="1" applyNumberFormat="1">
      <alignment horizontal="center" vertical="center" wrapText="1"/>
    </xf>
    <xf numFmtId="49" fontId="56" fillId="0" borderId="0" xfId="0" applyFont="1" applyNumberFormat="1">
      <alignment horizontal="center" vertical="center" wrapText="1"/>
    </xf>
    <xf numFmtId="49" fontId="23" fillId="0" borderId="15" xfId="0" applyFont="1" applyBorder="1" applyNumberFormat="1">
      <alignment horizontal="center" vertical="center" wrapText="1"/>
    </xf>
    <xf numFmtId="49" fontId="49" fillId="40" borderId="15" xfId="0" applyFont="1" applyFill="1" applyBorder="1" applyNumberFormat="1">
      <alignment horizontal="left" vertical="center" indent="1"/>
    </xf>
    <xf numFmtId="0" fontId="23" fillId="40" borderId="31" xfId="0" applyFont="1" applyFill="1" applyBorder="1">
      <alignment vertical="center" wrapText="1"/>
    </xf>
    <xf numFmtId="0" fontId="55" fillId="0" borderId="0" xfId="0" applyFont="1">
      <alignment vertical="center" wrapText="1"/>
    </xf>
    <xf numFmtId="0" fontId="55" fillId="0" borderId="0" xfId="0" applyFont="1">
      <alignment vertical="center" wrapText="1"/>
    </xf>
    <xf numFmtId="0" fontId="55" fillId="0" borderId="0" xfId="0" applyFont="1">
      <alignment vertical="center" wrapText="1"/>
    </xf>
    <xf numFmtId="0" fontId="41" fillId="0" borderId="0" xfId="0" applyFont="1">
      <alignment vertical="center" wrapText="1"/>
    </xf>
    <xf numFmtId="0" fontId="41" fillId="0" borderId="0" xfId="0" applyFont="1">
      <alignment vertical="center" wrapText="1"/>
    </xf>
    <xf numFmtId="0" fontId="41" fillId="0" borderId="0" xfId="0" applyFont="1">
      <alignment vertical="center" wrapText="1"/>
    </xf>
    <xf numFmtId="0" fontId="23" fillId="0" borderId="29" xfId="0" applyFont="1" applyBorder="1">
      <alignment horizontal="left" vertical="center" wrapText="1" indent="1"/>
    </xf>
    <xf numFmtId="0" fontId="23" fillId="0" borderId="0" xfId="0" applyFont="1">
      <alignment horizontal="left" vertical="center" wrapText="1" indent="3"/>
    </xf>
    <xf numFmtId="0" fontId="23" fillId="36" borderId="0" xfId="0" applyFont="1" applyFill="1">
      <alignment vertical="center" wrapText="1"/>
    </xf>
    <xf numFmtId="0" fontId="23" fillId="36" borderId="40" xfId="0" applyFont="1" applyFill="1" applyBorder="1">
      <alignment vertical="center" wrapText="1"/>
    </xf>
    <xf numFmtId="0" fontId="23" fillId="36" borderId="40" xfId="0" applyFont="1" applyFill="1" applyBorder="1">
      <alignment vertical="center" wrapText="1"/>
    </xf>
    <xf numFmtId="49" fontId="76" fillId="0" borderId="40" xfId="0" applyFont="1" applyBorder="1" applyNumberFormat="1">
      <alignment vertical="top"/>
    </xf>
    <xf numFmtId="49" fontId="76" fillId="0" borderId="40" xfId="0" applyFont="1" applyBorder="1" applyNumberFormat="1">
      <alignment vertical="top"/>
    </xf>
    <xf numFmtId="0" fontId="35" fillId="36" borderId="40" xfId="0" applyFont="1" applyFill="1" applyBorder="1">
      <alignment horizontal="center" wrapText="1"/>
    </xf>
    <xf numFmtId="0" fontId="35" fillId="36" borderId="40" xfId="0" applyFont="1" applyFill="1" applyBorder="1">
      <alignment horizontal="center" wrapText="1"/>
    </xf>
    <xf numFmtId="0" fontId="23" fillId="36" borderId="40" xfId="0" applyFont="1" applyFill="1" applyBorder="1">
      <alignment vertical="center" wrapText="1"/>
    </xf>
    <xf numFmtId="0" fontId="23" fillId="36" borderId="40" xfId="0" applyFont="1" applyFill="1" applyBorder="1">
      <alignment vertical="center" wrapText="1"/>
    </xf>
    <xf numFmtId="49" fontId="23" fillId="0" borderId="0" xfId="0" applyFont="1" applyNumberFormat="1">
      <alignment vertical="top"/>
    </xf>
    <xf numFmtId="0" fontId="23" fillId="0" borderId="63" xfId="0" applyFont="1" applyBorder="1">
      <alignment horizontal="center" vertical="center"/>
    </xf>
    <xf numFmtId="0" fontId="23" fillId="0" borderId="64" xfId="0" applyFont="1" applyBorder="1">
      <alignment horizontal="center" vertical="center"/>
    </xf>
    <xf numFmtId="0" fontId="23" fillId="0" borderId="70" xfId="0" applyFont="1" applyBorder="1">
      <alignment horizontal="center" vertical="center"/>
    </xf>
    <xf numFmtId="0" fontId="23" fillId="0" borderId="39" xfId="0" applyFont="1" applyBorder="1">
      <alignment vertical="center" wrapText="1"/>
    </xf>
    <xf numFmtId="0" fontId="23" fillId="36" borderId="13" xfId="0" applyFont="1" applyFill="1" applyBorder="1">
      <alignment horizontal="center" vertical="center" wrapText="1"/>
    </xf>
    <xf numFmtId="0" fontId="23" fillId="36" borderId="38" xfId="0" applyFont="1" applyFill="1" applyBorder="1">
      <alignment horizontal="center" vertical="center" wrapText="1"/>
    </xf>
    <xf numFmtId="0" fontId="23" fillId="36" borderId="21" xfId="0" applyFont="1" applyFill="1" applyBorder="1">
      <alignment horizontal="center" vertical="center" wrapText="1"/>
    </xf>
    <xf numFmtId="0" fontId="23" fillId="0" borderId="13" xfId="0" applyFont="1" applyBorder="1">
      <alignment horizontal="center" vertical="center" wrapText="1"/>
    </xf>
    <xf numFmtId="0" fontId="23" fillId="0" borderId="0" xfId="0" applyFont="1">
      <alignment vertical="center" wrapText="1"/>
    </xf>
    <xf numFmtId="0" fontId="23" fillId="36" borderId="0" xfId="0" applyFont="1" applyFill="1">
      <alignment vertical="center" wrapText="1"/>
    </xf>
    <xf numFmtId="0" fontId="23" fillId="36" borderId="23" xfId="0" applyFont="1" applyFill="1" applyBorder="1">
      <alignment horizontal="center" vertical="center" wrapText="1"/>
    </xf>
    <xf numFmtId="0" fontId="23" fillId="36" borderId="25" xfId="0" applyFont="1" applyFill="1" applyBorder="1">
      <alignment horizontal="center" vertical="center" wrapText="1"/>
    </xf>
    <xf numFmtId="0" fontId="23" fillId="0" borderId="23" xfId="0" applyFont="1" applyBorder="1">
      <alignment horizontal="center" vertical="center" wrapText="1"/>
    </xf>
    <xf numFmtId="49" fontId="23" fillId="0" borderId="0" xfId="0" applyFont="1" applyNumberFormat="1">
      <alignment vertical="top"/>
    </xf>
    <xf numFmtId="0" fontId="23" fillId="0" borderId="0" xfId="0" applyFont="1">
      <alignment vertical="center" wrapText="1"/>
    </xf>
    <xf numFmtId="49" fontId="104" fillId="0" borderId="0" xfId="0" applyFont="1" applyNumberFormat="1">
      <alignment horizontal="center" vertical="center" wrapText="1"/>
    </xf>
    <xf numFmtId="0" fontId="23" fillId="36" borderId="0" xfId="0" applyFont="1" applyFill="1">
      <alignment vertical="center" wrapText="1"/>
    </xf>
    <xf numFmtId="0" fontId="0" fillId="0" borderId="13" xfId="0" applyFont="1" applyBorder="1">
      <alignment horizontal="center" vertical="center" wrapText="1"/>
    </xf>
    <xf numFmtId="49" fontId="23" fillId="0" borderId="0" xfId="0" applyFont="1" applyNumberFormat="1">
      <alignment vertical="top"/>
    </xf>
    <xf numFmtId="0" fontId="23" fillId="36" borderId="28" xfId="0" applyFont="1" applyFill="1" applyBorder="1">
      <alignment horizontal="center" vertical="center" wrapText="1"/>
    </xf>
    <xf numFmtId="0" fontId="23" fillId="36" borderId="31" xfId="0" applyFont="1" applyFill="1" applyBorder="1">
      <alignment horizontal="center" vertical="center" wrapText="1"/>
    </xf>
    <xf numFmtId="0" fontId="23" fillId="0" borderId="13" xfId="0" applyFont="1" applyBorder="1">
      <alignment horizontal="center" vertical="center" wrapText="1"/>
    </xf>
    <xf numFmtId="0" fontId="0" fillId="0" borderId="13" xfId="0" applyFont="1" applyBorder="1">
      <alignment horizontal="center" vertical="center" wrapText="1"/>
    </xf>
    <xf numFmtId="0" fontId="23" fillId="0" borderId="13" xfId="0" applyFont="1" applyBorder="1">
      <alignment horizontal="center" vertical="center" wrapText="1"/>
    </xf>
    <xf numFmtId="0" fontId="23" fillId="0" borderId="13" xfId="0" applyFont="1" applyBorder="1">
      <alignment horizontal="center" vertical="center" wrapText="1"/>
    </xf>
    <xf numFmtId="0" fontId="23" fillId="36" borderId="0" xfId="0" applyFont="1" applyFill="1">
      <alignment vertical="center" wrapText="1"/>
    </xf>
    <xf numFmtId="0" fontId="23" fillId="0" borderId="0" xfId="0" applyFont="1">
      <alignment vertical="center" wrapText="1"/>
    </xf>
    <xf numFmtId="0" fontId="23" fillId="0" borderId="0" xfId="0" applyFont="1">
      <alignment vertical="center" wrapText="1"/>
    </xf>
    <xf numFmtId="0" fontId="23" fillId="0" borderId="0" xfId="0" applyFont="1">
      <alignment vertical="center" wrapText="1"/>
    </xf>
    <xf numFmtId="0" fontId="23" fillId="0" borderId="0" xfId="0" applyFont="1">
      <alignment vertical="center"/>
    </xf>
    <xf numFmtId="0" fontId="23" fillId="0" borderId="0" xfId="0" applyFont="1">
      <alignment vertical="center"/>
    </xf>
    <xf numFmtId="49" fontId="23" fillId="0" borderId="0" xfId="0" applyFont="1" applyNumberFormat="1">
      <alignment vertical="top"/>
    </xf>
    <xf numFmtId="49" fontId="23" fillId="0" borderId="0" xfId="0" applyFont="1" applyNumberFormat="1">
      <alignment vertical="top"/>
    </xf>
    <xf numFmtId="49" fontId="23" fillId="0" borderId="0" xfId="0" applyFont="1" applyNumberFormat="1">
      <alignment vertical="top"/>
    </xf>
    <xf numFmtId="0" fontId="23" fillId="0" borderId="0" xfId="0" applyFont="1">
      <alignment horizontal="left" vertical="center" wrapText="1"/>
    </xf>
    <xf numFmtId="0" fontId="23" fillId="0" borderId="0" xfId="0" applyFont="1">
      <alignment vertical="center" wrapText="1"/>
    </xf>
    <xf numFmtId="0" fontId="23" fillId="0" borderId="0" xfId="0" applyFont="1">
      <alignment vertical="center" wrapText="1"/>
    </xf>
    <xf numFmtId="0" fontId="23" fillId="36" borderId="20" xfId="0" applyFont="1" applyFill="1" applyBorder="1">
      <alignment vertical="center" wrapText="1"/>
    </xf>
    <xf numFmtId="49" fontId="56" fillId="0" borderId="0" xfId="0" applyFont="1" applyNumberFormat="1">
      <alignment vertical="top"/>
    </xf>
    <xf numFmtId="0" fontId="56" fillId="0" borderId="40" xfId="0" applyFont="1" applyBorder="1">
      <alignment vertical="center" wrapText="1"/>
    </xf>
    <xf numFmtId="0" fontId="23" fillId="0" borderId="76" xfId="0" applyFont="1" applyBorder="1">
      <alignment horizontal="center" vertical="center"/>
    </xf>
    <xf numFmtId="0" fontId="23" fillId="0" borderId="44" xfId="0" applyFont="1" applyBorder="1">
      <alignment horizontal="center" vertical="center"/>
    </xf>
    <xf numFmtId="0" fontId="23" fillId="0" borderId="39" xfId="0" applyFont="1" applyBorder="1">
      <alignment vertical="center"/>
    </xf>
    <xf numFmtId="49" fontId="0" fillId="0" borderId="18" xfId="0" applyFont="1" applyBorder="1" applyNumberFormat="1">
      <alignment horizontal="center" vertical="center" wrapText="1"/>
    </xf>
    <xf numFmtId="49" fontId="0" fillId="0" borderId="13" xfId="0" applyFont="1" applyBorder="1" applyNumberFormat="1">
      <alignment horizontal="center" vertical="center"/>
    </xf>
    <xf numFmtId="49" fontId="0" fillId="0" borderId="13" xfId="0" applyFont="1" applyBorder="1" applyNumberFormat="1">
      <alignment horizontal="center" vertical="center" wrapText="1"/>
    </xf>
    <xf numFmtId="49" fontId="23" fillId="0" borderId="23" xfId="0" applyFont="1" applyBorder="1" applyNumberFormat="1">
      <alignment vertical="top"/>
    </xf>
    <xf numFmtId="49" fontId="0" fillId="0" borderId="37" xfId="0" applyFont="1" applyBorder="1" applyNumberFormat="1">
      <alignment horizontal="center" vertical="center" wrapText="1"/>
    </xf>
    <xf numFmtId="0" fontId="0" fillId="38" borderId="13" xfId="0" applyFont="1" applyFill="1" applyBorder="1">
      <alignment horizontal="center" vertical="center" wrapText="1"/>
    </xf>
    <xf numFmtId="49" fontId="0" fillId="0" borderId="24" xfId="0" applyFont="1" applyBorder="1" applyNumberFormat="1">
      <alignment horizontal="center" vertical="center" wrapText="1"/>
    </xf>
    <xf numFmtId="49" fontId="0" fillId="0" borderId="13" xfId="0" applyFont="1" applyBorder="1" applyNumberFormat="1">
      <alignment horizontal="center" vertical="center"/>
    </xf>
    <xf numFmtId="49" fontId="0" fillId="38" borderId="13" xfId="0" applyFont="1" applyFill="1" applyBorder="1" applyNumberFormat="1">
      <alignment horizontal="center" vertical="center"/>
    </xf>
    <xf numFmtId="0" fontId="23" fillId="0" borderId="23" xfId="0" applyFont="1" applyBorder="1">
      <alignment vertical="center" wrapText="1"/>
    </xf>
    <xf numFmtId="49" fontId="0" fillId="0" borderId="13" xfId="0" applyFont="1" applyBorder="1" applyNumberFormat="1">
      <alignment horizontal="center" vertical="center" wrapText="1"/>
    </xf>
    <xf numFmtId="49" fontId="0" fillId="0" borderId="13" xfId="0" applyFont="1" applyBorder="1" applyNumberFormat="1">
      <alignment vertical="center" wrapText="1"/>
    </xf>
    <xf numFmtId="49" fontId="0" fillId="0" borderId="13" xfId="0" applyFont="1" applyBorder="1" applyNumberFormat="1">
      <alignment horizontal="center" vertical="center"/>
    </xf>
    <xf numFmtId="4" fontId="0" fillId="38" borderId="13" xfId="0" applyFont="1" applyFill="1" applyBorder="1" applyNumberFormat="1">
      <alignment horizontal="right" vertical="center" wrapText="1"/>
    </xf>
    <xf numFmtId="49" fontId="0" fillId="0" borderId="13" xfId="0" applyFont="1" applyBorder="1" applyNumberFormat="1">
      <alignment horizontal="left" vertical="center" wrapText="1" indent="2"/>
    </xf>
    <xf numFmtId="4" fontId="0" fillId="33" borderId="13" xfId="0" applyFont="1" applyFill="1" applyBorder="1" applyNumberFormat="1">
      <alignment horizontal="right" vertical="center" wrapText="1"/>
      <protection locked="0"/>
    </xf>
    <xf numFmtId="49" fontId="0" fillId="0" borderId="13" xfId="0" applyFont="1" applyBorder="1" applyNumberFormat="1">
      <alignment horizontal="center" vertical="center" wrapText="1"/>
    </xf>
    <xf numFmtId="49" fontId="0" fillId="0" borderId="13" xfId="0" applyFont="1" applyBorder="1" applyNumberFormat="1">
      <alignment horizontal="left" vertical="center" wrapText="1"/>
    </xf>
    <xf numFmtId="49" fontId="0" fillId="0" borderId="13" xfId="0" applyFont="1" applyBorder="1" applyNumberFormat="1">
      <alignment horizontal="left" vertical="center" wrapText="1" indent="3"/>
    </xf>
    <xf numFmtId="49" fontId="0" fillId="0" borderId="13" xfId="0" applyFont="1" applyBorder="1" applyNumberFormat="1">
      <alignment horizontal="left" vertical="center" wrapText="1"/>
    </xf>
    <xf numFmtId="49" fontId="54" fillId="0" borderId="0" xfId="0" applyFont="1" applyNumberFormat="1">
      <alignment vertical="center"/>
    </xf>
    <xf numFmtId="49" fontId="105" fillId="0" borderId="0" xfId="0" applyFont="1" applyNumberFormat="1">
      <alignment vertical="center" wrapText="1"/>
    </xf>
    <xf numFmtId="49" fontId="54" fillId="0" borderId="0" xfId="0" applyFont="1" applyNumberFormat="1">
      <alignment vertical="center" wrapText="1"/>
    </xf>
    <xf numFmtId="49" fontId="54" fillId="0" borderId="0" xfId="0" applyFont="1" applyNumberFormat="1">
      <alignment vertical="top"/>
    </xf>
    <xf numFmtId="49" fontId="54" fillId="0" borderId="0" xfId="0" applyFont="1" applyNumberFormat="1">
      <alignment vertical="center" wrapText="1"/>
    </xf>
    <xf numFmtId="49" fontId="23" fillId="0" borderId="0" xfId="0" applyFont="1" applyNumberFormat="1">
      <alignment horizontal="center" vertical="center" wrapText="1"/>
    </xf>
    <xf numFmtId="49" fontId="41" fillId="0" borderId="0" xfId="0" applyFont="1" applyNumberFormat="1">
      <alignment horizontal="center" vertical="center" wrapText="1"/>
    </xf>
    <xf numFmtId="49" fontId="23" fillId="36" borderId="0" xfId="0" applyFont="1" applyFill="1" applyNumberFormat="1">
      <alignment horizontal="center" vertical="center" wrapText="1"/>
    </xf>
    <xf numFmtId="0" fontId="23" fillId="0" borderId="21" xfId="0" applyFont="1" applyBorder="1">
      <alignment horizontal="left" vertical="center" wrapText="1" indent="1"/>
    </xf>
    <xf numFmtId="0" fontId="23" fillId="0" borderId="18" xfId="0" applyFont="1" applyBorder="1">
      <alignment horizontal="left" vertical="center" wrapText="1" indent="1"/>
    </xf>
    <xf numFmtId="0" fontId="23" fillId="0" borderId="31" xfId="0" applyFont="1" applyBorder="1">
      <alignment horizontal="left" vertical="center" wrapText="1" indent="1"/>
    </xf>
    <xf numFmtId="0" fontId="23" fillId="0" borderId="24" xfId="0" applyFont="1" applyBorder="1">
      <alignment horizontal="left" vertical="center" wrapText="1" indent="1"/>
    </xf>
    <xf numFmtId="49" fontId="54" fillId="0" borderId="0" xfId="0" applyFont="1" applyNumberFormat="1">
      <alignment horizontal="center" vertical="center" wrapText="1"/>
    </xf>
    <xf numFmtId="49" fontId="105" fillId="0" borderId="0" xfId="0" applyFont="1" applyNumberFormat="1">
      <alignment horizontal="center" vertical="center" wrapText="1"/>
    </xf>
    <xf numFmtId="49" fontId="54" fillId="0" borderId="0" xfId="0" applyFont="1" applyNumberFormat="1">
      <alignment horizontal="center" vertical="center" wrapText="1"/>
    </xf>
    <xf numFmtId="0" fontId="54" fillId="0" borderId="0" xfId="0" applyFont="1">
      <alignment horizontal="center" vertical="center" wrapText="1"/>
    </xf>
    <xf numFmtId="49" fontId="105" fillId="0" borderId="0" xfId="0" applyFont="1" applyNumberFormat="1">
      <alignment horizontal="center" vertical="center" wrapText="1"/>
    </xf>
    <xf numFmtId="49" fontId="23" fillId="0" borderId="0" xfId="0" applyFont="1" applyNumberFormat="1">
      <alignment horizontal="center" vertical="center" wrapText="1"/>
    </xf>
    <xf numFmtId="0" fontId="23" fillId="0" borderId="0" xfId="0" applyFont="1">
      <alignment horizontal="center" vertical="center" wrapText="1"/>
    </xf>
    <xf numFmtId="0" fontId="23" fillId="50" borderId="15" xfId="0" applyFont="1" applyFill="1" applyBorder="1">
      <alignment horizontal="center" vertical="center" wrapText="1"/>
    </xf>
    <xf numFmtId="0" fontId="23" fillId="50" borderId="16" xfId="0" applyFont="1" applyFill="1" applyBorder="1">
      <alignment horizontal="center" vertical="center" wrapText="1"/>
    </xf>
    <xf numFmtId="0" fontId="23" fillId="50" borderId="14" xfId="0" applyFont="1" applyFill="1" applyBorder="1">
      <alignment horizontal="center" vertical="center" wrapText="1"/>
    </xf>
    <xf numFmtId="49" fontId="55" fillId="48" borderId="15" xfId="0" applyFont="1" applyFill="1" applyBorder="1" applyNumberFormat="1">
      <alignment horizontal="center" vertical="center" wrapText="1"/>
    </xf>
    <xf numFmtId="49" fontId="55" fillId="48" borderId="16" xfId="0" applyFont="1" applyFill="1" applyBorder="1" applyNumberFormat="1">
      <alignment horizontal="center" vertical="center" wrapText="1"/>
    </xf>
    <xf numFmtId="49" fontId="55" fillId="48" borderId="14" xfId="0" applyFont="1" applyFill="1" applyBorder="1" applyNumberFormat="1">
      <alignment horizontal="center" vertical="center" wrapText="1"/>
    </xf>
    <xf numFmtId="49" fontId="55" fillId="51" borderId="15" xfId="0" applyFont="1" applyFill="1" applyBorder="1" applyNumberFormat="1">
      <alignment horizontal="center" vertical="center" wrapText="1"/>
    </xf>
    <xf numFmtId="49" fontId="55" fillId="51" borderId="16" xfId="0" applyFont="1" applyFill="1" applyBorder="1" applyNumberFormat="1">
      <alignment horizontal="center" vertical="center" wrapText="1"/>
    </xf>
    <xf numFmtId="49" fontId="55" fillId="51" borderId="14" xfId="0" applyFont="1" applyFill="1" applyBorder="1" applyNumberFormat="1">
      <alignment horizontal="center" vertical="center" wrapText="1"/>
    </xf>
    <xf numFmtId="49" fontId="23" fillId="52" borderId="15" xfId="0" applyFont="1" applyFill="1" applyBorder="1" applyNumberFormat="1">
      <alignment horizontal="center" vertical="center" wrapText="1"/>
    </xf>
    <xf numFmtId="49" fontId="23" fillId="52" borderId="16" xfId="0" applyFont="1" applyFill="1" applyBorder="1" applyNumberFormat="1">
      <alignment horizontal="center" vertical="center" wrapText="1"/>
    </xf>
    <xf numFmtId="49" fontId="23" fillId="34" borderId="20" xfId="0" applyFont="1" applyFill="1" applyBorder="1" applyNumberFormat="1">
      <alignment horizontal="center" vertical="center" wrapText="1"/>
    </xf>
    <xf numFmtId="49" fontId="23" fillId="34" borderId="0" xfId="0" applyFont="1" applyFill="1" applyNumberFormat="1">
      <alignment horizontal="center" vertical="center" wrapText="1"/>
    </xf>
    <xf numFmtId="49" fontId="23" fillId="0" borderId="15" xfId="0" applyFont="1" applyBorder="1" applyNumberFormat="1">
      <alignment horizontal="center" vertical="center" wrapText="1"/>
    </xf>
    <xf numFmtId="49" fontId="23" fillId="0" borderId="16" xfId="0" applyFont="1" applyBorder="1" applyNumberFormat="1">
      <alignment horizontal="center" vertical="center" wrapText="1"/>
    </xf>
    <xf numFmtId="49" fontId="23" fillId="0" borderId="14" xfId="0" applyFont="1" applyBorder="1" applyNumberFormat="1">
      <alignment horizontal="center" vertical="center" wrapText="1"/>
    </xf>
    <xf numFmtId="49" fontId="54" fillId="36" borderId="0" xfId="0" applyFont="1" applyFill="1" applyNumberFormat="1">
      <alignment vertical="center" wrapText="1"/>
    </xf>
    <xf numFmtId="49" fontId="23" fillId="36" borderId="13" xfId="0" applyFont="1" applyFill="1" applyBorder="1" applyNumberFormat="1">
      <alignment horizontal="center" vertical="center" wrapText="1"/>
    </xf>
    <xf numFmtId="49" fontId="23" fillId="36" borderId="13" xfId="0" applyFont="1" applyFill="1" applyBorder="1" applyNumberFormat="1">
      <alignment horizontal="center" vertical="center" wrapText="1"/>
    </xf>
    <xf numFmtId="49" fontId="23" fillId="34" borderId="13" xfId="0" applyFont="1" applyFill="1" applyBorder="1" applyNumberFormat="1">
      <alignment horizontal="center" vertical="center" wrapText="1"/>
    </xf>
    <xf numFmtId="0" fontId="23" fillId="36" borderId="13" xfId="0" applyFont="1" applyFill="1" applyBorder="1">
      <alignment horizontal="center" vertical="center" wrapText="1"/>
    </xf>
    <xf numFmtId="0" fontId="23" fillId="34" borderId="13" xfId="0" applyFont="1" applyFill="1" applyBorder="1">
      <alignment horizontal="center" vertical="center" wrapText="1"/>
    </xf>
    <xf numFmtId="0" fontId="23" fillId="34" borderId="15" xfId="0" applyFont="1" applyFill="1" applyBorder="1">
      <alignment horizontal="center" vertical="center" wrapText="1"/>
    </xf>
    <xf numFmtId="0" fontId="23" fillId="36" borderId="15" xfId="0" applyFont="1" applyFill="1" applyBorder="1">
      <alignment horizontal="center" vertical="center" wrapText="1"/>
    </xf>
    <xf numFmtId="0" fontId="23" fillId="36" borderId="16" xfId="0" applyFont="1" applyFill="1" applyBorder="1">
      <alignment horizontal="center" vertical="center" wrapText="1"/>
    </xf>
    <xf numFmtId="0" fontId="23" fillId="36" borderId="14" xfId="0" applyFont="1" applyFill="1" applyBorder="1">
      <alignment horizontal="center" vertical="center" wrapText="1"/>
    </xf>
    <xf numFmtId="0" fontId="23" fillId="34" borderId="14" xfId="0" applyFont="1" applyFill="1" applyBorder="1">
      <alignment horizontal="center" vertical="center" wrapText="1"/>
    </xf>
    <xf numFmtId="49" fontId="23" fillId="0" borderId="0" xfId="0" applyFont="1" applyNumberFormat="1">
      <alignment vertical="center" wrapText="1"/>
    </xf>
    <xf numFmtId="49" fontId="54" fillId="0" borderId="0" xfId="0" applyFont="1" applyNumberFormat="1">
      <alignment vertical="top"/>
    </xf>
    <xf numFmtId="0" fontId="23" fillId="36" borderId="38" xfId="0" applyFont="1" applyFill="1" applyBorder="1">
      <alignment horizontal="center" vertical="center" wrapText="1"/>
    </xf>
    <xf numFmtId="0" fontId="23" fillId="36" borderId="21" xfId="0" applyFont="1" applyFill="1" applyBorder="1">
      <alignment horizontal="center" vertical="center" wrapText="1"/>
    </xf>
    <xf numFmtId="0" fontId="23" fillId="0" borderId="13" xfId="0" applyFont="1" applyBorder="1">
      <alignment horizontal="center" vertical="center" wrapText="1"/>
    </xf>
    <xf numFmtId="0" fontId="23" fillId="36" borderId="23" xfId="0" applyFont="1" applyFill="1" applyBorder="1">
      <alignment horizontal="center" vertical="center" wrapText="1"/>
    </xf>
    <xf numFmtId="0" fontId="23" fillId="36" borderId="25" xfId="0" applyFont="1" applyFill="1" applyBorder="1">
      <alignment horizontal="center" vertical="center" wrapText="1"/>
    </xf>
    <xf numFmtId="0" fontId="23" fillId="36" borderId="28" xfId="0" applyFont="1" applyFill="1" applyBorder="1">
      <alignment horizontal="center" vertical="center" wrapText="1"/>
    </xf>
    <xf numFmtId="0" fontId="23" fillId="36" borderId="31" xfId="0" applyFont="1" applyFill="1" applyBorder="1">
      <alignment horizontal="center" vertical="center" wrapText="1"/>
    </xf>
    <xf numFmtId="0" fontId="23" fillId="36" borderId="13" xfId="0" applyFont="1" applyFill="1" applyBorder="1">
      <alignment horizontal="center" vertical="center" wrapText="1"/>
    </xf>
    <xf numFmtId="49" fontId="23" fillId="34" borderId="29" xfId="0" applyFont="1" applyFill="1" applyBorder="1" applyNumberFormat="1">
      <alignment horizontal="center" vertical="center" wrapText="1"/>
    </xf>
    <xf numFmtId="49" fontId="45" fillId="0" borderId="13" xfId="0" applyFont="1" applyBorder="1" applyNumberFormat="1">
      <alignment horizontal="center" vertical="center"/>
    </xf>
    <xf numFmtId="49" fontId="45" fillId="34" borderId="13" xfId="0" applyFont="1" applyFill="1" applyBorder="1" applyNumberFormat="1">
      <alignment horizontal="center" vertical="center"/>
    </xf>
    <xf numFmtId="0" fontId="45" fillId="0" borderId="13" xfId="0" applyFont="1" applyBorder="1">
      <alignment horizontal="center" vertical="center"/>
    </xf>
    <xf numFmtId="49" fontId="45" fillId="0" borderId="24" xfId="0" applyFont="1" applyBorder="1" applyNumberFormat="1">
      <alignment horizontal="center" vertical="center"/>
    </xf>
    <xf numFmtId="49" fontId="23" fillId="0" borderId="0" xfId="0" applyFont="1" applyNumberFormat="1">
      <alignment vertical="center"/>
    </xf>
    <xf numFmtId="49" fontId="55" fillId="0" borderId="18" xfId="0" applyFont="1" applyBorder="1" applyNumberFormat="1">
      <alignment horizontal="center" vertical="center"/>
    </xf>
    <xf numFmtId="49" fontId="23" fillId="0" borderId="18" xfId="0" applyFont="1" applyBorder="1" applyNumberFormat="1">
      <alignment horizontal="center" vertical="center"/>
    </xf>
    <xf numFmtId="0" fontId="23" fillId="0" borderId="18" xfId="0" applyFont="1" applyBorder="1">
      <alignment horizontal="right" vertical="center"/>
    </xf>
    <xf numFmtId="0" fontId="23" fillId="0" borderId="18" xfId="0" applyFont="1" applyBorder="1">
      <alignment horizontal="center" vertical="center"/>
    </xf>
    <xf numFmtId="4" fontId="54" fillId="36" borderId="0" xfId="0" applyFont="1" applyFill="1" applyNumberFormat="1">
      <alignment vertical="center"/>
    </xf>
    <xf numFmtId="49" fontId="54" fillId="0" borderId="0" xfId="0" applyFont="1" applyNumberFormat="1">
      <alignment vertical="center" wrapText="1"/>
    </xf>
    <xf numFmtId="49" fontId="54" fillId="0" borderId="0" xfId="0" applyFont="1" applyNumberFormat="1">
      <alignment vertical="top"/>
    </xf>
    <xf numFmtId="0" fontId="54" fillId="0" borderId="0" xfId="0" applyFont="1">
      <alignment vertical="center" wrapText="1"/>
    </xf>
    <xf numFmtId="49" fontId="100" fillId="0" borderId="0" xfId="0" applyFont="1" applyNumberFormat="1">
      <alignment vertical="center" wrapText="1"/>
    </xf>
    <xf numFmtId="49" fontId="54" fillId="0" borderId="0" xfId="0" applyFont="1" applyNumberFormat="1">
      <alignment vertical="center" wrapText="1"/>
    </xf>
    <xf numFmtId="49" fontId="105" fillId="0" borderId="0" xfId="0" applyFont="1" applyNumberFormat="1">
      <alignment vertical="center" wrapText="1"/>
    </xf>
    <xf numFmtId="0" fontId="23" fillId="36" borderId="13" xfId="0" applyFont="1" applyFill="1" applyBorder="1">
      <alignment horizontal="left" vertical="center" wrapText="1"/>
    </xf>
    <xf numFmtId="0" fontId="23" fillId="0" borderId="0" xfId="0" applyFont="1">
      <alignment horizontal="center" vertical="center" wrapText="1"/>
    </xf>
    <xf numFmtId="0" fontId="56" fillId="0" borderId="0" xfId="0" applyFont="1">
      <alignment horizontal="center" vertical="center" wrapText="1"/>
    </xf>
    <xf numFmtId="49" fontId="23" fillId="0" borderId="13" xfId="0" applyFont="1" applyBorder="1" applyNumberFormat="1">
      <alignment horizontal="left" vertical="center" wrapText="1"/>
    </xf>
    <xf numFmtId="0" fontId="56" fillId="0" borderId="0" xfId="0" applyFont="1">
      <alignment horizontal="center" vertical="center"/>
    </xf>
    <xf numFmtId="0" fontId="55" fillId="0" borderId="0" xfId="0" applyFont="1">
      <alignment horizontal="center" vertical="center" wrapText="1"/>
    </xf>
    <xf numFmtId="0" fontId="23" fillId="0" borderId="0" xfId="0" applyFont="1">
      <alignment horizontal="right" vertical="center" wrapText="1"/>
    </xf>
    <xf numFmtId="0" fontId="23" fillId="0" borderId="18" xfId="0" applyFont="1" applyBorder="1">
      <alignment horizontal="center" vertical="center" wrapText="1"/>
    </xf>
    <xf numFmtId="0" fontId="0" fillId="0" borderId="13" xfId="0" applyFont="1" applyBorder="1">
      <alignment horizontal="center" vertical="center" wrapText="1"/>
    </xf>
    <xf numFmtId="0" fontId="86" fillId="36" borderId="20" xfId="0" applyFont="1" applyFill="1" applyBorder="1">
      <alignment horizontal="center" vertical="center" wrapText="1"/>
    </xf>
    <xf numFmtId="49" fontId="23" fillId="0" borderId="0" xfId="0" applyFont="1" applyNumberFormat="1">
      <alignment vertical="center" wrapText="1"/>
    </xf>
    <xf numFmtId="49" fontId="23" fillId="42" borderId="13" xfId="0" applyFont="1" applyFill="1" applyBorder="1" applyNumberFormat="1">
      <alignment horizontal="center" vertical="center" wrapText="1"/>
    </xf>
    <xf numFmtId="49" fontId="23" fillId="36" borderId="13" xfId="0" applyFont="1" applyFill="1" applyBorder="1" applyNumberFormat="1">
      <alignment horizontal="center" vertical="center" wrapText="1"/>
    </xf>
    <xf numFmtId="49" fontId="23" fillId="41" borderId="13" xfId="0" applyFont="1" applyFill="1" applyBorder="1" applyNumberFormat="1">
      <alignment horizontal="left" vertical="center" wrapText="1" indent="1"/>
      <protection locked="0"/>
    </xf>
    <xf numFmtId="49" fontId="56" fillId="0" borderId="13" xfId="0" applyFont="1" applyBorder="1" applyNumberFormat="1">
      <alignment horizontal="center" vertical="center" wrapText="1"/>
    </xf>
    <xf numFmtId="0" fontId="23" fillId="36" borderId="13" xfId="0" applyFont="1" applyFill="1" applyBorder="1">
      <alignment horizontal="center" vertical="center" wrapText="1"/>
    </xf>
    <xf numFmtId="0" fontId="23" fillId="0" borderId="0" xfId="0" applyFont="1">
      <alignment horizontal="left" vertical="top" wrapText="1"/>
    </xf>
    <xf numFmtId="0" fontId="41" fillId="0" borderId="0" xfId="0" applyFont="1">
      <alignment vertical="center" wrapText="1"/>
    </xf>
    <xf numFmtId="0" fontId="46" fillId="36" borderId="0" xfId="0" applyFont="1" applyFill="1">
      <alignment horizontal="center" vertical="center" wrapText="1"/>
    </xf>
    <xf numFmtId="0" fontId="23" fillId="36" borderId="0" xfId="0" applyFont="1" applyFill="1"/>
    <xf numFmtId="49" fontId="41" fillId="0" borderId="0" xfId="0" applyFont="1" applyNumberFormat="1">
      <alignment vertical="top"/>
    </xf>
    <xf numFmtId="49" fontId="23" fillId="0" borderId="0" xfId="0" applyFont="1" applyNumberFormat="1">
      <alignment vertical="top"/>
    </xf>
    <xf numFmtId="49" fontId="46" fillId="0" borderId="0" xfId="0" applyFont="1" applyNumberFormat="1">
      <alignment horizontal="center" vertical="center"/>
    </xf>
    <xf numFmtId="0" fontId="52" fillId="36" borderId="0" xfId="0" applyFont="1" applyFill="1">
      <alignment horizontal="center" vertical="center" wrapText="1"/>
    </xf>
    <xf numFmtId="0" fontId="41" fillId="36" borderId="0" xfId="0" applyFont="1" applyFill="1"/>
    <xf numFmtId="0" fontId="23" fillId="36" borderId="13" xfId="0" applyFont="1" applyFill="1" applyBorder="1">
      <alignment horizontal="center" vertical="center" wrapText="1"/>
    </xf>
    <xf numFmtId="0" fontId="23" fillId="36" borderId="13" xfId="0" applyFont="1" applyFill="1" applyBorder="1">
      <alignment horizontal="center" vertical="center" wrapText="1"/>
    </xf>
    <xf numFmtId="49" fontId="23" fillId="0" borderId="0" xfId="0" applyFont="1" applyNumberFormat="1">
      <alignment vertical="top"/>
    </xf>
    <xf numFmtId="49" fontId="49" fillId="40" borderId="16" xfId="0" applyFont="1" applyFill="1" applyBorder="1" applyNumberFormat="1">
      <alignment horizontal="left" vertical="center"/>
    </xf>
    <xf numFmtId="49" fontId="53" fillId="40" borderId="16" xfId="0" applyFont="1" applyFill="1" applyBorder="1" applyNumberFormat="1">
      <alignment horizontal="center" vertical="top"/>
    </xf>
    <xf numFmtId="49" fontId="53" fillId="40" borderId="14" xfId="0" applyFont="1" applyFill="1" applyBorder="1" applyNumberFormat="1">
      <alignment horizontal="center" vertical="top"/>
    </xf>
    <xf numFmtId="49" fontId="23" fillId="0" borderId="0" xfId="0" applyFont="1" applyNumberFormat="1">
      <alignment horizontal="left" vertical="top" wrapText="1"/>
    </xf>
    <xf numFmtId="0" fontId="46" fillId="36" borderId="0" xfId="0" applyFont="1" applyFill="1">
      <alignment horizontal="center" vertical="center"/>
    </xf>
    <xf numFmtId="0" fontId="23" fillId="36" borderId="0" xfId="0" applyFont="1" applyFill="1"/>
    <xf numFmtId="0" fontId="23" fillId="0" borderId="14" xfId="0" applyFont="1" applyBorder="1">
      <alignment horizontal="left" vertical="center" wrapText="1" indent="1"/>
    </xf>
    <xf numFmtId="0" fontId="23" fillId="0" borderId="15" xfId="0" applyFont="1" applyBorder="1">
      <alignment horizontal="left" vertical="center" wrapText="1" indent="1"/>
    </xf>
    <xf numFmtId="0" fontId="70" fillId="0" borderId="0" xfId="0" applyFont="1"/>
    <xf numFmtId="0" fontId="23" fillId="0" borderId="13" xfId="0" applyFont="1" applyBorder="1">
      <alignment horizontal="center" vertical="center" wrapText="1"/>
    </xf>
    <xf numFmtId="0" fontId="23" fillId="36" borderId="18" xfId="0" applyFont="1" applyFill="1" applyBorder="1">
      <alignment horizontal="center" vertical="center"/>
    </xf>
    <xf numFmtId="49" fontId="23" fillId="0" borderId="18" xfId="0" applyFont="1" applyBorder="1" applyNumberFormat="1">
      <alignment horizontal="left" vertical="center" wrapText="1"/>
    </xf>
    <xf numFmtId="49" fontId="35" fillId="40" borderId="15" xfId="0" applyFont="1" applyFill="1" applyBorder="1" applyNumberFormat="1">
      <alignment horizontal="center" vertical="center"/>
    </xf>
    <xf numFmtId="49" fontId="49" fillId="40" borderId="14" xfId="0" applyFont="1" applyFill="1" applyBorder="1" applyNumberFormat="1">
      <alignment horizontal="left" vertical="center"/>
    </xf>
    <xf numFmtId="49" fontId="54" fillId="0" borderId="0" xfId="0" applyFont="1" applyNumberFormat="1">
      <alignment horizontal="right" vertical="top"/>
    </xf>
    <xf numFmtId="49" fontId="23" fillId="0" borderId="0" xfId="0" applyFont="1" applyNumberFormat="1">
      <alignment horizontal="left" vertical="top" wrapText="1"/>
    </xf>
    <xf numFmtId="49" fontId="54" fillId="0" borderId="0" xfId="0" applyFont="1" applyNumberFormat="1">
      <alignment vertical="top"/>
    </xf>
    <xf numFmtId="0" fontId="46" fillId="0" borderId="0" xfId="0" applyFont="1">
      <alignment horizontal="center" vertical="center"/>
    </xf>
    <xf numFmtId="49" fontId="23" fillId="36" borderId="13" xfId="0" applyFont="1" applyFill="1" applyBorder="1" applyNumberFormat="1">
      <alignment horizontal="center" vertical="center"/>
    </xf>
    <xf numFmtId="49" fontId="23" fillId="41" borderId="13" xfId="0" applyFont="1" applyFill="1" applyBorder="1" applyNumberFormat="1">
      <alignment horizontal="left" vertical="center" wrapText="1"/>
      <protection locked="0"/>
    </xf>
    <xf numFmtId="0" fontId="23" fillId="41" borderId="13" xfId="0" applyFont="1" applyFill="1" applyBorder="1">
      <alignment horizontal="center" vertical="center" wrapText="1"/>
      <protection locked="0"/>
    </xf>
    <xf numFmtId="0" fontId="55" fillId="36" borderId="0" xfId="0" applyFont="1" applyFill="1"/>
    <xf numFmtId="49" fontId="23" fillId="36" borderId="13" xfId="0" applyFont="1" applyFill="1" applyBorder="1" applyNumberFormat="1">
      <alignment horizontal="center" vertical="center" wrapText="1"/>
    </xf>
    <xf numFmtId="0" fontId="0" fillId="36" borderId="13" xfId="0" applyFont="1" applyFill="1" applyBorder="1">
      <alignment horizontal="center" vertical="center" wrapText="1"/>
    </xf>
    <xf numFmtId="0" fontId="74" fillId="36" borderId="0" xfId="0" applyFont="1" applyFill="1"/>
    <xf numFmtId="0" fontId="23" fillId="36" borderId="13" xfId="0" applyFont="1" applyFill="1" applyBorder="1">
      <alignment horizontal="left" vertical="center" wrapText="1"/>
    </xf>
    <xf numFmtId="0" fontId="23" fillId="0" borderId="13" xfId="0" applyFont="1" applyBorder="1">
      <alignment horizontal="center" vertical="center" wrapText="1"/>
    </xf>
    <xf numFmtId="49" fontId="23" fillId="0" borderId="13" xfId="0" applyFont="1" applyBorder="1" applyNumberFormat="1">
      <alignment horizontal="center" vertical="center"/>
    </xf>
    <xf numFmtId="0" fontId="23" fillId="0" borderId="13" xfId="0" applyFont="1" applyBorder="1">
      <alignment horizontal="left" vertical="center" wrapText="1" indent="1"/>
    </xf>
    <xf numFmtId="0" fontId="23" fillId="0" borderId="13" xfId="0" applyFont="1" applyBorder="1">
      <alignment vertical="center" wrapText="1"/>
    </xf>
    <xf numFmtId="0" fontId="23" fillId="36" borderId="13" xfId="0" applyFont="1" applyFill="1" applyBorder="1">
      <alignment horizontal="left" vertical="center" wrapText="1" indent="1"/>
    </xf>
    <xf numFmtId="49" fontId="23" fillId="33" borderId="13" xfId="0" applyFont="1" applyFill="1" applyBorder="1" applyNumberFormat="1">
      <alignment horizontal="left" vertical="center" wrapText="1"/>
      <protection locked="0"/>
    </xf>
    <xf numFmtId="0" fontId="56" fillId="36" borderId="0" xfId="0" applyFont="1" applyFill="1">
      <alignment horizontal="center" vertical="center" wrapText="1"/>
    </xf>
    <xf numFmtId="0" fontId="23" fillId="36" borderId="25" xfId="0" applyFont="1" applyFill="1" applyBorder="1">
      <alignment horizontal="center" vertical="center" wrapText="1"/>
    </xf>
    <xf numFmtId="0" fontId="0" fillId="36" borderId="18" xfId="0" applyFont="1" applyFill="1" applyBorder="1">
      <alignment horizontal="left" vertical="top" wrapText="1"/>
    </xf>
    <xf numFmtId="0" fontId="73" fillId="36" borderId="0" xfId="0" applyFont="1" applyFill="1"/>
    <xf numFmtId="0" fontId="79" fillId="36" borderId="0" xfId="0" applyFont="1" applyFill="1">
      <alignment vertical="center" wrapText="1"/>
    </xf>
    <xf numFmtId="0" fontId="56" fillId="36" borderId="13" xfId="0" applyFont="1" applyFill="1" applyBorder="1">
      <alignment horizontal="center" vertical="center"/>
    </xf>
    <xf numFmtId="0" fontId="0" fillId="36" borderId="37" xfId="0" applyFont="1" applyFill="1" applyBorder="1">
      <alignment horizontal="left" vertical="top" wrapText="1"/>
    </xf>
    <xf numFmtId="0" fontId="0" fillId="36" borderId="24" xfId="0" applyFont="1" applyFill="1" applyBorder="1">
      <alignment horizontal="left" vertical="top" wrapText="1"/>
    </xf>
    <xf numFmtId="0" fontId="90" fillId="36" borderId="0" xfId="0" applyFont="1" applyFill="1"/>
    <xf numFmtId="0" fontId="23" fillId="0" borderId="13" xfId="0" applyFont="1" applyBorder="1">
      <alignment horizontal="center" vertical="center" wrapText="1"/>
    </xf>
    <xf numFmtId="49" fontId="23" fillId="42" borderId="13" xfId="0" applyFont="1" applyFill="1" applyBorder="1" applyNumberFormat="1">
      <alignment horizontal="left" vertical="center" wrapText="1"/>
    </xf>
    <xf numFmtId="14" fontId="23" fillId="41" borderId="13" xfId="0" applyFont="1" applyFill="1" applyBorder="1" applyNumberFormat="1">
      <alignment horizontal="left" vertical="center" wrapText="1" indent="1"/>
      <protection locked="0"/>
    </xf>
    <xf numFmtId="0" fontId="119" fillId="0" borderId="0" xfId="0" applyFont="1">
      <alignment vertical="center"/>
    </xf>
    <xf numFmtId="0" fontId="46" fillId="0" borderId="0" xfId="0" applyFont="1">
      <alignment horizontal="center" vertical="center" wrapText="1"/>
    </xf>
    <xf numFmtId="4" fontId="23" fillId="0" borderId="18" xfId="0" applyFont="1" applyBorder="1" applyNumberFormat="1">
      <alignment horizontal="center" vertical="center" wrapText="1"/>
    </xf>
    <xf numFmtId="249" fontId="23" fillId="0" borderId="38" xfId="0" applyFont="1" applyBorder="1" applyNumberFormat="1">
      <alignment horizontal="center" vertical="center" wrapText="1"/>
    </xf>
    <xf numFmtId="249" fontId="23" fillId="0" borderId="18" xfId="0" applyFont="1" applyBorder="1" applyNumberFormat="1">
      <alignment horizontal="center" vertical="center" wrapText="1"/>
    </xf>
    <xf numFmtId="4" fontId="23" fillId="0" borderId="24" xfId="0" applyFont="1" applyBorder="1" applyNumberFormat="1">
      <alignment horizontal="center" vertical="center" wrapText="1"/>
    </xf>
    <xf numFmtId="14" fontId="23" fillId="42" borderId="13" xfId="0" applyFont="1" applyFill="1" applyBorder="1" applyNumberFormat="1">
      <alignment horizontal="left" vertical="center" wrapText="1"/>
    </xf>
    <xf numFmtId="49" fontId="23" fillId="0" borderId="21" xfId="0" applyFont="1" applyBorder="1" applyNumberFormat="1">
      <alignment horizontal="left" vertical="top" wrapText="1"/>
    </xf>
    <xf numFmtId="49" fontId="35" fillId="40" borderId="28" xfId="0" applyFont="1" applyFill="1" applyBorder="1" applyNumberFormat="1">
      <alignment horizontal="right" vertical="center" wrapText="1"/>
    </xf>
    <xf numFmtId="49" fontId="0" fillId="40" borderId="29" xfId="0" applyFont="1" applyFill="1" applyBorder="1" applyNumberFormat="1">
      <alignment horizontal="right" vertical="center" wrapText="1"/>
    </xf>
    <xf numFmtId="49" fontId="23" fillId="0" borderId="31" xfId="0" applyFont="1" applyBorder="1" applyNumberFormat="1">
      <alignment horizontal="left" vertical="top" wrapText="1"/>
    </xf>
    <xf numFmtId="0" fontId="119" fillId="0" borderId="0" xfId="0" applyFont="1">
      <alignment vertical="center" wrapText="1"/>
    </xf>
    <xf numFmtId="0" fontId="23" fillId="38" borderId="24" xfId="0" applyFont="1" applyFill="1" applyBorder="1">
      <alignment horizontal="left" vertical="center" wrapText="1" indent="1"/>
    </xf>
    <xf numFmtId="250" fontId="56" fillId="0" borderId="0" xfId="0" applyFont="1" applyNumberFormat="1">
      <alignment horizontal="center" vertical="center" wrapText="1"/>
    </xf>
    <xf numFmtId="249" fontId="23" fillId="0" borderId="18" xfId="0" applyFont="1" applyBorder="1" applyNumberFormat="1">
      <alignment horizontal="center" vertical="center" wrapText="1"/>
    </xf>
    <xf numFmtId="249" fontId="23" fillId="0" borderId="18" xfId="0" applyFont="1" applyBorder="1" applyNumberFormat="1">
      <alignment horizontal="center" vertical="center" wrapText="1"/>
    </xf>
    <xf numFmtId="249" fontId="23" fillId="0" borderId="15" xfId="0" applyFont="1" applyBorder="1" applyNumberFormat="1">
      <alignment horizontal="center" vertical="center" wrapText="1"/>
    </xf>
    <xf numFmtId="249" fontId="23" fillId="0" borderId="16" xfId="0" applyFont="1" applyBorder="1" applyNumberFormat="1">
      <alignment horizontal="center" vertical="center" wrapText="1"/>
    </xf>
    <xf numFmtId="249" fontId="23" fillId="0" borderId="14" xfId="0" applyFont="1" applyBorder="1" applyNumberFormat="1">
      <alignment horizontal="center" vertical="center" wrapText="1"/>
    </xf>
    <xf numFmtId="4" fontId="23" fillId="0" borderId="37" xfId="0" applyFont="1" applyBorder="1" applyNumberFormat="1">
      <alignment horizontal="center" vertical="center" wrapText="1"/>
    </xf>
    <xf numFmtId="249" fontId="23" fillId="0" borderId="24" xfId="0" applyFont="1" applyBorder="1" applyNumberFormat="1">
      <alignment horizontal="center" vertical="center" wrapText="1"/>
    </xf>
    <xf numFmtId="249" fontId="23" fillId="0" borderId="24" xfId="0" applyFont="1" applyBorder="1" applyNumberFormat="1">
      <alignment horizontal="center" vertical="center" wrapText="1"/>
    </xf>
    <xf numFmtId="249" fontId="23" fillId="0" borderId="24" xfId="0" applyFont="1" applyBorder="1" applyNumberFormat="1">
      <alignment horizontal="center" vertical="center" wrapText="1"/>
    </xf>
    <xf numFmtId="14" fontId="23" fillId="41" borderId="24" xfId="0" applyFont="1" applyFill="1" applyBorder="1" applyNumberFormat="1">
      <alignment horizontal="left" vertical="center" wrapText="1" indent="1"/>
      <protection locked="0"/>
    </xf>
    <xf numFmtId="14" fontId="23" fillId="42" borderId="13" xfId="0" applyFont="1" applyFill="1" applyBorder="1" applyNumberFormat="1">
      <alignment horizontal="left" vertical="center" wrapText="1"/>
    </xf>
    <xf numFmtId="49" fontId="23" fillId="42" borderId="15" xfId="0" applyFont="1" applyFill="1" applyBorder="1" applyNumberFormat="1">
      <alignment horizontal="left" vertical="center" wrapText="1"/>
    </xf>
    <xf numFmtId="49" fontId="35" fillId="40" borderId="29" xfId="0" applyFont="1" applyFill="1" applyBorder="1" applyNumberFormat="1">
      <alignment horizontal="right" vertical="center" wrapText="1"/>
    </xf>
    <xf numFmtId="49" fontId="29" fillId="40" borderId="29" xfId="0" applyFont="1" applyFill="1" applyBorder="1" applyNumberFormat="1">
      <alignment horizontal="left" vertical="center" wrapText="1"/>
    </xf>
    <xf numFmtId="49" fontId="29" fillId="40" borderId="24" xfId="0" applyFont="1" applyFill="1" applyBorder="1" applyNumberFormat="1">
      <alignment horizontal="left" vertical="center" wrapText="1"/>
    </xf>
    <xf numFmtId="0" fontId="56" fillId="0" borderId="29" xfId="0" applyFont="1" applyBorder="1">
      <alignment horizontal="center" vertical="center" wrapText="1"/>
    </xf>
    <xf numFmtId="0" fontId="51" fillId="0" borderId="0" xfId="0" applyFont="1">
      <alignment horizontal="center" vertical="center" wrapText="1"/>
    </xf>
    <xf numFmtId="0" fontId="23" fillId="0" borderId="0" xfId="0" applyFont="1">
      <alignment horizontal="center" vertical="center" wrapText="1"/>
    </xf>
    <xf numFmtId="249" fontId="54" fillId="0" borderId="59" xfId="0" applyFont="1" applyBorder="1" applyNumberFormat="1">
      <alignment horizontal="center" vertical="center" wrapText="1"/>
    </xf>
    <xf numFmtId="249" fontId="54" fillId="0" borderId="59" xfId="0" applyFont="1" applyBorder="1" applyNumberFormat="1">
      <alignment horizontal="center" vertical="center" wrapText="1"/>
    </xf>
    <xf numFmtId="249" fontId="54" fillId="0" borderId="58" xfId="0" applyFont="1" applyBorder="1" applyNumberFormat="1">
      <alignment horizontal="center" vertical="center" wrapText="1"/>
    </xf>
    <xf numFmtId="249" fontId="54" fillId="0" borderId="52" xfId="0" applyFont="1" applyBorder="1" applyNumberFormat="1">
      <alignment horizontal="center" vertical="center" wrapText="1"/>
    </xf>
    <xf numFmtId="249" fontId="54" fillId="0" borderId="77" xfId="0" applyFont="1" applyBorder="1" applyNumberFormat="1">
      <alignment horizontal="center" vertical="center" wrapText="1"/>
    </xf>
    <xf numFmtId="0" fontId="56" fillId="0" borderId="0" xfId="0" applyFont="1">
      <alignment horizontal="center" vertical="center"/>
    </xf>
    <xf numFmtId="0" fontId="56" fillId="0" borderId="0" xfId="0" applyFont="1">
      <alignment horizontal="center" vertical="center"/>
    </xf>
    <xf numFmtId="0" fontId="61" fillId="0" borderId="0" xfId="0" applyFont="1">
      <alignment horizontal="center" vertical="center"/>
    </xf>
    <xf numFmtId="0" fontId="23" fillId="0" borderId="24" xfId="0" applyFont="1" applyBorder="1">
      <alignment horizontal="center" vertical="center" wrapText="1"/>
    </xf>
    <xf numFmtId="249" fontId="23" fillId="0" borderId="13" xfId="0" applyFont="1" applyBorder="1" applyNumberFormat="1">
      <alignment horizontal="center" vertical="center" wrapText="1"/>
    </xf>
    <xf numFmtId="249" fontId="23" fillId="0" borderId="13" xfId="0" applyFont="1" applyBorder="1" applyNumberFormat="1">
      <alignment horizontal="center" vertical="center" wrapText="1"/>
    </xf>
    <xf numFmtId="0" fontId="23" fillId="38" borderId="24" xfId="0" applyFont="1" applyFill="1" applyBorder="1">
      <alignment horizontal="left" vertical="center" wrapText="1"/>
    </xf>
    <xf numFmtId="14" fontId="23" fillId="42" borderId="24" xfId="0" applyFont="1" applyFill="1" applyBorder="1" applyNumberFormat="1">
      <alignment horizontal="left" vertical="center" wrapText="1"/>
    </xf>
    <xf numFmtId="49" fontId="23" fillId="42" borderId="28" xfId="0" applyFont="1" applyFill="1" applyBorder="1" applyNumberFormat="1">
      <alignment horizontal="left" vertical="center" wrapText="1"/>
    </xf>
    <xf numFmtId="49" fontId="29" fillId="41" borderId="29" xfId="0" applyFont="1" applyFill="1" applyBorder="1" applyNumberFormat="1">
      <alignment horizontal="left" vertical="center" wrapText="1"/>
      <protection locked="0"/>
    </xf>
    <xf numFmtId="49" fontId="29" fillId="41" borderId="28" xfId="0" applyFont="1" applyFill="1" applyBorder="1" applyNumberFormat="1">
      <alignment horizontal="left" vertical="center" wrapText="1"/>
      <protection locked="0"/>
    </xf>
    <xf numFmtId="49" fontId="29" fillId="41" borderId="24" xfId="0" applyFont="1" applyFill="1" applyBorder="1" applyNumberFormat="1">
      <alignment horizontal="left" vertical="center" wrapText="1"/>
      <protection locked="0"/>
    </xf>
    <xf numFmtId="49" fontId="0" fillId="40" borderId="13" xfId="0" applyFont="1" applyFill="1" applyBorder="1" applyNumberFormat="1">
      <alignment horizontal="right" vertical="center" wrapText="1"/>
    </xf>
    <xf numFmtId="0" fontId="23" fillId="0" borderId="0" xfId="0" applyFont="1"/>
    <xf numFmtId="49" fontId="23" fillId="0" borderId="13" xfId="0" applyFont="1" applyBorder="1" applyNumberFormat="1">
      <alignment horizontal="left" vertical="center" wrapText="1"/>
    </xf>
    <xf numFmtId="49" fontId="49" fillId="40" borderId="14" xfId="0" applyFont="1" applyFill="1" applyBorder="1" applyNumberFormat="1">
      <alignment horizontal="left" vertical="center"/>
    </xf>
    <xf numFmtId="49" fontId="0" fillId="0" borderId="16" xfId="0" applyFont="1" applyBorder="1" applyNumberFormat="1">
      <alignment horizontal="left" vertical="center" indent="1"/>
    </xf>
    <xf numFmtId="49" fontId="71" fillId="0" borderId="0" xfId="0" applyFont="1" applyNumberFormat="1">
      <alignment vertical="top"/>
    </xf>
    <xf numFmtId="49" fontId="0" fillId="0" borderId="26" xfId="0" applyFont="1" applyBorder="1" applyNumberFormat="1">
      <alignment horizontal="center" vertical="center"/>
    </xf>
    <xf numFmtId="49" fontId="0" fillId="0" borderId="0" xfId="0" applyFont="1" applyNumberFormat="1">
      <alignment vertical="top"/>
    </xf>
    <xf numFmtId="49" fontId="0" fillId="0" borderId="0" xfId="0" applyFont="1" applyNumberFormat="1">
      <alignment vertical="top"/>
    </xf>
    <xf numFmtId="49" fontId="0" fillId="0" borderId="13" xfId="0" applyFont="1" applyBorder="1" applyNumberFormat="1">
      <alignment vertical="top"/>
    </xf>
    <xf numFmtId="49" fontId="0" fillId="0" borderId="15" xfId="0" applyFont="1" applyBorder="1" applyNumberFormat="1">
      <alignment vertical="top"/>
    </xf>
    <xf numFmtId="49" fontId="0" fillId="0" borderId="13" xfId="0" applyFont="1" applyBorder="1" applyNumberFormat="1">
      <alignment horizontal="center" vertical="top"/>
    </xf>
    <xf numFmtId="49" fontId="0" fillId="0" borderId="15" xfId="0" applyFont="1" applyBorder="1" applyNumberFormat="1">
      <alignment horizontal="center" vertical="top"/>
    </xf>
    <xf numFmtId="49" fontId="0" fillId="0" borderId="13" xfId="0" applyFont="1" applyBorder="1" applyNumberFormat="1">
      <alignment vertical="top"/>
    </xf>
    <xf numFmtId="49" fontId="0" fillId="44" borderId="18" xfId="0" applyFont="1" applyFill="1" applyBorder="1" applyNumberFormat="1">
      <alignment vertical="top"/>
    </xf>
    <xf numFmtId="49" fontId="0" fillId="0" borderId="15" xfId="0" applyFont="1" applyBorder="1" applyNumberFormat="1">
      <alignment horizontal="center" vertical="top"/>
    </xf>
    <xf numFmtId="49" fontId="0" fillId="45" borderId="13" xfId="0" applyFont="1" applyFill="1" applyBorder="1" applyNumberFormat="1">
      <alignment vertical="top"/>
    </xf>
    <xf numFmtId="49" fontId="0" fillId="0" borderId="16" xfId="0" applyFont="1" applyBorder="1" applyNumberFormat="1">
      <alignment horizontal="center" vertical="top"/>
    </xf>
    <xf numFmtId="49" fontId="0" fillId="3" borderId="13" xfId="0" applyFont="1" applyFill="1" applyBorder="1" applyNumberFormat="1">
      <alignment vertical="top"/>
    </xf>
    <xf numFmtId="49" fontId="0" fillId="46" borderId="13" xfId="0" applyFont="1" applyFill="1" applyBorder="1" applyNumberFormat="1">
      <alignment vertical="top"/>
    </xf>
    <xf numFmtId="49" fontId="0" fillId="16" borderId="18" xfId="0" applyFont="1" applyFill="1" applyBorder="1" applyNumberFormat="1">
      <alignment vertical="top"/>
    </xf>
    <xf numFmtId="49" fontId="0" fillId="5" borderId="15" xfId="0" applyFont="1" applyFill="1" applyBorder="1" applyNumberFormat="1">
      <alignment vertical="top"/>
    </xf>
    <xf numFmtId="49" fontId="0" fillId="5" borderId="13" xfId="0" applyFont="1" applyFill="1" applyBorder="1" applyNumberFormat="1">
      <alignment vertical="top"/>
    </xf>
    <xf numFmtId="49" fontId="0" fillId="16" borderId="13" xfId="0" applyFont="1" applyFill="1" applyBorder="1" applyNumberFormat="1">
      <alignment vertical="top"/>
    </xf>
    <xf numFmtId="49" fontId="0" fillId="0" borderId="0" xfId="0" applyFont="1" applyNumberFormat="1">
      <alignment vertical="top"/>
    </xf>
    <xf numFmtId="0" fontId="0" fillId="0" borderId="0" xfId="0" applyFont="1">
      <alignment vertical="top"/>
    </xf>
    <xf numFmtId="0" fontId="0" fillId="0" borderId="0" xfId="0" applyFont="1"/>
    <xf numFmtId="0" fontId="1" fillId="0" borderId="0" xfId="0" applyFont="1"/>
    <xf numFmtId="0" fontId="37" fillId="0" borderId="0" xfId="0" applyFont="1"/>
    <xf numFmtId="0" fontId="37" fillId="0" borderId="0" xfId="0" applyFont="1"/>
    <xf numFmtId="49" fontId="23" fillId="38" borderId="12" xfId="0" applyFont="1" applyFill="1" applyBorder="1" applyNumberFormat="1">
      <alignment horizontal="center" vertical="top"/>
    </xf>
    <xf numFmtId="49" fontId="47" fillId="0" borderId="6" xfId="0" applyFont="1" applyBorder="1" applyNumberFormat="1">
      <alignment vertical="top" wrapText="1"/>
    </xf>
    <xf numFmtId="0" fontId="0" fillId="0" borderId="6" xfId="0" applyFont="1" applyBorder="1">
      <alignment vertical="top" wrapText="1"/>
    </xf>
    <xf numFmtId="0" fontId="22" fillId="0" borderId="19" xfId="0" applyFont="1" applyBorder="1">
      <alignment vertical="top" wrapText="1"/>
    </xf>
    <xf numFmtId="0" fontId="0" fillId="0" borderId="0" xfId="0" applyFont="1">
      <alignment vertical="top"/>
    </xf>
    <xf numFmtId="0" fontId="0" fillId="0" borderId="13" xfId="0" applyFont="1" applyBorder="1">
      <alignment vertical="top" wrapText="1"/>
    </xf>
    <xf numFmtId="49" fontId="0" fillId="0" borderId="13" xfId="0" applyFont="1" applyBorder="1" applyNumberFormat="1">
      <alignment vertical="top" wrapText="1"/>
    </xf>
    <xf numFmtId="49" fontId="0" fillId="0" borderId="18" xfId="0" applyFont="1" applyBorder="1" applyNumberFormat="1">
      <alignment vertical="top"/>
    </xf>
    <xf numFmtId="49" fontId="0" fillId="0" borderId="0" xfId="0" applyFont="1" applyNumberFormat="1">
      <alignment vertical="top"/>
    </xf>
    <xf numFmtId="0" fontId="35" fillId="0" borderId="6" xfId="0" applyFont="1" applyBorder="1">
      <alignment vertical="center" wrapText="1"/>
    </xf>
    <xf numFmtId="0" fontId="22" fillId="0" borderId="0" xfId="0" applyFont="1">
      <alignment vertical="top" wrapText="1"/>
    </xf>
    <xf numFmtId="0" fontId="23" fillId="0" borderId="6" xfId="0" applyFont="1" applyBorder="1">
      <alignment vertical="center" wrapText="1"/>
    </xf>
    <xf numFmtId="0" fontId="122" fillId="0" borderId="0" xfId="0" applyFont="1">
      <alignment wrapText="1"/>
    </xf>
    <xf numFmtId="49" fontId="72" fillId="0" borderId="0" xfId="0" applyFont="1" applyNumberFormat="1">
      <alignment wrapText="1"/>
    </xf>
    <xf numFmtId="49" fontId="72" fillId="0" borderId="0" xfId="0" applyFont="1" applyNumberFormat="1">
      <alignment vertical="center" wrapText="1"/>
    </xf>
    <xf numFmtId="49" fontId="123" fillId="0" borderId="0" xfId="0" applyFont="1" applyNumberFormat="1">
      <alignment wrapText="1"/>
    </xf>
    <xf numFmtId="0" fontId="108" fillId="0" borderId="0" xfId="0" applyFont="1">
      <alignment vertical="center" wrapText="1"/>
    </xf>
    <xf numFmtId="0" fontId="108" fillId="0" borderId="0" xfId="0" applyFont="1">
      <alignment horizontal="left" vertical="center" wrapText="1"/>
    </xf>
    <xf numFmtId="49" fontId="124" fillId="0" borderId="0" xfId="0" applyFont="1" applyNumberFormat="1">
      <alignment wrapText="1"/>
    </xf>
    <xf numFmtId="0" fontId="108" fillId="0" borderId="0" xfId="0" applyFont="1">
      <alignment vertical="center"/>
    </xf>
    <xf numFmtId="0" fontId="22" fillId="0" borderId="0" xfId="0" applyFont="1">
      <alignment horizontal="left" vertical="top" wrapText="1"/>
    </xf>
    <xf numFmtId="49" fontId="23" fillId="0" borderId="0" xfId="0" applyFont="1" applyNumberFormat="1">
      <alignment vertical="top" wrapText="1"/>
    </xf>
    <xf numFmtId="0" fontId="22" fillId="35" borderId="66" xfId="0" applyFont="1" applyFill="1" applyBorder="1">
      <alignment horizontal="center" vertical="center" wrapText="1"/>
    </xf>
    <xf numFmtId="0" fontId="22" fillId="35" borderId="67" xfId="0" applyFont="1" applyFill="1" applyBorder="1">
      <alignment horizontal="center" vertical="center" wrapText="1"/>
    </xf>
    <xf numFmtId="0" fontId="22" fillId="35" borderId="68" xfId="0" applyFont="1" applyFill="1" applyBorder="1">
      <alignment horizontal="center" vertical="center" wrapText="1"/>
    </xf>
    <xf numFmtId="0" fontId="72" fillId="0" borderId="0" xfId="0" applyFont="1">
      <alignment wrapText="1"/>
    </xf>
    <xf numFmtId="0" fontId="22" fillId="47" borderId="39" xfId="0" applyFont="1" applyFill="1" applyBorder="1">
      <alignment horizontal="right" vertical="center" wrapText="1" indent="1"/>
    </xf>
    <xf numFmtId="0" fontId="22" fillId="47" borderId="69" xfId="0" applyFont="1" applyFill="1" applyBorder="1">
      <alignment horizontal="right" vertical="center" wrapText="1" indent="1"/>
    </xf>
    <xf numFmtId="0" fontId="125" fillId="0" borderId="0" xfId="0" applyFont="1">
      <alignment horizontal="left" vertical="center" wrapText="1"/>
    </xf>
    <xf numFmtId="0" fontId="126" fillId="0" borderId="0" xfId="0" applyFont="1">
      <alignment vertical="center" wrapText="1"/>
    </xf>
    <xf numFmtId="0" fontId="72" fillId="0" borderId="39" xfId="0" applyFont="1" applyBorder="1">
      <alignment wrapText="1"/>
    </xf>
    <xf numFmtId="0" fontId="72" fillId="0" borderId="0" xfId="0" applyFont="1"/>
    <xf numFmtId="0" fontId="125" fillId="0" borderId="0" xfId="0" applyFont="1"/>
    <xf numFmtId="0" fontId="127" fillId="0" borderId="0" xfId="0" applyFont="1">
      <alignment wrapText="1"/>
    </xf>
    <xf numFmtId="0" fontId="0" fillId="33" borderId="63" xfId="0" applyFont="1" applyFill="1" applyBorder="1">
      <alignment horizontal="center" vertical="center" wrapText="1"/>
    </xf>
    <xf numFmtId="0" fontId="127" fillId="0" borderId="39" xfId="0" applyFont="1" applyBorder="1">
      <alignment vertical="center" wrapText="1"/>
    </xf>
    <xf numFmtId="0" fontId="127" fillId="0" borderId="0" xfId="0" applyFont="1">
      <alignment vertical="center" wrapText="1"/>
    </xf>
    <xf numFmtId="0" fontId="0" fillId="54" borderId="63" xfId="0" applyFont="1" applyFill="1" applyBorder="1">
      <alignment horizontal="center" vertical="center" wrapText="1"/>
    </xf>
    <xf numFmtId="0" fontId="127" fillId="0" borderId="39" xfId="0" applyFont="1" applyBorder="1">
      <alignment horizontal="left" vertical="center" wrapText="1"/>
    </xf>
    <xf numFmtId="0" fontId="127" fillId="0" borderId="0" xfId="0" applyFont="1">
      <alignment horizontal="left" vertical="center" wrapText="1"/>
    </xf>
    <xf numFmtId="0" fontId="0" fillId="38" borderId="63" xfId="0" applyFont="1" applyFill="1" applyBorder="1">
      <alignment horizontal="center" vertical="center" wrapText="1"/>
    </xf>
    <xf numFmtId="0" fontId="0" fillId="41" borderId="63" xfId="0" applyFont="1" applyFill="1" applyBorder="1">
      <alignment horizontal="center" vertical="center" wrapText="1"/>
    </xf>
    <xf numFmtId="0" fontId="22" fillId="47" borderId="0" xfId="0" applyFont="1" applyFill="1">
      <alignment horizontal="right" vertical="center" wrapText="1" indent="1"/>
    </xf>
    <xf numFmtId="0" fontId="125" fillId="0" borderId="39" xfId="0" applyFont="1" applyBorder="1">
      <alignment horizontal="left" vertical="center" wrapText="1"/>
    </xf>
    <xf numFmtId="0" fontId="125" fillId="0" borderId="64" xfId="0" applyFont="1" applyBorder="1">
      <alignment horizontal="left" vertical="center" wrapText="1"/>
    </xf>
    <xf numFmtId="0" fontId="22" fillId="47" borderId="63" xfId="0" applyFont="1" applyFill="1" applyBorder="1">
      <alignment horizontal="right" vertical="center" wrapText="1" indent="1"/>
    </xf>
    <xf numFmtId="0" fontId="22" fillId="47" borderId="70" xfId="0" applyFont="1" applyFill="1" applyBorder="1">
      <alignment horizontal="right" vertical="center" wrapText="1" indent="1"/>
    </xf>
    <xf numFmtId="0" fontId="127" fillId="0" borderId="0" xfId="0" applyFont="1"/>
    <xf numFmtId="0" fontId="127" fillId="0" borderId="39" xfId="0" applyFont="1" applyBorder="1">
      <alignment wrapText="1"/>
    </xf>
    <xf numFmtId="0" fontId="127" fillId="0" borderId="0" xfId="0" applyFont="1">
      <alignment vertical="top" wrapText="1"/>
    </xf>
    <xf numFmtId="0" fontId="22" fillId="47" borderId="65" xfId="0" applyFont="1" applyFill="1" applyBorder="1">
      <alignment horizontal="right" vertical="center" wrapText="1" indent="1"/>
    </xf>
    <xf numFmtId="0" fontId="22" fillId="47" borderId="40" xfId="0" applyFont="1" applyFill="1" applyBorder="1">
      <alignment horizontal="right" vertical="center" wrapText="1" indent="1"/>
    </xf>
    <xf numFmtId="0" fontId="72" fillId="0" borderId="65" xfId="0" applyFont="1" applyBorder="1">
      <alignment wrapText="1"/>
    </xf>
    <xf numFmtId="0" fontId="72" fillId="0" borderId="40" xfId="0" applyFont="1" applyBorder="1">
      <alignment wrapText="1"/>
    </xf>
    <xf numFmtId="0" fontId="72" fillId="0" borderId="40" xfId="0" applyFont="1" applyBorder="1">
      <alignment vertical="center" wrapText="1"/>
    </xf>
    <xf numFmtId="0" fontId="123" fillId="0" borderId="0" xfId="0" applyFont="1"/>
    <xf numFmtId="0" fontId="127" fillId="0" borderId="0" xfId="0" applyFont="1">
      <alignment vertical="top" wrapText="1"/>
    </xf>
    <xf numFmtId="49" fontId="72" fillId="0" borderId="0" xfId="0" applyFont="1" applyNumberFormat="1">
      <alignment vertical="top" wrapText="1"/>
    </xf>
    <xf numFmtId="0" fontId="37" fillId="0" borderId="0" xfId="0" applyFont="1"/>
    <xf numFmtId="0" fontId="69" fillId="0" borderId="0" xfId="0" applyFont="1">
      <alignment vertical="center" wrapText="1"/>
    </xf>
    <xf numFmtId="0" fontId="97" fillId="0" borderId="0" xfId="0" applyFont="1">
      <alignment horizontal="left" vertical="center" wrapText="1"/>
    </xf>
    <xf numFmtId="0" fontId="69" fillId="0" borderId="0" xfId="0" applyFont="1">
      <alignment horizontal="left" vertical="center" wrapText="1"/>
    </xf>
    <xf numFmtId="0" fontId="69" fillId="0" borderId="0" xfId="0" applyFont="1">
      <alignment vertical="center" wrapText="1"/>
    </xf>
    <xf numFmtId="0" fontId="41" fillId="0" borderId="0" xfId="0" applyFont="1">
      <alignment horizontal="center" vertical="center" wrapText="1"/>
    </xf>
    <xf numFmtId="0" fontId="41" fillId="0" borderId="0" xfId="0" applyFont="1">
      <alignment vertical="center" wrapText="1"/>
    </xf>
    <xf numFmtId="0" fontId="56" fillId="0" borderId="0" xfId="0" applyFont="1">
      <alignment vertical="center" wrapText="1"/>
    </xf>
    <xf numFmtId="0" fontId="41" fillId="0" borderId="0" xfId="0" applyFont="1">
      <alignment vertical="center" wrapText="1"/>
    </xf>
    <xf numFmtId="0" fontId="41" fillId="0" borderId="0" xfId="0" applyFont="1">
      <alignment horizontal="left" vertical="center" wrapText="1"/>
    </xf>
    <xf numFmtId="0" fontId="23" fillId="0" borderId="0" xfId="0" applyFont="1">
      <alignment horizontal="left" vertical="top" indent="1"/>
    </xf>
    <xf numFmtId="49" fontId="72" fillId="0" borderId="0" xfId="0" applyFont="1" applyNumberFormat="1">
      <alignment vertical="top"/>
    </xf>
    <xf numFmtId="49" fontId="129" fillId="0" borderId="0" xfId="0" applyFont="1" applyNumberFormat="1">
      <alignment vertical="center" wrapText="1"/>
    </xf>
    <xf numFmtId="49" fontId="130" fillId="0" borderId="0" xfId="0" applyFont="1" applyNumberFormat="1">
      <alignment vertical="center" wrapText="1"/>
    </xf>
    <xf numFmtId="0" fontId="0" fillId="0" borderId="0" xfId="0" applyFont="1">
      <alignment horizontal="left" vertical="center" indent="1"/>
    </xf>
    <xf numFmtId="49" fontId="0" fillId="0" borderId="0" xfId="0" applyFont="1" applyNumberFormat="1">
      <alignment vertical="top"/>
    </xf>
    <xf numFmtId="49" fontId="55" fillId="0" borderId="0" xfId="0" applyFont="1" applyNumberFormat="1">
      <alignment vertical="top"/>
    </xf>
    <xf numFmtId="49" fontId="0" fillId="0" borderId="0" xfId="0" applyFont="1" applyNumberFormat="1">
      <alignment vertical="top"/>
    </xf>
    <xf numFmtId="0" fontId="66" fillId="0" borderId="0" xfId="0" applyFont="1">
      <alignment vertical="center" wrapText="1"/>
    </xf>
    <xf numFmtId="0" fontId="97" fillId="0" borderId="0" xfId="0" applyFont="1">
      <alignment horizontal="left" vertical="center" wrapText="1"/>
    </xf>
    <xf numFmtId="0" fontId="64" fillId="0" borderId="0" xfId="0" applyFont="1">
      <alignment horizontal="left" vertical="center" wrapText="1"/>
    </xf>
    <xf numFmtId="0" fontId="65" fillId="0" borderId="0" xfId="0" applyFont="1">
      <alignment vertical="center" wrapText="1"/>
    </xf>
    <xf numFmtId="0" fontId="66" fillId="36" borderId="0" xfId="0" applyFont="1" applyFill="1">
      <alignment vertical="center" wrapText="1"/>
    </xf>
    <xf numFmtId="0" fontId="66" fillId="0" borderId="0" xfId="0" applyFont="1">
      <alignment vertical="center" wrapText="1"/>
    </xf>
    <xf numFmtId="0" fontId="66" fillId="0" borderId="0" xfId="0" applyFont="1">
      <alignment horizontal="right" vertical="center"/>
    </xf>
    <xf numFmtId="0" fontId="23" fillId="0" borderId="0" xfId="0" applyFont="1">
      <alignment horizontal="center" vertical="center" wrapText="1"/>
    </xf>
    <xf numFmtId="0" fontId="23" fillId="0" borderId="0" xfId="0" applyFont="1">
      <alignment vertical="center" wrapText="1"/>
    </xf>
    <xf numFmtId="0" fontId="94" fillId="0" borderId="0" xfId="0" applyFont="1">
      <alignment vertical="center" wrapText="1"/>
    </xf>
    <xf numFmtId="0" fontId="43" fillId="36" borderId="0" xfId="0" applyFont="1" applyFill="1">
      <alignment vertical="center" wrapText="1"/>
    </xf>
    <xf numFmtId="0" fontId="23" fillId="0" borderId="14" xfId="0" applyFont="1" applyBorder="1">
      <alignment horizontal="center" vertical="center" wrapText="1"/>
    </xf>
    <xf numFmtId="0" fontId="23" fillId="0" borderId="15" xfId="0" applyFont="1" applyBorder="1">
      <alignment horizontal="center" vertical="center" wrapText="1"/>
    </xf>
    <xf numFmtId="0" fontId="35" fillId="36" borderId="0" xfId="0" applyFont="1" applyFill="1">
      <alignment vertical="center" wrapText="1"/>
    </xf>
    <xf numFmtId="0" fontId="102" fillId="0" borderId="0" xfId="0" applyFont="1">
      <alignment vertical="center" wrapText="1"/>
    </xf>
    <xf numFmtId="0" fontId="66" fillId="36" borderId="0" xfId="0" applyFont="1" applyFill="1">
      <alignment horizontal="right" vertical="center" wrapText="1" indent="1"/>
    </xf>
    <xf numFmtId="0" fontId="68" fillId="36" borderId="0" xfId="0" applyFont="1" applyFill="1">
      <alignment horizontal="center" vertical="center" wrapText="1"/>
    </xf>
    <xf numFmtId="0" fontId="23" fillId="36" borderId="27" xfId="0" applyFont="1" applyFill="1" applyBorder="1">
      <alignment horizontal="right" vertical="center" wrapText="1" indent="1"/>
    </xf>
    <xf numFmtId="0" fontId="0" fillId="38" borderId="13" xfId="0" applyFont="1" applyFill="1" applyBorder="1">
      <alignment horizontal="left" vertical="center" wrapText="1" indent="1"/>
    </xf>
    <xf numFmtId="14" fontId="97" fillId="36" borderId="0" xfId="0" applyFont="1" applyFill="1" applyNumberFormat="1">
      <alignment horizontal="left" vertical="center" wrapText="1"/>
    </xf>
    <xf numFmtId="0" fontId="64" fillId="36" borderId="0" xfId="0" applyFont="1" applyFill="1">
      <alignment horizontal="center" vertical="center" wrapText="1"/>
    </xf>
    <xf numFmtId="0" fontId="66" fillId="36" borderId="0" xfId="0" applyFont="1" applyFill="1">
      <alignment horizontal="left" vertical="center" wrapText="1" indent="1"/>
    </xf>
    <xf numFmtId="0" fontId="23" fillId="36" borderId="0" xfId="0" applyFont="1" applyFill="1">
      <alignment horizontal="center" vertical="center" wrapText="1"/>
    </xf>
    <xf numFmtId="0" fontId="94" fillId="0" borderId="0" xfId="0" applyFont="1">
      <alignment horizontal="center" vertical="center" wrapText="1"/>
    </xf>
    <xf numFmtId="14" fontId="99" fillId="0" borderId="13" xfId="0" applyFont="1" applyBorder="1" applyNumberFormat="1">
      <alignment horizontal="center" vertical="center" wrapText="1"/>
    </xf>
    <xf numFmtId="0" fontId="23" fillId="36" borderId="13" xfId="0" applyFont="1" applyFill="1" applyBorder="1">
      <alignment horizontal="right" vertical="center" wrapText="1" indent="1"/>
    </xf>
    <xf numFmtId="250" fontId="0" fillId="41" borderId="14" xfId="0" applyFont="1" applyFill="1" applyBorder="1" applyNumberFormat="1">
      <alignment horizontal="left" vertical="center" wrapText="1" indent="1"/>
      <protection locked="0"/>
    </xf>
    <xf numFmtId="0" fontId="29" fillId="0" borderId="0" xfId="0" applyFont="1">
      <alignment horizontal="left" vertical="center" indent="1"/>
    </xf>
    <xf numFmtId="0" fontId="55" fillId="0" borderId="0" xfId="0" applyFont="1">
      <alignment vertical="center" wrapText="1"/>
    </xf>
    <xf numFmtId="0" fontId="23" fillId="36" borderId="0" xfId="0" applyFont="1" applyFill="1">
      <alignment vertical="center" wrapText="1"/>
    </xf>
    <xf numFmtId="0" fontId="23" fillId="0" borderId="0" xfId="0" applyFont="1">
      <alignment vertical="center" wrapText="1"/>
    </xf>
    <xf numFmtId="14" fontId="99" fillId="0" borderId="13" xfId="0" applyFont="1" applyBorder="1" applyNumberFormat="1">
      <alignment horizontal="left" vertical="center" wrapText="1"/>
    </xf>
    <xf numFmtId="0" fontId="42" fillId="0" borderId="0" xfId="0" applyFont="1">
      <alignment vertical="center" wrapText="1"/>
    </xf>
    <xf numFmtId="0" fontId="43" fillId="36" borderId="0" xfId="0" applyFont="1" applyFill="1">
      <alignment vertical="center" wrapText="1"/>
    </xf>
    <xf numFmtId="0" fontId="0" fillId="41" borderId="14" xfId="0" applyFont="1" applyFill="1" applyBorder="1">
      <alignment horizontal="left" vertical="center" wrapText="1" indent="1"/>
      <protection locked="0"/>
    </xf>
    <xf numFmtId="49" fontId="23" fillId="41" borderId="13" xfId="0" applyFont="1" applyFill="1" applyBorder="1" applyNumberFormat="1">
      <alignment horizontal="left" vertical="center" wrapText="1" indent="1"/>
      <protection locked="0"/>
    </xf>
    <xf numFmtId="250" fontId="0" fillId="0" borderId="13" xfId="0" applyFont="1" applyBorder="1" applyNumberFormat="1">
      <alignment horizontal="left" vertical="center" wrapText="1" indent="1"/>
    </xf>
    <xf numFmtId="0" fontId="0" fillId="36" borderId="0" xfId="0" applyFont="1" applyFill="1">
      <alignment horizontal="right" vertical="center" wrapText="1" indent="1"/>
    </xf>
    <xf numFmtId="0" fontId="102" fillId="0" borderId="0" xfId="0" applyFont="1">
      <alignment horizontal="left" vertical="center" wrapText="1"/>
    </xf>
    <xf numFmtId="0" fontId="23" fillId="36" borderId="0" xfId="0" applyFont="1" applyFill="1">
      <alignment horizontal="right" vertical="center" wrapText="1" indent="1"/>
    </xf>
    <xf numFmtId="0" fontId="23" fillId="0" borderId="0" xfId="0" applyFont="1">
      <alignment horizontal="center" vertical="center" wrapText="1"/>
    </xf>
    <xf numFmtId="0" fontId="23" fillId="36" borderId="0" xfId="0" applyFont="1" applyFill="1">
      <alignment horizontal="center" vertical="center" wrapText="1"/>
    </xf>
    <xf numFmtId="250" fontId="0" fillId="41" borderId="13" xfId="0" applyFont="1" applyFill="1" applyBorder="1" applyNumberFormat="1">
      <alignment horizontal="left" vertical="center" wrapText="1" indent="1"/>
      <protection locked="0"/>
    </xf>
    <xf numFmtId="0" fontId="0" fillId="36" borderId="0" xfId="0" applyFont="1" applyFill="1">
      <alignment horizontal="left" vertical="center" wrapText="1" indent="1"/>
    </xf>
    <xf numFmtId="49" fontId="23" fillId="0" borderId="13" xfId="0" applyFont="1" applyBorder="1" applyNumberFormat="1">
      <alignment horizontal="left" vertical="center" wrapText="1" indent="1"/>
    </xf>
    <xf numFmtId="0" fontId="42" fillId="0" borderId="0" xfId="0" applyFont="1">
      <alignment horizontal="center" vertical="center" wrapText="1"/>
    </xf>
    <xf numFmtId="0" fontId="44" fillId="36" borderId="0" xfId="0" applyFont="1" applyFill="1">
      <alignment horizontal="center" vertical="center" wrapText="1"/>
    </xf>
    <xf numFmtId="49" fontId="23" fillId="38" borderId="13" xfId="0" applyFont="1" applyFill="1" applyBorder="1" applyNumberFormat="1">
      <alignment horizontal="left" vertical="center" wrapText="1" indent="1"/>
    </xf>
    <xf numFmtId="14" fontId="23" fillId="36" borderId="0" xfId="0" applyFont="1" applyFill="1" applyNumberFormat="1">
      <alignment horizontal="center" vertical="center" wrapText="1"/>
    </xf>
    <xf numFmtId="0" fontId="0" fillId="36" borderId="27" xfId="0" applyFont="1" applyFill="1" applyBorder="1">
      <alignment horizontal="right" vertical="center" wrapText="1" indent="1"/>
    </xf>
    <xf numFmtId="49" fontId="23" fillId="33" borderId="13" xfId="0" applyFont="1" applyFill="1" applyBorder="1" applyNumberFormat="1">
      <alignment horizontal="left" vertical="center" wrapText="1" indent="1"/>
      <protection locked="0"/>
    </xf>
    <xf numFmtId="0" fontId="23" fillId="0" borderId="0" xfId="0" applyFont="1">
      <alignment vertical="center"/>
    </xf>
    <xf numFmtId="14" fontId="23" fillId="36" borderId="0" xfId="0" applyFont="1" applyFill="1" applyNumberFormat="1">
      <alignment horizontal="left" vertical="center" wrapText="1"/>
    </xf>
    <xf numFmtId="0" fontId="23" fillId="41" borderId="13" xfId="80" applyFont="1" applyFill="1" applyBorder="1">
      <alignment horizontal="left" vertical="center" wrapText="1" indent="1"/>
      <protection locked="0"/>
    </xf>
    <xf numFmtId="0" fontId="67" fillId="36" borderId="0" xfId="0" applyFont="1" applyFill="1">
      <alignment horizontal="right" vertical="center" wrapText="1" indent="1"/>
    </xf>
    <xf numFmtId="0" fontId="67" fillId="36" borderId="0" xfId="0" applyFont="1" applyFill="1">
      <alignment horizontal="left" vertical="center" wrapText="1" indent="1"/>
    </xf>
    <xf numFmtId="49" fontId="23" fillId="42" borderId="13" xfId="0" applyFont="1" applyFill="1" applyBorder="1" applyNumberFormat="1">
      <alignment horizontal="left" vertical="center" wrapText="1" indent="1"/>
    </xf>
    <xf numFmtId="0" fontId="66" fillId="0" borderId="0" xfId="0" applyFont="1">
      <alignment vertical="center" wrapText="1"/>
    </xf>
    <xf numFmtId="0" fontId="64" fillId="0" borderId="0" xfId="0" applyFont="1">
      <alignment horizontal="left" vertical="center" wrapText="1"/>
    </xf>
    <xf numFmtId="0" fontId="65" fillId="0" borderId="0" xfId="0" applyFont="1">
      <alignment vertical="center" wrapText="1"/>
    </xf>
    <xf numFmtId="0" fontId="66" fillId="36" borderId="0" xfId="0" applyFont="1" applyFill="1">
      <alignment vertical="center" wrapText="1"/>
    </xf>
    <xf numFmtId="0" fontId="67" fillId="36" borderId="0" xfId="0" applyFont="1" applyFill="1">
      <alignment horizontal="right" vertical="center" wrapText="1" indent="1"/>
    </xf>
    <xf numFmtId="0" fontId="41" fillId="0" borderId="0" xfId="0" applyFont="1">
      <alignment horizontal="left" vertical="center" wrapText="1"/>
    </xf>
    <xf numFmtId="0" fontId="23" fillId="36" borderId="27" xfId="0" applyFont="1" applyFill="1" applyBorder="1">
      <alignment horizontal="right" vertical="center" wrapText="1" indent="1"/>
    </xf>
    <xf numFmtId="49" fontId="32" fillId="41" borderId="13" xfId="0" applyFont="1" applyFill="1" applyBorder="1" applyNumberFormat="1">
      <alignment horizontal="left" vertical="center" wrapText="1" indent="1"/>
      <protection locked="0"/>
    </xf>
    <xf numFmtId="0" fontId="41" fillId="0" borderId="0" xfId="0" applyFont="1">
      <alignment horizontal="left" vertical="center" wrapText="1"/>
    </xf>
    <xf numFmtId="0" fontId="23" fillId="0" borderId="0" xfId="0" applyFont="1">
      <alignment vertical="center" wrapText="1"/>
    </xf>
    <xf numFmtId="14" fontId="98" fillId="0" borderId="0" xfId="0" applyFont="1" applyNumberFormat="1">
      <alignment horizontal="center" vertical="center" wrapText="1"/>
    </xf>
    <xf numFmtId="0" fontId="42" fillId="0" borderId="0" xfId="0" applyFont="1">
      <alignment vertical="center" wrapText="1"/>
    </xf>
    <xf numFmtId="0" fontId="41" fillId="0" borderId="0" xfId="0" applyFont="1">
      <alignment horizontal="center" vertical="center" wrapText="1"/>
    </xf>
    <xf numFmtId="0" fontId="23" fillId="0" borderId="0" xfId="0" applyFont="1">
      <alignment horizontal="center" vertical="center" wrapText="1"/>
    </xf>
    <xf numFmtId="0" fontId="55" fillId="0" borderId="0" xfId="0" applyFont="1">
      <alignment horizontal="center" vertical="center" wrapText="1"/>
    </xf>
    <xf numFmtId="0" fontId="55" fillId="0" borderId="0" xfId="0" applyFont="1">
      <alignment vertical="center" wrapText="1"/>
    </xf>
    <xf numFmtId="0" fontId="89" fillId="0" borderId="0" xfId="0" applyFont="1">
      <alignment vertical="center" wrapText="1"/>
    </xf>
    <xf numFmtId="0" fontId="23" fillId="42" borderId="13" xfId="0" applyFont="1" applyFill="1" applyBorder="1">
      <alignment horizontal="left" vertical="center" wrapText="1" indent="1"/>
    </xf>
    <xf numFmtId="49" fontId="0" fillId="0" borderId="6" xfId="0" applyFont="1" applyBorder="1" applyNumberFormat="1">
      <alignment horizontal="left" vertical="center" wrapText="1" indent="1"/>
    </xf>
    <xf numFmtId="0" fontId="23" fillId="42" borderId="13" xfId="0" applyFont="1" applyFill="1" applyBorder="1">
      <alignment horizontal="left" vertical="center" wrapText="1" indent="1"/>
    </xf>
    <xf numFmtId="0" fontId="23" fillId="41" borderId="13" xfId="0" applyFont="1" applyFill="1" applyBorder="1">
      <alignment horizontal="left" vertical="center" wrapText="1" indent="1"/>
      <protection locked="0"/>
    </xf>
    <xf numFmtId="49" fontId="23" fillId="42" borderId="13" xfId="0" applyFont="1" applyFill="1" applyBorder="1" applyNumberFormat="1">
      <alignment horizontal="left" vertical="center" wrapText="1" indent="1"/>
    </xf>
    <xf numFmtId="0" fontId="97" fillId="0" borderId="0" xfId="0" applyFont="1">
      <alignment horizontal="left" vertical="center" wrapText="1"/>
    </xf>
    <xf numFmtId="49" fontId="41" fillId="0" borderId="0" xfId="0" applyFont="1" applyNumberFormat="1">
      <alignment horizontal="left" vertical="center" wrapText="1"/>
    </xf>
    <xf numFmtId="49" fontId="43" fillId="36" borderId="0" xfId="0" applyFont="1" applyFill="1" applyNumberFormat="1">
      <alignment horizontal="center" vertical="center" wrapText="1"/>
    </xf>
    <xf numFmtId="0" fontId="23" fillId="0" borderId="0" xfId="0" applyFont="1">
      <alignment horizontal="left" vertical="center" wrapText="1" indent="4"/>
    </xf>
    <xf numFmtId="0" fontId="23" fillId="0" borderId="0" xfId="0" applyFont="1">
      <alignment horizontal="left" vertical="center" wrapText="1" indent="1"/>
    </xf>
    <xf numFmtId="49" fontId="23" fillId="41" borderId="13" xfId="0" applyFont="1" applyFill="1" applyBorder="1" applyNumberFormat="1">
      <alignment horizontal="left" vertical="center" wrapText="1" indent="1"/>
      <protection locked="0"/>
    </xf>
    <xf numFmtId="0" fontId="0" fillId="0" borderId="0" xfId="0" applyFont="1">
      <alignment horizontal="center" vertical="center" wrapText="1"/>
    </xf>
    <xf numFmtId="49" fontId="23" fillId="36" borderId="0" xfId="0" applyFont="1" applyFill="1" applyNumberFormat="1">
      <alignment horizontal="right" vertical="center" wrapText="1" indent="1"/>
    </xf>
    <xf numFmtId="49" fontId="23" fillId="0" borderId="0" xfId="0" applyFont="1" applyNumberFormat="1">
      <alignment horizontal="center" vertical="center" wrapText="1"/>
    </xf>
    <xf numFmtId="49" fontId="0" fillId="36" borderId="0" xfId="0" applyFont="1" applyFill="1" applyNumberFormat="1">
      <alignment horizontal="right" vertical="center" wrapText="1" indent="1"/>
    </xf>
    <xf numFmtId="0" fontId="35" fillId="0" borderId="0" xfId="0" applyFont="1">
      <alignment vertical="top" wrapText="1"/>
    </xf>
    <xf numFmtId="0" fontId="97" fillId="0" borderId="0" xfId="0" applyFont="1">
      <alignment horizontal="left" vertical="center" wrapText="1"/>
    </xf>
    <xf numFmtId="0" fontId="41" fillId="0" borderId="0" xfId="0" applyFont="1">
      <alignment horizontal="left" vertical="center" wrapText="1"/>
    </xf>
    <xf numFmtId="0" fontId="42" fillId="0" borderId="0" xfId="0" applyFont="1">
      <alignment vertical="center" wrapText="1"/>
    </xf>
    <xf numFmtId="0" fontId="23" fillId="0" borderId="0" xfId="0" applyFont="1">
      <alignment vertical="center" wrapText="1"/>
    </xf>
    <xf numFmtId="0" fontId="23" fillId="0" borderId="0" xfId="0" applyFont="1">
      <alignment horizontal="center" vertical="center" wrapText="1"/>
    </xf>
    <xf numFmtId="0" fontId="41" fillId="0" borderId="0" xfId="0" applyFont="1">
      <alignment horizontal="center" vertical="center" wrapText="1"/>
    </xf>
    <xf numFmtId="0" fontId="55" fillId="0" borderId="0" xfId="0" applyFont="1">
      <alignment vertical="center" wrapText="1"/>
    </xf>
    <xf numFmtId="0" fontId="56" fillId="0" borderId="0" xfId="0" applyFont="1">
      <alignment vertical="center" wrapText="1"/>
    </xf>
    <xf numFmtId="0" fontId="79" fillId="0" borderId="0" xfId="0" applyFont="1">
      <alignment vertical="center" wrapText="1"/>
    </xf>
    <xf numFmtId="0" fontId="56" fillId="0" borderId="0" xfId="0" applyFont="1">
      <alignment vertical="center" wrapText="1"/>
    </xf>
    <xf numFmtId="0" fontId="56" fillId="0" borderId="0" xfId="0" applyFont="1">
      <alignment horizontal="center" vertical="center" wrapText="1"/>
    </xf>
    <xf numFmtId="0" fontId="56" fillId="0" borderId="0" xfId="0" applyFont="1">
      <alignment horizontal="left" vertical="center" indent="1"/>
    </xf>
    <xf numFmtId="0" fontId="56" fillId="0" borderId="0" xfId="0" applyFont="1">
      <alignment horizontal="center" vertical="center" wrapText="1"/>
    </xf>
    <xf numFmtId="0" fontId="56" fillId="0" borderId="0" xfId="0" applyFont="1">
      <alignment horizontal="left" vertical="center" wrapText="1" indent="1"/>
    </xf>
    <xf numFmtId="0" fontId="56" fillId="0" borderId="0" xfId="0" applyFont="1">
      <alignment horizontal="left" vertical="center" indent="1"/>
    </xf>
    <xf numFmtId="0" fontId="62" fillId="0" borderId="0" xfId="0" applyFont="1">
      <alignment vertical="center" wrapText="1"/>
    </xf>
    <xf numFmtId="0" fontId="23" fillId="0" borderId="0" xfId="0" applyFont="1">
      <alignment horizontal="left" vertical="center" wrapText="1" indent="1"/>
    </xf>
    <xf numFmtId="0" fontId="55" fillId="0" borderId="0" xfId="0" applyFont="1">
      <alignment horizontal="left" vertical="center" wrapText="1" indent="1"/>
    </xf>
    <xf numFmtId="0" fontId="62" fillId="0" borderId="0" xfId="0" applyFont="1">
      <alignment horizontal="left" vertical="center" wrapText="1" indent="1"/>
    </xf>
    <xf numFmtId="0" fontId="63" fillId="0" borderId="0" xfId="0" applyFont="1">
      <alignment horizontal="left" vertical="center" indent="1"/>
    </xf>
    <xf numFmtId="0" fontId="51" fillId="0" borderId="0" xfId="0" applyFont="1">
      <alignment vertical="center" wrapText="1"/>
    </xf>
    <xf numFmtId="0" fontId="23" fillId="0" borderId="0" xfId="0" applyFont="1">
      <alignment vertical="center" wrapText="1"/>
    </xf>
    <xf numFmtId="0" fontId="55" fillId="0" borderId="0" xfId="0" applyFont="1">
      <alignment vertical="center" wrapText="1"/>
    </xf>
    <xf numFmtId="0" fontId="46" fillId="0" borderId="0" xfId="0" applyFont="1">
      <alignment horizontal="center" vertical="center" wrapText="1"/>
    </xf>
    <xf numFmtId="0" fontId="23" fillId="0" borderId="0" xfId="0" applyFont="1">
      <alignment vertical="center" wrapText="1"/>
    </xf>
    <xf numFmtId="0" fontId="23" fillId="0" borderId="0" xfId="0" applyFont="1">
      <alignment vertical="center" wrapText="1"/>
    </xf>
    <xf numFmtId="0" fontId="23" fillId="0" borderId="0" xfId="0" applyFont="1">
      <alignment horizontal="right" vertical="center" wrapText="1"/>
    </xf>
    <xf numFmtId="0" fontId="56" fillId="0" borderId="0" xfId="0" applyFont="1">
      <alignment vertical="center"/>
    </xf>
    <xf numFmtId="0" fontId="56" fillId="0" borderId="0" xfId="0" applyFont="1">
      <alignment vertical="center"/>
    </xf>
    <xf numFmtId="0" fontId="61" fillId="0" borderId="0" xfId="0" applyFont="1">
      <alignment vertical="center"/>
    </xf>
    <xf numFmtId="0" fontId="23" fillId="0" borderId="16" xfId="0" applyFont="1" applyBorder="1">
      <alignment horizontal="left" vertical="center" wrapText="1" indent="1"/>
    </xf>
    <xf numFmtId="4" fontId="23" fillId="0" borderId="0" xfId="0" applyFont="1" applyNumberFormat="1">
      <alignment horizontal="right" vertical="center" wrapText="1"/>
    </xf>
    <xf numFmtId="0" fontId="23" fillId="0" borderId="0" xfId="0" applyFont="1">
      <alignment horizontal="left" vertical="center" wrapText="1" indent="1"/>
    </xf>
    <xf numFmtId="49" fontId="23" fillId="0" borderId="0" xfId="0" applyFont="1" applyNumberFormat="1">
      <alignment vertical="top"/>
    </xf>
    <xf numFmtId="49" fontId="55" fillId="0" borderId="0" xfId="0" applyFont="1" applyNumberFormat="1">
      <alignment vertical="top"/>
    </xf>
    <xf numFmtId="49" fontId="23" fillId="0" borderId="0" xfId="0" applyFont="1" applyNumberFormat="1">
      <alignment vertical="top"/>
    </xf>
    <xf numFmtId="49" fontId="23" fillId="0" borderId="0" xfId="0" applyFont="1" applyNumberFormat="1">
      <alignment horizontal="center" vertical="center" wrapText="1"/>
    </xf>
    <xf numFmtId="4" fontId="23" fillId="0" borderId="0" xfId="0" applyFont="1" applyNumberFormat="1">
      <alignment horizontal="center" vertical="center" wrapText="1"/>
    </xf>
    <xf numFmtId="0" fontId="23" fillId="0" borderId="15" xfId="0" applyFont="1" applyBorder="1">
      <alignment horizontal="center" vertical="center" wrapText="1"/>
    </xf>
    <xf numFmtId="0" fontId="23" fillId="0" borderId="16" xfId="0" applyFont="1" applyBorder="1">
      <alignment horizontal="center" vertical="center" wrapText="1"/>
    </xf>
    <xf numFmtId="0" fontId="23" fillId="0" borderId="14" xfId="0" applyFont="1" applyBorder="1">
      <alignment horizontal="center" vertical="center" wrapText="1"/>
    </xf>
    <xf numFmtId="4" fontId="23" fillId="0" borderId="13" xfId="0" applyFont="1" applyBorder="1" applyNumberFormat="1">
      <alignment horizontal="center" vertical="center" wrapText="1"/>
    </xf>
    <xf numFmtId="249" fontId="23" fillId="0" borderId="15" xfId="0" applyFont="1" applyBorder="1" applyNumberFormat="1">
      <alignment horizontal="center" vertical="center" wrapText="1"/>
    </xf>
    <xf numFmtId="249" fontId="23" fillId="0" borderId="13" xfId="0" applyFont="1" applyBorder="1" applyNumberFormat="1">
      <alignment horizontal="center" vertical="center" wrapText="1"/>
    </xf>
    <xf numFmtId="0" fontId="45" fillId="0" borderId="0" xfId="0" applyFont="1">
      <alignment horizontal="center" vertical="center" wrapText="1"/>
    </xf>
    <xf numFmtId="49" fontId="45" fillId="0" borderId="16" xfId="0" applyFont="1" applyBorder="1" applyNumberFormat="1">
      <alignment horizontal="center" vertical="center" wrapText="1"/>
    </xf>
    <xf numFmtId="49" fontId="45" fillId="0" borderId="16" xfId="0" applyFont="1" applyBorder="1" applyNumberFormat="1">
      <alignment horizontal="center" vertical="center" wrapText="1"/>
    </xf>
    <xf numFmtId="0" fontId="55" fillId="0" borderId="0" xfId="0" applyFont="1">
      <alignment vertical="center"/>
    </xf>
    <xf numFmtId="0" fontId="55" fillId="0" borderId="0" xfId="0" applyFont="1">
      <alignment vertical="center"/>
    </xf>
    <xf numFmtId="0" fontId="60" fillId="0" borderId="0" xfId="0" applyFont="1">
      <alignment vertical="center"/>
    </xf>
    <xf numFmtId="49" fontId="23" fillId="40" borderId="20" xfId="0" applyFont="1" applyFill="1" applyBorder="1" applyNumberFormat="1">
      <alignment horizontal="center" vertical="center" wrapText="1"/>
    </xf>
    <xf numFmtId="49" fontId="55" fillId="40" borderId="20" xfId="0" applyFont="1" applyFill="1" applyBorder="1" applyNumberFormat="1">
      <alignment horizontal="left" vertical="center" wrapText="1"/>
    </xf>
    <xf numFmtId="49" fontId="55" fillId="40" borderId="21" xfId="0" applyFont="1" applyFill="1" applyBorder="1" applyNumberFormat="1">
      <alignment horizontal="left" vertical="center" wrapText="1"/>
    </xf>
    <xf numFmtId="0" fontId="56" fillId="0" borderId="23" xfId="0" applyFont="1" applyBorder="1">
      <alignment vertical="center"/>
    </xf>
    <xf numFmtId="0" fontId="51" fillId="0" borderId="0" xfId="0" applyFont="1">
      <alignment vertical="center" wrapText="1"/>
    </xf>
    <xf numFmtId="0" fontId="23" fillId="0" borderId="0" xfId="0" applyFont="1">
      <alignment horizontal="center" vertical="center" wrapText="1"/>
    </xf>
    <xf numFmtId="0" fontId="46" fillId="0" borderId="0" xfId="0" applyFont="1">
      <alignment horizontal="center" vertical="center" wrapText="1"/>
    </xf>
    <xf numFmtId="0" fontId="23" fillId="0" borderId="13" xfId="0" applyFont="1" applyBorder="1">
      <alignment horizontal="center" vertical="center" wrapText="1"/>
    </xf>
    <xf numFmtId="0" fontId="56" fillId="0" borderId="13" xfId="0" applyFont="1" applyBorder="1">
      <alignment horizontal="center" vertical="center" wrapText="1"/>
    </xf>
    <xf numFmtId="49" fontId="23" fillId="41" borderId="13" xfId="0" applyFont="1" applyFill="1" applyBorder="1" applyNumberFormat="1">
      <alignment vertical="center" wrapText="1"/>
      <protection locked="0"/>
    </xf>
    <xf numFmtId="49" fontId="55" fillId="0" borderId="13" xfId="0" applyFont="1" applyBorder="1" applyNumberFormat="1">
      <alignment horizontal="left" vertical="center" wrapText="1"/>
    </xf>
    <xf numFmtId="0" fontId="56" fillId="0" borderId="0" xfId="0" applyFont="1">
      <alignment vertical="center"/>
    </xf>
    <xf numFmtId="0" fontId="56" fillId="0" borderId="0" xfId="0" applyFont="1">
      <alignment vertical="center"/>
    </xf>
    <xf numFmtId="49" fontId="0" fillId="0" borderId="0" xfId="0" applyFont="1" applyNumberFormat="1">
      <alignment vertical="top"/>
    </xf>
    <xf numFmtId="0" fontId="45" fillId="0" borderId="25" xfId="0" applyFont="1" applyBorder="1">
      <alignment vertical="top" wrapText="1"/>
    </xf>
    <xf numFmtId="0" fontId="23" fillId="0" borderId="24" xfId="0" applyFont="1" applyBorder="1">
      <alignment horizontal="center" vertical="center" wrapText="1"/>
    </xf>
    <xf numFmtId="0" fontId="56" fillId="0" borderId="24" xfId="0" applyFont="1" applyBorder="1">
      <alignment horizontal="center" vertical="center" wrapText="1"/>
    </xf>
    <xf numFmtId="14" fontId="23" fillId="42" borderId="24" xfId="0" applyFont="1" applyFill="1" applyBorder="1" applyNumberFormat="1">
      <alignment horizontal="left" vertical="center" wrapText="1" indent="1"/>
    </xf>
    <xf numFmtId="49" fontId="23" fillId="38" borderId="24" xfId="0" applyFont="1" applyFill="1" applyBorder="1" applyNumberFormat="1">
      <alignment horizontal="center" vertical="center" wrapText="1"/>
    </xf>
    <xf numFmtId="0" fontId="80" fillId="0" borderId="0" xfId="0" applyFont="1">
      <alignment vertical="center" wrapText="1"/>
    </xf>
    <xf numFmtId="49" fontId="55" fillId="0" borderId="0" xfId="0" applyFont="1" applyNumberFormat="1">
      <alignment vertical="top"/>
    </xf>
    <xf numFmtId="49" fontId="56" fillId="0" borderId="0" xfId="0" applyFont="1" applyNumberFormat="1">
      <alignment vertical="top"/>
    </xf>
    <xf numFmtId="0" fontId="0" fillId="0" borderId="0" xfId="0" applyFont="1">
      <alignment vertical="center" wrapText="1"/>
    </xf>
    <xf numFmtId="0" fontId="45" fillId="0" borderId="0" xfId="0" applyFont="1">
      <alignment vertical="top" wrapText="1"/>
    </xf>
    <xf numFmtId="49" fontId="35" fillId="40" borderId="15" xfId="0" applyFont="1" applyFill="1" applyBorder="1" applyNumberFormat="1">
      <alignment horizontal="right" vertical="center" wrapText="1"/>
    </xf>
    <xf numFmtId="49" fontId="35" fillId="40" borderId="16" xfId="0" applyFont="1" applyFill="1" applyBorder="1" applyNumberFormat="1">
      <alignment horizontal="right" vertical="center" wrapText="1"/>
    </xf>
    <xf numFmtId="49" fontId="49" fillId="40" borderId="16" xfId="0" applyFont="1" applyFill="1" applyBorder="1" applyNumberFormat="1">
      <alignment horizontal="left" vertical="center" indent="1"/>
    </xf>
    <xf numFmtId="49" fontId="0" fillId="40" borderId="16" xfId="0" applyFont="1" applyFill="1" applyBorder="1" applyNumberFormat="1">
      <alignment horizontal="right" vertical="center" wrapText="1"/>
    </xf>
    <xf numFmtId="49" fontId="0" fillId="40" borderId="14" xfId="0" applyFont="1" applyFill="1" applyBorder="1" applyNumberFormat="1">
      <alignment horizontal="right" vertical="center" wrapText="1"/>
    </xf>
    <xf numFmtId="49" fontId="23" fillId="40" borderId="15" xfId="0" applyFont="1" applyFill="1" applyBorder="1" applyNumberFormat="1">
      <alignment horizontal="right" vertical="center" wrapText="1"/>
    </xf>
    <xf numFmtId="49" fontId="23" fillId="40" borderId="16" xfId="0" applyFont="1" applyFill="1" applyBorder="1" applyNumberFormat="1">
      <alignment horizontal="right" vertical="center" wrapText="1"/>
    </xf>
    <xf numFmtId="49" fontId="49" fillId="40" borderId="16" xfId="0" applyFont="1" applyFill="1" applyBorder="1" applyNumberFormat="1">
      <alignment horizontal="left" vertical="center"/>
    </xf>
    <xf numFmtId="49" fontId="23" fillId="40" borderId="14" xfId="0" applyFont="1" applyFill="1" applyBorder="1" applyNumberFormat="1">
      <alignment horizontal="right" vertical="center" wrapText="1"/>
    </xf>
    <xf numFmtId="0" fontId="46" fillId="0" borderId="0" xfId="0" applyFont="1">
      <alignment horizontal="center" vertical="center" wrapText="1"/>
    </xf>
    <xf numFmtId="0" fontId="23" fillId="0" borderId="22" xfId="0" applyFont="1" applyBorder="1">
      <alignment vertical="center" wrapText="1"/>
    </xf>
    <xf numFmtId="0" fontId="23" fillId="0" borderId="0" xfId="0" applyFont="1">
      <alignment vertical="center" wrapText="1"/>
    </xf>
    <xf numFmtId="0" fontId="54" fillId="0" borderId="0" xfId="0" applyFont="1">
      <alignment vertical="center" wrapText="1"/>
    </xf>
    <xf numFmtId="0" fontId="100" fillId="0" borderId="0" xfId="0" applyFont="1">
      <alignment vertical="center" wrapText="1"/>
    </xf>
    <xf numFmtId="0" fontId="58" fillId="0" borderId="0" xfId="0" applyFont="1">
      <alignment horizontal="center" vertical="center" wrapText="1"/>
    </xf>
    <xf numFmtId="49" fontId="0" fillId="0" borderId="0" xfId="0" applyFont="1" applyNumberFormat="1">
      <alignment vertical="top"/>
    </xf>
    <xf numFmtId="0" fontId="23" fillId="0" borderId="0" xfId="0" applyFont="1">
      <alignment vertical="center" wrapText="1"/>
    </xf>
    <xf numFmtId="0" fontId="55" fillId="0" borderId="0" xfId="0" applyFont="1">
      <alignment vertical="center" wrapText="1"/>
    </xf>
    <xf numFmtId="0" fontId="46" fillId="0" borderId="0" xfId="0" applyFont="1">
      <alignment horizontal="center" vertical="center" wrapText="1"/>
    </xf>
    <xf numFmtId="0" fontId="23" fillId="0" borderId="0" xfId="0" applyFont="1">
      <alignment vertical="center" wrapText="1"/>
    </xf>
    <xf numFmtId="0" fontId="56" fillId="0" borderId="0" xfId="0" applyFont="1">
      <alignment vertical="center"/>
    </xf>
    <xf numFmtId="0" fontId="56" fillId="0" borderId="0" xfId="0" applyFont="1">
      <alignment vertical="center"/>
    </xf>
    <xf numFmtId="0" fontId="61" fillId="0" borderId="0" xfId="0" applyFont="1">
      <alignment vertical="center"/>
    </xf>
    <xf numFmtId="0" fontId="23" fillId="0" borderId="0" xfId="0" applyFont="1">
      <alignment vertical="center"/>
    </xf>
    <xf numFmtId="0" fontId="23" fillId="0" borderId="21" xfId="0" applyFont="1" applyBorder="1">
      <alignment horizontal="left" vertical="center" wrapText="1" indent="1"/>
    </xf>
    <xf numFmtId="0" fontId="23" fillId="0" borderId="18" xfId="0" applyFont="1" applyBorder="1">
      <alignment horizontal="left" vertical="center" wrapText="1" indent="1"/>
    </xf>
    <xf numFmtId="0" fontId="23" fillId="0" borderId="38" xfId="0" applyFont="1" applyBorder="1">
      <alignment horizontal="left" vertical="center" wrapText="1" indent="1"/>
    </xf>
    <xf numFmtId="0" fontId="55" fillId="0" borderId="0" xfId="0" applyFont="1">
      <alignment vertical="center"/>
    </xf>
    <xf numFmtId="0" fontId="50" fillId="0" borderId="0" xfId="0" applyFont="1">
      <alignment vertical="center"/>
    </xf>
    <xf numFmtId="0" fontId="23" fillId="0" borderId="31" xfId="0" applyFont="1" applyBorder="1">
      <alignment horizontal="left" vertical="center" indent="1"/>
    </xf>
    <xf numFmtId="0" fontId="23" fillId="0" borderId="24" xfId="0" applyFont="1" applyBorder="1">
      <alignment horizontal="left" vertical="center" indent="1"/>
    </xf>
    <xf numFmtId="0" fontId="23" fillId="0" borderId="28" xfId="0" applyFont="1" applyBorder="1">
      <alignment horizontal="left" vertical="center" indent="1"/>
    </xf>
    <xf numFmtId="0" fontId="92" fillId="0" borderId="0" xfId="0" applyFont="1">
      <alignment vertical="center"/>
    </xf>
    <xf numFmtId="0" fontId="57" fillId="0" borderId="0" xfId="0" applyFont="1">
      <alignment vertical="center"/>
    </xf>
    <xf numFmtId="0" fontId="115" fillId="0" borderId="0" xfId="0" applyFont="1">
      <alignment vertical="center"/>
    </xf>
    <xf numFmtId="0" fontId="50" fillId="0" borderId="0" xfId="0" applyFont="1">
      <alignment vertical="center"/>
    </xf>
    <xf numFmtId="0" fontId="23" fillId="0" borderId="0" xfId="0" applyFont="1">
      <alignment horizontal="center" vertical="center" wrapText="1"/>
    </xf>
    <xf numFmtId="0" fontId="23" fillId="0" borderId="0" xfId="0" applyFont="1">
      <alignment vertical="center" wrapText="1"/>
    </xf>
    <xf numFmtId="0" fontId="92" fillId="0" borderId="0" xfId="0" applyFont="1">
      <alignment vertical="center"/>
    </xf>
    <xf numFmtId="0" fontId="57" fillId="0" borderId="0" xfId="0" applyFont="1">
      <alignment vertical="center"/>
    </xf>
    <xf numFmtId="0" fontId="115" fillId="0" borderId="0" xfId="0" applyFont="1">
      <alignment vertical="center"/>
    </xf>
    <xf numFmtId="0" fontId="0" fillId="0" borderId="0" xfId="0" applyFont="1">
      <alignment horizontal="left" vertical="center" wrapText="1" indent="2"/>
    </xf>
    <xf numFmtId="0" fontId="0" fillId="0" borderId="0" xfId="0" applyFont="1">
      <alignment horizontal="left" vertical="center" indent="2"/>
    </xf>
    <xf numFmtId="0" fontId="36" fillId="0" borderId="0" xfId="0" applyFont="1">
      <alignment vertical="center"/>
    </xf>
    <xf numFmtId="0" fontId="50" fillId="0" borderId="0" xfId="0" applyFont="1">
      <alignment vertical="center"/>
    </xf>
    <xf numFmtId="0" fontId="23" fillId="43" borderId="0" xfId="0" applyFont="1" applyFill="1">
      <alignment horizontal="center" vertical="center" wrapText="1"/>
    </xf>
    <xf numFmtId="0" fontId="23" fillId="0" borderId="0" xfId="0" applyFont="1">
      <alignment vertical="center" wrapText="1"/>
    </xf>
    <xf numFmtId="0" fontId="23" fillId="0" borderId="13" xfId="0" applyFont="1" applyBorder="1">
      <alignment horizontal="center" vertical="center" wrapText="1"/>
    </xf>
    <xf numFmtId="0" fontId="81" fillId="0" borderId="38" xfId="0" applyFont="1" applyBorder="1">
      <alignment horizontal="center" vertical="center" wrapText="1"/>
    </xf>
    <xf numFmtId="0" fontId="81" fillId="0" borderId="20" xfId="0" applyFont="1" applyBorder="1">
      <alignment horizontal="center" vertical="center" wrapText="1"/>
    </xf>
    <xf numFmtId="0" fontId="81" fillId="0" borderId="13" xfId="0" applyFont="1" applyBorder="1">
      <alignment horizontal="center" vertical="center" wrapText="1"/>
    </xf>
    <xf numFmtId="0" fontId="23" fillId="0" borderId="0" xfId="0" applyFont="1">
      <alignment horizontal="center" vertical="center" wrapText="1"/>
    </xf>
    <xf numFmtId="0" fontId="88" fillId="0" borderId="0" xfId="0" applyFont="1">
      <alignment horizontal="center" vertical="center" wrapText="1"/>
    </xf>
    <xf numFmtId="0" fontId="23" fillId="0" borderId="13" xfId="0" applyFont="1" applyBorder="1">
      <alignment horizontal="center" vertical="center" wrapText="1"/>
    </xf>
    <xf numFmtId="0" fontId="23" fillId="0" borderId="74" xfId="0" applyFont="1" applyBorder="1">
      <alignment horizontal="center" vertical="center" wrapText="1"/>
    </xf>
    <xf numFmtId="0" fontId="23" fillId="0" borderId="75" xfId="0" applyFont="1" applyBorder="1">
      <alignment horizontal="center" vertical="center" wrapText="1"/>
    </xf>
    <xf numFmtId="0" fontId="55" fillId="0" borderId="23" xfId="0" applyFont="1" applyBorder="1">
      <alignment vertical="center"/>
    </xf>
    <xf numFmtId="0" fontId="0" fillId="0" borderId="0" xfId="0" applyFont="1">
      <alignment vertical="center"/>
    </xf>
    <xf numFmtId="49" fontId="45" fillId="0" borderId="0" xfId="0" applyFont="1" applyNumberFormat="1">
      <alignment horizontal="center" vertical="center" wrapText="1"/>
    </xf>
    <xf numFmtId="49" fontId="45" fillId="0" borderId="13" xfId="0" applyFont="1" applyBorder="1" applyNumberFormat="1">
      <alignment horizontal="center" vertical="center" wrapText="1"/>
    </xf>
    <xf numFmtId="49" fontId="45" fillId="0" borderId="72" xfId="0" applyFont="1" applyBorder="1" applyNumberFormat="1">
      <alignment horizontal="center" vertical="center" wrapText="1"/>
    </xf>
    <xf numFmtId="49" fontId="45" fillId="0" borderId="73" xfId="0" applyFont="1" applyBorder="1" applyNumberFormat="1">
      <alignment horizontal="center" vertical="center" wrapText="1"/>
    </xf>
    <xf numFmtId="49" fontId="45" fillId="0" borderId="15" xfId="0" applyFont="1" applyBorder="1" applyNumberFormat="1">
      <alignment horizontal="center" vertical="center" wrapText="1"/>
    </xf>
    <xf numFmtId="49" fontId="45" fillId="0" borderId="14" xfId="0" applyFont="1" applyBorder="1" applyNumberFormat="1">
      <alignment horizontal="center" vertical="center" wrapText="1"/>
    </xf>
    <xf numFmtId="0" fontId="55" fillId="0" borderId="23" xfId="0" applyFont="1" applyBorder="1">
      <alignment vertical="center"/>
    </xf>
    <xf numFmtId="0" fontId="56" fillId="0" borderId="0" xfId="0" applyFont="1">
      <alignment vertical="center"/>
    </xf>
    <xf numFmtId="0" fontId="56" fillId="0" borderId="0" xfId="0" applyFont="1">
      <alignment vertical="center"/>
    </xf>
    <xf numFmtId="0" fontId="23" fillId="0" borderId="0" xfId="0" applyFont="1">
      <alignment vertical="center"/>
    </xf>
    <xf numFmtId="0" fontId="55" fillId="0" borderId="0" xfId="0" applyFont="1">
      <alignment vertical="center"/>
    </xf>
    <xf numFmtId="0" fontId="56" fillId="0" borderId="0" xfId="0" applyFont="1">
      <alignment horizontal="center" vertical="center"/>
    </xf>
    <xf numFmtId="0" fontId="23" fillId="0" borderId="0" xfId="0" applyFont="1">
      <alignment horizontal="center" vertical="center" wrapText="1"/>
    </xf>
    <xf numFmtId="0" fontId="23" fillId="40" borderId="15" xfId="0" applyFont="1" applyFill="1" applyBorder="1">
      <alignment horizontal="center" vertical="center" wrapText="1"/>
    </xf>
    <xf numFmtId="49" fontId="23" fillId="40" borderId="16" xfId="0" applyFont="1" applyFill="1" applyBorder="1" applyNumberFormat="1">
      <alignment horizontal="center" vertical="center" wrapText="1"/>
    </xf>
    <xf numFmtId="49" fontId="23" fillId="40" borderId="16" xfId="0" applyFont="1" applyFill="1" applyBorder="1" applyNumberFormat="1">
      <alignment horizontal="center" vertical="center" wrapText="1"/>
    </xf>
    <xf numFmtId="49" fontId="23" fillId="40" borderId="42" xfId="0" applyFont="1" applyFill="1" applyBorder="1" applyNumberFormat="1">
      <alignment horizontal="center" vertical="center" wrapText="1"/>
    </xf>
    <xf numFmtId="49" fontId="0" fillId="40" borderId="16" xfId="0" applyFont="1" applyFill="1" applyBorder="1" applyNumberFormat="1">
      <alignment horizontal="left" vertical="center"/>
    </xf>
    <xf numFmtId="0" fontId="0" fillId="40" borderId="14" xfId="0" applyFont="1" applyFill="1" applyBorder="1">
      <alignment vertical="center"/>
    </xf>
    <xf numFmtId="0" fontId="0" fillId="0" borderId="0" xfId="0" applyFont="1">
      <alignment vertical="center"/>
    </xf>
    <xf numFmtId="49" fontId="0" fillId="0" borderId="0" xfId="0" applyFont="1" applyNumberFormat="1">
      <alignment vertical="top"/>
    </xf>
    <xf numFmtId="0" fontId="46" fillId="0" borderId="0" xfId="0" applyFont="1">
      <alignment horizontal="center" vertical="center" wrapText="1"/>
    </xf>
    <xf numFmtId="49" fontId="23" fillId="0" borderId="13" xfId="0" applyFont="1" applyBorder="1" applyNumberFormat="1">
      <alignment horizontal="center" vertical="center" wrapText="1"/>
    </xf>
    <xf numFmtId="0" fontId="23" fillId="42" borderId="18" xfId="0" applyFont="1" applyFill="1" applyBorder="1">
      <alignment horizontal="left" vertical="center" wrapText="1" indent="2"/>
    </xf>
    <xf numFmtId="49" fontId="23" fillId="42" borderId="24" xfId="0" applyFont="1" applyFill="1" applyBorder="1" applyNumberFormat="1">
      <alignment horizontal="center" vertical="center" wrapText="1"/>
    </xf>
    <xf numFmtId="14" fontId="87" fillId="0" borderId="71" xfId="0" applyFont="1" applyBorder="1" applyNumberFormat="1">
      <alignment horizontal="center" vertical="center" wrapText="1"/>
    </xf>
    <xf numFmtId="0" fontId="23" fillId="0" borderId="71" xfId="0" applyFont="1" applyBorder="1">
      <alignment horizontal="center" vertical="center" wrapText="1"/>
    </xf>
    <xf numFmtId="0" fontId="23" fillId="42" borderId="18" xfId="0" applyFont="1" applyFill="1" applyBorder="1">
      <alignment horizontal="left" vertical="center" wrapText="1" indent="1"/>
      <protection locked="0"/>
    </xf>
    <xf numFmtId="49" fontId="23" fillId="42" borderId="13" xfId="0" applyFont="1" applyFill="1" applyBorder="1" applyNumberFormat="1">
      <alignment horizontal="center" vertical="center" wrapText="1"/>
    </xf>
    <xf numFmtId="49" fontId="23" fillId="0" borderId="18" xfId="0" applyFont="1" applyBorder="1" applyNumberFormat="1">
      <alignment horizontal="center" vertical="center" wrapText="1"/>
    </xf>
    <xf numFmtId="49" fontId="23" fillId="0" borderId="13" xfId="0" applyFont="1" applyBorder="1" applyNumberFormat="1">
      <alignment horizontal="center" vertical="center" wrapText="1"/>
    </xf>
    <xf numFmtId="49" fontId="81" fillId="41" borderId="13" xfId="0" applyFont="1" applyFill="1" applyBorder="1" applyNumberFormat="1">
      <alignment horizontal="left" vertical="center" wrapText="1" indent="1"/>
      <protection locked="0"/>
    </xf>
    <xf numFmtId="0" fontId="55" fillId="0" borderId="23" xfId="0" applyFont="1" applyBorder="1">
      <alignment vertical="center"/>
    </xf>
    <xf numFmtId="0" fontId="56" fillId="0" borderId="0" xfId="0" applyFont="1">
      <alignment vertical="center"/>
    </xf>
    <xf numFmtId="0" fontId="23" fillId="0" borderId="0" xfId="0" applyFont="1">
      <alignment vertical="center"/>
    </xf>
    <xf numFmtId="0" fontId="55" fillId="0" borderId="0" xfId="0" applyFont="1">
      <alignment vertical="center"/>
    </xf>
    <xf numFmtId="49" fontId="0" fillId="0" borderId="13" xfId="0" applyFont="1" applyBorder="1" applyNumberFormat="1">
      <alignment vertical="top"/>
    </xf>
    <xf numFmtId="0" fontId="45" fillId="0" borderId="13" xfId="0" applyFont="1" applyBorder="1">
      <alignment horizontal="center" vertical="center" wrapText="1"/>
    </xf>
    <xf numFmtId="49" fontId="23" fillId="0" borderId="14" xfId="0" applyFont="1" applyBorder="1" applyNumberFormat="1">
      <alignment horizontal="center" vertical="center" wrapText="1"/>
    </xf>
    <xf numFmtId="49" fontId="81" fillId="41" borderId="13" xfId="0" applyFont="1" applyFill="1" applyBorder="1" applyNumberFormat="1">
      <alignment horizontal="left" vertical="center" wrapText="1" indent="1"/>
      <protection locked="0"/>
    </xf>
    <xf numFmtId="0" fontId="80" fillId="0" borderId="0" xfId="0" applyFont="1">
      <alignment vertical="center"/>
    </xf>
    <xf numFmtId="0" fontId="23" fillId="42" borderId="37" xfId="0" applyFont="1" applyFill="1" applyBorder="1">
      <alignment horizontal="left" vertical="center" wrapText="1" indent="2"/>
    </xf>
    <xf numFmtId="0" fontId="23" fillId="42" borderId="24" xfId="0" applyFont="1" applyFill="1" applyBorder="1">
      <alignment horizontal="left" vertical="center" wrapText="1" indent="1"/>
      <protection locked="0"/>
    </xf>
    <xf numFmtId="49" fontId="49" fillId="40" borderId="14" xfId="0" applyFont="1" applyFill="1" applyBorder="1" applyNumberFormat="1">
      <alignment horizontal="left" vertical="center" indent="1"/>
    </xf>
    <xf numFmtId="0" fontId="23" fillId="42" borderId="24" xfId="0" applyFont="1" applyFill="1" applyBorder="1">
      <alignment horizontal="left" vertical="center" wrapText="1" indent="2"/>
    </xf>
    <xf numFmtId="49" fontId="35" fillId="40" borderId="43" xfId="0" applyFont="1" applyFill="1" applyBorder="1" applyNumberFormat="1">
      <alignment horizontal="right" vertical="center" wrapText="1"/>
    </xf>
    <xf numFmtId="49" fontId="35" fillId="40" borderId="44" xfId="0" applyFont="1" applyFill="1" applyBorder="1" applyNumberFormat="1">
      <alignment horizontal="right" vertical="center" wrapText="1"/>
    </xf>
    <xf numFmtId="49" fontId="49" fillId="40" borderId="16" xfId="0" applyFont="1" applyFill="1" applyBorder="1" applyNumberFormat="1">
      <alignment horizontal="left" vertical="center" indent="1"/>
    </xf>
    <xf numFmtId="49" fontId="35" fillId="40" borderId="14" xfId="0" applyFont="1" applyFill="1" applyBorder="1" applyNumberFormat="1">
      <alignment horizontal="right" vertical="center" wrapText="1"/>
    </xf>
    <xf numFmtId="0" fontId="81" fillId="43" borderId="0" xfId="0" applyFont="1" applyFill="1">
      <alignment vertical="top"/>
    </xf>
    <xf numFmtId="49" fontId="23" fillId="0" borderId="0" xfId="0" applyFont="1" applyNumberFormat="1">
      <alignment vertical="center" wrapText="1"/>
    </xf>
    <xf numFmtId="49" fontId="23" fillId="0" borderId="0" xfId="0" applyFont="1" applyNumberFormat="1">
      <alignment horizontal="center" vertical="center" wrapText="1"/>
    </xf>
    <xf numFmtId="49" fontId="49" fillId="40" borderId="16" xfId="0" applyFont="1" applyFill="1" applyBorder="1" applyNumberFormat="1">
      <alignment horizontal="left" vertical="center" indent="2"/>
    </xf>
    <xf numFmtId="0" fontId="0" fillId="0" borderId="0" xfId="0" applyFont="1">
      <alignment vertical="center"/>
    </xf>
    <xf numFmtId="0" fontId="55" fillId="0" borderId="0" xfId="0" applyFont="1">
      <alignment vertical="center"/>
    </xf>
    <xf numFmtId="0" fontId="56" fillId="0" borderId="0" xfId="0" applyFont="1">
      <alignment vertical="center"/>
    </xf>
    <xf numFmtId="0" fontId="23" fillId="0" borderId="0" xfId="0" applyFont="1">
      <alignment vertical="center"/>
    </xf>
    <xf numFmtId="0" fontId="56" fillId="0" borderId="0" xfId="0" applyFont="1">
      <alignment vertical="center"/>
    </xf>
    <xf numFmtId="0" fontId="50" fillId="0" borderId="0" xfId="0" applyFont="1">
      <alignment vertical="center"/>
    </xf>
    <xf numFmtId="0" fontId="57" fillId="0" borderId="0" xfId="0" applyFont="1">
      <alignment vertical="center"/>
    </xf>
    <xf numFmtId="0" fontId="23" fillId="0" borderId="21" xfId="0" applyFont="1" applyBorder="1">
      <alignment horizontal="left" vertical="center" wrapText="1" indent="1"/>
    </xf>
    <xf numFmtId="0" fontId="23" fillId="0" borderId="18" xfId="0" applyFont="1" applyBorder="1">
      <alignment horizontal="left" vertical="center" wrapText="1" indent="1"/>
    </xf>
    <xf numFmtId="0" fontId="23" fillId="0" borderId="38" xfId="0" applyFont="1" applyBorder="1">
      <alignment horizontal="left" vertical="center" wrapText="1" indent="1"/>
    </xf>
    <xf numFmtId="0" fontId="70" fillId="0" borderId="0" xfId="0" applyFont="1">
      <alignment vertical="center" wrapText="1"/>
    </xf>
    <xf numFmtId="0" fontId="22" fillId="0" borderId="0" xfId="0" applyFont="1">
      <alignment vertical="center" wrapText="1"/>
    </xf>
    <xf numFmtId="0" fontId="22" fillId="0" borderId="0" xfId="0" applyFont="1">
      <alignment vertical="center" wrapText="1"/>
    </xf>
    <xf numFmtId="0" fontId="115" fillId="0" borderId="0" xfId="0" applyFont="1">
      <alignment vertical="center"/>
    </xf>
    <xf numFmtId="0" fontId="23" fillId="0" borderId="29" xfId="0" applyFont="1" applyBorder="1">
      <alignment horizontal="left" vertical="center" indent="1"/>
    </xf>
    <xf numFmtId="0" fontId="73" fillId="0" borderId="0" xfId="0" applyFont="1">
      <alignment vertical="center"/>
    </xf>
    <xf numFmtId="0" fontId="56" fillId="0" borderId="0" xfId="0" applyFont="1">
      <alignment vertical="center"/>
    </xf>
    <xf numFmtId="0" fontId="79" fillId="0" borderId="25" xfId="0" applyFont="1" applyBorder="1">
      <alignment horizontal="left" vertical="center" wrapText="1" indent="1"/>
    </xf>
    <xf numFmtId="0" fontId="79" fillId="0" borderId="37" xfId="0" applyFont="1" applyBorder="1">
      <alignment horizontal="left" vertical="center" wrapText="1" indent="1"/>
    </xf>
    <xf numFmtId="0" fontId="79" fillId="0" borderId="23" xfId="0" applyFont="1" applyBorder="1">
      <alignment horizontal="left" vertical="center" wrapText="1" indent="1"/>
    </xf>
    <xf numFmtId="0" fontId="73" fillId="0" borderId="0" xfId="0" applyFont="1">
      <alignment vertical="center"/>
    </xf>
    <xf numFmtId="0" fontId="23" fillId="0" borderId="0" xfId="0" applyFont="1">
      <alignment vertical="center"/>
    </xf>
    <xf numFmtId="0" fontId="36" fillId="0" borderId="0" xfId="0" applyFont="1">
      <alignment vertical="center"/>
    </xf>
    <xf numFmtId="0" fontId="50" fillId="0" borderId="0" xfId="0" applyFont="1">
      <alignment vertical="center"/>
    </xf>
    <xf numFmtId="0" fontId="23" fillId="0" borderId="15" xfId="0" applyFont="1" applyBorder="1">
      <alignment horizontal="center" vertical="center" wrapText="1"/>
    </xf>
    <xf numFmtId="0" fontId="23" fillId="0" borderId="14" xfId="0" applyFont="1" applyBorder="1">
      <alignment horizontal="center" vertical="center" wrapText="1"/>
    </xf>
    <xf numFmtId="0" fontId="0" fillId="0" borderId="13" xfId="0" applyFont="1" applyBorder="1">
      <alignment horizontal="center" vertical="center" wrapText="1"/>
    </xf>
    <xf numFmtId="0" fontId="55" fillId="0" borderId="0" xfId="0" applyFont="1">
      <alignment vertical="center"/>
    </xf>
    <xf numFmtId="0" fontId="23" fillId="0" borderId="13" xfId="0" applyFont="1" applyBorder="1">
      <alignment horizontal="center" vertical="center" wrapText="1"/>
    </xf>
    <xf numFmtId="0" fontId="23" fillId="0" borderId="13" xfId="0" applyFont="1" applyBorder="1">
      <alignment horizontal="center" vertical="center" wrapText="1"/>
    </xf>
    <xf numFmtId="0" fontId="23" fillId="0" borderId="13" xfId="0" applyFont="1" applyBorder="1">
      <alignment horizontal="center" vertical="center" wrapText="1"/>
    </xf>
    <xf numFmtId="0" fontId="56" fillId="0" borderId="0" xfId="0" applyFont="1">
      <alignment vertical="center"/>
    </xf>
    <xf numFmtId="0" fontId="56" fillId="0" borderId="0" xfId="0" applyFont="1">
      <alignment vertical="center"/>
    </xf>
    <xf numFmtId="49" fontId="56" fillId="36" borderId="0" xfId="0" applyFont="1" applyFill="1" applyNumberFormat="1">
      <alignment horizontal="center" vertical="center" wrapText="1"/>
    </xf>
    <xf numFmtId="49" fontId="56" fillId="36" borderId="29" xfId="0" applyFont="1" applyFill="1" applyBorder="1" applyNumberFormat="1">
      <alignment horizontal="center" vertical="center" wrapText="1"/>
    </xf>
    <xf numFmtId="0" fontId="46" fillId="0" borderId="0" xfId="0" applyFont="1">
      <alignment horizontal="center" vertical="center" wrapText="1"/>
    </xf>
    <xf numFmtId="0" fontId="56" fillId="0" borderId="13" xfId="0" applyFont="1" applyBorder="1">
      <alignment horizontal="center" vertical="center"/>
    </xf>
    <xf numFmtId="0" fontId="23" fillId="0" borderId="13" xfId="0" applyFont="1" applyBorder="1">
      <alignment horizontal="center" vertical="center" wrapText="1"/>
    </xf>
    <xf numFmtId="0" fontId="0" fillId="0" borderId="13" xfId="0" applyFont="1" applyBorder="1">
      <alignment horizontal="center" vertical="center"/>
    </xf>
    <xf numFmtId="49" fontId="23" fillId="0" borderId="13" xfId="0" applyFont="1" applyBorder="1" applyNumberFormat="1">
      <alignment horizontal="center" vertical="center" wrapText="1"/>
    </xf>
    <xf numFmtId="49" fontId="23" fillId="0" borderId="13" xfId="0" applyFont="1" applyBorder="1" applyNumberFormat="1">
      <alignment horizontal="center" vertical="center" wrapText="1"/>
    </xf>
    <xf numFmtId="49" fontId="0" fillId="0" borderId="13" xfId="0" applyFont="1" applyBorder="1" applyNumberFormat="1">
      <alignment horizontal="center" vertical="center"/>
    </xf>
    <xf numFmtId="49" fontId="0" fillId="0" borderId="13" xfId="0" applyFont="1" applyBorder="1" applyNumberFormat="1">
      <alignment horizontal="left" vertical="center"/>
    </xf>
    <xf numFmtId="49" fontId="23" fillId="0" borderId="13" xfId="0" applyFont="1" applyBorder="1" applyNumberFormat="1">
      <alignment horizontal="center" vertical="center" wrapText="1"/>
    </xf>
    <xf numFmtId="49" fontId="23" fillId="0" borderId="13" xfId="0" applyFont="1" applyBorder="1" applyNumberFormat="1">
      <alignment horizontal="center" vertical="center" wrapText="1"/>
    </xf>
    <xf numFmtId="49" fontId="0" fillId="0" borderId="13" xfId="0" applyFont="1" applyBorder="1" applyNumberFormat="1">
      <alignment horizontal="left" vertical="center"/>
    </xf>
    <xf numFmtId="0" fontId="0" fillId="0" borderId="0" xfId="0" applyFont="1">
      <alignment vertical="center"/>
    </xf>
    <xf numFmtId="0" fontId="0" fillId="0" borderId="0" xfId="0" applyFont="1">
      <alignment vertical="center"/>
    </xf>
    <xf numFmtId="49" fontId="0" fillId="0" borderId="0" xfId="0" applyFont="1" applyNumberFormat="1">
      <alignment vertical="center"/>
    </xf>
    <xf numFmtId="0" fontId="0" fillId="0" borderId="13" xfId="0" applyFont="1" applyBorder="1">
      <alignment horizontal="center" vertical="top"/>
    </xf>
    <xf numFmtId="0" fontId="23" fillId="0" borderId="13" xfId="0" applyFont="1" applyBorder="1">
      <alignment horizontal="left" vertical="top" wrapText="1"/>
    </xf>
    <xf numFmtId="0" fontId="23" fillId="42" borderId="18" xfId="0" applyFont="1" applyFill="1" applyBorder="1">
      <alignment horizontal="center" vertical="top" wrapText="1"/>
    </xf>
    <xf numFmtId="0" fontId="23" fillId="42" borderId="13" xfId="0" applyFont="1" applyFill="1" applyBorder="1">
      <alignment horizontal="left" vertical="top" wrapText="1"/>
    </xf>
    <xf numFmtId="0" fontId="0" fillId="0" borderId="38" xfId="0" applyFont="1" applyBorder="1">
      <alignment horizontal="center" vertical="center"/>
    </xf>
    <xf numFmtId="0" fontId="0" fillId="0" borderId="20" xfId="0" applyFont="1" applyBorder="1">
      <alignment horizontal="center" vertical="center"/>
    </xf>
    <xf numFmtId="49" fontId="23" fillId="0" borderId="20" xfId="0" applyFont="1" applyBorder="1" applyNumberFormat="1">
      <alignment horizontal="left" vertical="center" wrapText="1"/>
    </xf>
    <xf numFmtId="49" fontId="23" fillId="0" borderId="20" xfId="0" applyFont="1" applyBorder="1" applyNumberFormat="1">
      <alignment horizontal="center" vertical="center" wrapText="1"/>
    </xf>
    <xf numFmtId="49" fontId="23" fillId="0" borderId="20" xfId="0" applyFont="1" applyBorder="1" applyNumberFormat="1">
      <alignment horizontal="center" vertical="center" wrapText="1"/>
    </xf>
    <xf numFmtId="0" fontId="0" fillId="0" borderId="20" xfId="0" applyFont="1" applyBorder="1">
      <alignment horizontal="left" vertical="center" wrapText="1"/>
    </xf>
    <xf numFmtId="49" fontId="0" fillId="0" borderId="20" xfId="0" applyFont="1" applyBorder="1" applyNumberFormat="1">
      <alignment horizontal="left" vertical="center" wrapText="1"/>
    </xf>
    <xf numFmtId="49" fontId="23" fillId="0" borderId="20" xfId="0" applyFont="1" applyBorder="1" applyNumberFormat="1">
      <alignment horizontal="center" vertical="center" wrapText="1"/>
    </xf>
    <xf numFmtId="49" fontId="0" fillId="0" borderId="20" xfId="0" applyFont="1" applyBorder="1" applyNumberFormat="1">
      <alignment horizontal="left" vertical="center" wrapText="1"/>
    </xf>
    <xf numFmtId="49" fontId="23" fillId="0" borderId="21" xfId="0" applyFont="1" applyBorder="1" applyNumberFormat="1">
      <alignment horizontal="left" vertical="center" wrapText="1"/>
    </xf>
    <xf numFmtId="0" fontId="23" fillId="0" borderId="0" xfId="0" applyFont="1">
      <alignment horizontal="left" vertical="center" indent="1"/>
    </xf>
    <xf numFmtId="0" fontId="56" fillId="0" borderId="0" xfId="0" applyFont="1">
      <alignment horizontal="left" vertical="center" indent="1"/>
    </xf>
    <xf numFmtId="0" fontId="0" fillId="0" borderId="0" xfId="0" applyFont="1">
      <alignment vertical="center"/>
    </xf>
    <xf numFmtId="0" fontId="23" fillId="42" borderId="37" xfId="0" applyFont="1" applyFill="1" applyBorder="1">
      <alignment horizontal="center" vertical="top" wrapText="1"/>
    </xf>
    <xf numFmtId="0" fontId="0" fillId="0" borderId="23" xfId="0" applyFont="1" applyBorder="1">
      <alignment horizontal="center" vertical="center"/>
    </xf>
    <xf numFmtId="0" fontId="0" fillId="0" borderId="0" xfId="0" applyFont="1">
      <alignment horizontal="center" vertical="center"/>
    </xf>
    <xf numFmtId="49" fontId="23" fillId="0" borderId="0" xfId="0" applyFont="1" applyNumberFormat="1">
      <alignment horizontal="left" vertical="center" wrapText="1"/>
    </xf>
    <xf numFmtId="49" fontId="23" fillId="0" borderId="0" xfId="0" applyFont="1" applyNumberFormat="1">
      <alignment horizontal="center" vertical="center" wrapText="1"/>
    </xf>
    <xf numFmtId="49" fontId="23" fillId="0" borderId="0" xfId="0" applyFont="1" applyNumberFormat="1">
      <alignment horizontal="center" vertical="center" wrapText="1"/>
    </xf>
    <xf numFmtId="0" fontId="0" fillId="0" borderId="0" xfId="0" applyFont="1">
      <alignment horizontal="left" vertical="center" wrapText="1"/>
    </xf>
    <xf numFmtId="49" fontId="0" fillId="0" borderId="0" xfId="0" applyFont="1" applyNumberFormat="1">
      <alignment horizontal="left" vertical="center" wrapText="1"/>
    </xf>
    <xf numFmtId="0" fontId="49" fillId="0" borderId="0" xfId="0" applyFont="1">
      <alignment horizontal="left" vertical="center"/>
    </xf>
    <xf numFmtId="0" fontId="49" fillId="0" borderId="25" xfId="0" applyFont="1" applyBorder="1">
      <alignment horizontal="left" vertical="center"/>
    </xf>
    <xf numFmtId="0" fontId="23" fillId="0" borderId="0" xfId="0" applyFont="1">
      <alignment vertical="center"/>
    </xf>
    <xf numFmtId="0" fontId="0" fillId="0" borderId="0" xfId="0" applyFont="1">
      <alignment vertical="center"/>
    </xf>
    <xf numFmtId="49" fontId="0" fillId="0" borderId="0" xfId="0" applyFont="1" applyNumberFormat="1">
      <alignment horizontal="left" vertical="top"/>
    </xf>
    <xf numFmtId="49" fontId="23" fillId="0" borderId="0" xfId="0" applyFont="1" applyNumberFormat="1">
      <alignment horizontal="center" vertical="center" wrapText="1"/>
    </xf>
    <xf numFmtId="0" fontId="0" fillId="0" borderId="0" xfId="0" applyFont="1">
      <alignment vertical="center"/>
    </xf>
    <xf numFmtId="49" fontId="0" fillId="0" borderId="13" xfId="0" applyFont="1" applyBorder="1" applyNumberFormat="1">
      <alignment vertical="top"/>
    </xf>
    <xf numFmtId="49" fontId="0" fillId="0" borderId="13" xfId="0" applyFont="1" applyBorder="1" applyNumberFormat="1">
      <alignment horizontal="left" vertical="top"/>
    </xf>
    <xf numFmtId="0" fontId="23" fillId="42" borderId="24" xfId="0" applyFont="1" applyFill="1" applyBorder="1">
      <alignment horizontal="center" vertical="top" wrapText="1"/>
    </xf>
    <xf numFmtId="49" fontId="0" fillId="42" borderId="13" xfId="0" applyFont="1" applyFill="1" applyBorder="1" applyNumberFormat="1">
      <alignment horizontal="left" vertical="top"/>
    </xf>
    <xf numFmtId="0" fontId="49" fillId="0" borderId="28" xfId="0" applyFont="1" applyBorder="1">
      <alignment horizontal="left" vertical="center"/>
    </xf>
    <xf numFmtId="0" fontId="49" fillId="0" borderId="29" xfId="0" applyFont="1" applyBorder="1">
      <alignment horizontal="left" vertical="center"/>
    </xf>
    <xf numFmtId="0" fontId="0" fillId="0" borderId="29" xfId="0" applyFont="1" applyBorder="1">
      <alignment vertical="center"/>
    </xf>
    <xf numFmtId="0" fontId="49" fillId="0" borderId="31" xfId="0" applyFont="1" applyBorder="1">
      <alignment horizontal="left" vertical="center"/>
    </xf>
    <xf numFmtId="0" fontId="0" fillId="0" borderId="0" xfId="0" applyFont="1">
      <alignment vertical="center"/>
    </xf>
    <xf numFmtId="49" fontId="56" fillId="0" borderId="0" xfId="0" applyFont="1" applyNumberFormat="1">
      <alignment horizontal="left" vertical="center" indent="1"/>
    </xf>
    <xf numFmtId="0" fontId="0" fillId="0" borderId="0" xfId="0" applyFont="1">
      <alignment vertical="center"/>
    </xf>
    <xf numFmtId="0" fontId="0" fillId="0" borderId="0" xfId="0" applyFont="1">
      <alignment vertical="center"/>
    </xf>
    <xf numFmtId="0" fontId="0" fillId="0" borderId="18" xfId="0" applyFont="1" applyBorder="1">
      <alignment horizontal="center" vertical="top"/>
    </xf>
    <xf numFmtId="0" fontId="23" fillId="0" borderId="18" xfId="0" applyFont="1" applyBorder="1">
      <alignment horizontal="left" vertical="top" wrapText="1"/>
    </xf>
    <xf numFmtId="0" fontId="23" fillId="42" borderId="18" xfId="0" applyFont="1" applyFill="1" applyBorder="1">
      <alignment horizontal="left" vertical="top" wrapText="1"/>
    </xf>
    <xf numFmtId="0" fontId="0" fillId="0" borderId="37" xfId="0" applyFont="1" applyBorder="1">
      <alignment horizontal="center" vertical="top"/>
    </xf>
    <xf numFmtId="0" fontId="23" fillId="0" borderId="37" xfId="0" applyFont="1" applyBorder="1">
      <alignment horizontal="left" vertical="top" wrapText="1"/>
    </xf>
    <xf numFmtId="0" fontId="23" fillId="42" borderId="37" xfId="0" applyFont="1" applyFill="1" applyBorder="1">
      <alignment horizontal="left" vertical="top" wrapText="1"/>
    </xf>
    <xf numFmtId="0" fontId="0" fillId="0" borderId="24" xfId="0" applyFont="1" applyBorder="1">
      <alignment horizontal="center" vertical="top"/>
    </xf>
    <xf numFmtId="0" fontId="23" fillId="0" borderId="24" xfId="0" applyFont="1" applyBorder="1">
      <alignment horizontal="left" vertical="top" wrapText="1"/>
    </xf>
    <xf numFmtId="0" fontId="23" fillId="42" borderId="24" xfId="0" applyFont="1" applyFill="1" applyBorder="1">
      <alignment horizontal="left" vertical="top" wrapText="1"/>
    </xf>
    <xf numFmtId="49" fontId="23" fillId="0" borderId="20" xfId="0" applyFont="1" applyBorder="1" applyNumberFormat="1">
      <alignment horizontal="center" vertical="center" wrapText="1"/>
    </xf>
    <xf numFmtId="49" fontId="0" fillId="0" borderId="20" xfId="0" applyFont="1" applyBorder="1" applyNumberFormat="1">
      <alignment horizontal="left" vertical="center" wrapText="1"/>
    </xf>
    <xf numFmtId="49" fontId="23" fillId="0" borderId="0" xfId="0" applyFont="1" applyNumberFormat="1">
      <alignment horizontal="center" vertical="center" wrapText="1"/>
    </xf>
    <xf numFmtId="0" fontId="0" fillId="0" borderId="0" xfId="0" applyFont="1">
      <alignment horizontal="left" vertical="top" wrapText="1"/>
    </xf>
    <xf numFmtId="0" fontId="0" fillId="0" borderId="0" xfId="0" applyFont="1" quotePrefix="1">
      <alignment horizontal="left" vertical="top" wrapText="1" indent="1"/>
    </xf>
    <xf numFmtId="0" fontId="0" fillId="0" borderId="0" xfId="0" applyFont="1">
      <alignment horizontal="left" vertical="top" wrapText="1" indent="1"/>
    </xf>
    <xf numFmtId="0" fontId="0" fillId="0" borderId="0" xfId="0" applyFont="1">
      <alignment horizontal="left" vertical="top" wrapText="1"/>
    </xf>
    <xf numFmtId="0" fontId="0" fillId="0" borderId="0" xfId="0" applyFont="1">
      <alignment horizontal="left" vertical="top" wrapText="1"/>
    </xf>
    <xf numFmtId="0" fontId="0" fillId="0" borderId="0" xfId="0" applyFont="1">
      <alignment vertical="top" wrapText="1"/>
    </xf>
    <xf numFmtId="0" fontId="0" fillId="0" borderId="0" xfId="0" applyFont="1">
      <alignment vertical="center"/>
    </xf>
    <xf numFmtId="0" fontId="0" fillId="0" borderId="0" xfId="0" applyFont="1">
      <alignment vertical="center"/>
    </xf>
    <xf numFmtId="49" fontId="23" fillId="0" borderId="20" xfId="0" applyFont="1" applyBorder="1" applyNumberFormat="1">
      <alignment horizontal="center" vertical="center" wrapText="1"/>
    </xf>
    <xf numFmtId="49" fontId="0" fillId="0" borderId="20" xfId="0" applyFont="1" applyBorder="1" applyNumberFormat="1">
      <alignment horizontal="left" vertical="center" wrapText="1"/>
    </xf>
    <xf numFmtId="49" fontId="23" fillId="0" borderId="0" xfId="0" applyFont="1" applyNumberFormat="1">
      <alignment horizontal="center" vertical="center" wrapText="1"/>
    </xf>
    <xf numFmtId="0" fontId="0" fillId="0" borderId="0" xfId="0" applyFont="1">
      <alignment vertical="center"/>
    </xf>
    <xf numFmtId="0" fontId="0" fillId="0" borderId="0" xfId="0" applyFont="1">
      <alignment vertical="center"/>
    </xf>
    <xf numFmtId="0" fontId="56" fillId="0" borderId="0" xfId="0" applyFont="1">
      <alignment vertical="center"/>
    </xf>
    <xf numFmtId="0" fontId="0" fillId="0" borderId="0" xfId="0" applyFont="1">
      <alignment vertical="center"/>
    </xf>
    <xf numFmtId="0" fontId="0" fillId="0" borderId="0" xfId="0" applyFont="1">
      <alignment vertical="center"/>
    </xf>
    <xf numFmtId="0" fontId="23" fillId="0" borderId="0" xfId="0" applyFont="1">
      <alignment vertical="center"/>
    </xf>
    <xf numFmtId="49" fontId="56" fillId="0" borderId="0" xfId="0" applyFont="1" applyNumberFormat="1">
      <alignment vertical="top"/>
    </xf>
    <xf numFmtId="49" fontId="56" fillId="0" borderId="0" xfId="0" applyFont="1" applyNumberFormat="1">
      <alignment horizontal="center" vertical="center"/>
    </xf>
    <xf numFmtId="49" fontId="56" fillId="0" borderId="0" xfId="0" applyFont="1" applyNumberFormat="1">
      <alignment horizontal="center" vertical="center"/>
    </xf>
    <xf numFmtId="49" fontId="55" fillId="0" borderId="0" xfId="0" applyFont="1" applyNumberFormat="1">
      <alignment horizontal="center" vertical="center"/>
    </xf>
    <xf numFmtId="49" fontId="73" fillId="0" borderId="0" xfId="0" applyFont="1" applyNumberFormat="1">
      <alignment vertical="top"/>
    </xf>
    <xf numFmtId="49" fontId="0" fillId="0" borderId="0" xfId="0" applyFont="1" applyNumberFormat="1">
      <alignment vertical="top"/>
    </xf>
    <xf numFmtId="49" fontId="41" fillId="0" borderId="0" xfId="0" applyFont="1" applyNumberFormat="1">
      <alignment vertical="top"/>
    </xf>
    <xf numFmtId="0" fontId="41" fillId="0" borderId="0" xfId="0" applyFont="1">
      <alignment vertical="center" wrapText="1"/>
    </xf>
    <xf numFmtId="0" fontId="23" fillId="0" borderId="0" xfId="0" applyFont="1">
      <alignment vertical="center" wrapText="1"/>
    </xf>
    <xf numFmtId="0" fontId="46" fillId="0" borderId="0" xfId="0" applyFont="1">
      <alignment horizontal="center" vertical="center" wrapText="1"/>
    </xf>
    <xf numFmtId="0" fontId="22" fillId="0" borderId="20" xfId="0" applyFont="1" applyBorder="1">
      <alignment horizontal="left" vertical="center" wrapText="1" indent="1"/>
    </xf>
    <xf numFmtId="0" fontId="22" fillId="0" borderId="0" xfId="0" applyFont="1">
      <alignment horizontal="left" vertical="center" wrapText="1" indent="1"/>
    </xf>
    <xf numFmtId="0" fontId="51" fillId="0" borderId="0" xfId="0" applyFont="1">
      <alignment vertical="center"/>
    </xf>
    <xf numFmtId="0" fontId="120" fillId="0" borderId="0" xfId="0" applyFont="1">
      <alignment vertical="center" wrapText="1"/>
    </xf>
    <xf numFmtId="0" fontId="121" fillId="0" borderId="0" xfId="0" applyFont="1">
      <alignment vertical="center" wrapText="1"/>
    </xf>
    <xf numFmtId="0" fontId="51" fillId="0" borderId="0" xfId="0" applyFont="1">
      <alignment vertical="center" wrapText="1"/>
    </xf>
    <xf numFmtId="0" fontId="41" fillId="0" borderId="0" xfId="0" applyFont="1">
      <alignment vertical="center" wrapText="1"/>
    </xf>
    <xf numFmtId="0" fontId="23" fillId="0" borderId="0" xfId="0" applyFont="1">
      <alignment vertical="center" wrapText="1"/>
    </xf>
    <xf numFmtId="0" fontId="22" fillId="0" borderId="29" xfId="0" applyFont="1" applyBorder="1">
      <alignment horizontal="left" vertical="center" wrapText="1" indent="1"/>
    </xf>
    <xf numFmtId="0" fontId="23" fillId="0" borderId="38" xfId="0" applyFont="1" applyBorder="1">
      <alignment horizontal="center" vertical="center" wrapText="1"/>
    </xf>
    <xf numFmtId="0" fontId="23" fillId="0" borderId="21" xfId="0" applyFont="1" applyBorder="1">
      <alignment horizontal="center" vertical="center" wrapText="1"/>
    </xf>
    <xf numFmtId="0" fontId="23" fillId="0" borderId="37" xfId="0" applyFont="1" applyBorder="1">
      <alignment horizontal="center" vertical="center" wrapText="1"/>
    </xf>
    <xf numFmtId="0" fontId="23" fillId="0" borderId="18" xfId="0" applyFont="1" applyBorder="1">
      <alignment horizontal="center" vertical="center" wrapText="1"/>
    </xf>
    <xf numFmtId="0" fontId="23" fillId="0" borderId="38" xfId="0" applyFont="1" applyBorder="1">
      <alignment horizontal="center" vertical="center" wrapText="1"/>
    </xf>
    <xf numFmtId="0" fontId="23" fillId="0" borderId="15" xfId="0" applyFont="1" applyBorder="1">
      <alignment horizontal="center" vertical="center" wrapText="1"/>
    </xf>
    <xf numFmtId="0" fontId="23" fillId="0" borderId="16" xfId="0" applyFont="1" applyBorder="1">
      <alignment horizontal="center" vertical="center" wrapText="1"/>
    </xf>
    <xf numFmtId="0" fontId="23" fillId="0" borderId="13" xfId="0" applyFont="1" applyBorder="1">
      <alignment horizontal="center" vertical="center" wrapText="1"/>
    </xf>
    <xf numFmtId="0" fontId="23" fillId="0" borderId="18" xfId="0" applyFont="1" applyBorder="1">
      <alignment horizontal="center" vertical="center" wrapText="1"/>
    </xf>
    <xf numFmtId="0" fontId="23" fillId="0" borderId="18" xfId="0" applyFont="1" applyBorder="1">
      <alignment horizontal="center" vertical="center" wrapText="1"/>
    </xf>
    <xf numFmtId="0" fontId="23" fillId="0" borderId="23" xfId="0" applyFont="1" applyBorder="1">
      <alignment horizontal="center" vertical="center" wrapText="1"/>
    </xf>
    <xf numFmtId="0" fontId="23" fillId="0" borderId="25" xfId="0" applyFont="1" applyBorder="1">
      <alignment horizontal="center" vertical="center" wrapText="1"/>
    </xf>
    <xf numFmtId="0" fontId="23" fillId="0" borderId="23" xfId="0" applyFont="1" applyBorder="1">
      <alignment horizontal="center" vertical="center" wrapText="1"/>
    </xf>
    <xf numFmtId="0" fontId="23" fillId="0" borderId="37" xfId="0" applyFont="1" applyBorder="1">
      <alignment horizontal="center" vertical="center" wrapText="1"/>
    </xf>
    <xf numFmtId="0" fontId="23" fillId="0" borderId="28" xfId="0" applyFont="1" applyBorder="1">
      <alignment horizontal="center" vertical="center" wrapText="1"/>
    </xf>
    <xf numFmtId="0" fontId="23" fillId="0" borderId="31" xfId="0" applyFont="1" applyBorder="1">
      <alignment horizontal="center" vertical="center" wrapText="1"/>
    </xf>
    <xf numFmtId="0" fontId="23" fillId="0" borderId="18" xfId="0" applyFont="1" applyBorder="1">
      <alignment horizontal="center" vertical="center" wrapText="1"/>
    </xf>
    <xf numFmtId="0" fontId="23" fillId="0" borderId="38" xfId="0" applyFont="1" applyBorder="1">
      <alignment horizontal="center" vertical="center" wrapText="1"/>
    </xf>
    <xf numFmtId="49" fontId="23" fillId="0" borderId="0" xfId="0" applyFont="1" applyNumberFormat="1">
      <alignment vertical="top"/>
    </xf>
    <xf numFmtId="49" fontId="23" fillId="0" borderId="13" xfId="0" applyFont="1" applyBorder="1" applyNumberFormat="1">
      <alignment horizontal="center" vertical="center"/>
    </xf>
    <xf numFmtId="0" fontId="23" fillId="0" borderId="13" xfId="0" applyFont="1" applyBorder="1">
      <alignment horizontal="left" vertical="center" wrapText="1"/>
    </xf>
    <xf numFmtId="0" fontId="23" fillId="0" borderId="13" xfId="0" applyFont="1" applyBorder="1">
      <alignment horizontal="left" vertical="center" wrapText="1"/>
    </xf>
    <xf numFmtId="49" fontId="23" fillId="42" borderId="18" xfId="0" applyFont="1" applyFill="1" applyBorder="1" applyNumberFormat="1">
      <alignment horizontal="center" vertical="center" wrapText="1"/>
    </xf>
    <xf numFmtId="49" fontId="23" fillId="0" borderId="38" xfId="0" applyFont="1" applyBorder="1" applyNumberFormat="1">
      <alignment vertical="center" wrapText="1"/>
    </xf>
    <xf numFmtId="0" fontId="23" fillId="0" borderId="20" xfId="0" applyFont="1" applyBorder="1">
      <alignment horizontal="center" vertical="center"/>
    </xf>
    <xf numFmtId="49" fontId="23" fillId="0" borderId="20" xfId="0" applyFont="1" applyBorder="1" applyNumberFormat="1">
      <alignment horizontal="left" vertical="center" wrapText="1"/>
    </xf>
    <xf numFmtId="49" fontId="23" fillId="0" borderId="20" xfId="0" applyFont="1" applyBorder="1" applyNumberFormat="1">
      <alignment vertical="center" wrapText="1"/>
    </xf>
    <xf numFmtId="49" fontId="23" fillId="0" borderId="20" xfId="0" applyFont="1" applyBorder="1" applyNumberFormat="1">
      <alignment horizontal="left" vertical="center" wrapText="1"/>
    </xf>
    <xf numFmtId="49" fontId="23" fillId="0" borderId="20" xfId="0" applyFont="1" applyBorder="1" applyNumberFormat="1">
      <alignment horizontal="left" vertical="center" wrapText="1"/>
    </xf>
    <xf numFmtId="49" fontId="46" fillId="0" borderId="20" xfId="0" applyFont="1" applyBorder="1" applyNumberFormat="1">
      <alignment vertical="center" wrapText="1"/>
    </xf>
    <xf numFmtId="49" fontId="23" fillId="0" borderId="20" xfId="0" applyFont="1" applyBorder="1" applyNumberFormat="1">
      <alignment horizontal="left" vertical="center" wrapText="1"/>
    </xf>
    <xf numFmtId="49" fontId="23" fillId="0" borderId="20" xfId="0" applyFont="1" applyBorder="1" applyNumberFormat="1">
      <alignment horizontal="center" vertical="center" wrapText="1"/>
    </xf>
    <xf numFmtId="0" fontId="23" fillId="0" borderId="20" xfId="0" applyFont="1" applyBorder="1">
      <alignment horizontal="left" vertical="center" wrapText="1"/>
    </xf>
    <xf numFmtId="49" fontId="23" fillId="0" borderId="20" xfId="0" applyFont="1" applyBorder="1" applyNumberFormat="1">
      <alignment horizontal="center" vertical="center" wrapText="1"/>
    </xf>
    <xf numFmtId="49" fontId="23" fillId="0" borderId="20" xfId="0" applyFont="1" applyBorder="1" applyNumberFormat="1">
      <alignment vertical="center" wrapText="1"/>
    </xf>
    <xf numFmtId="49" fontId="23" fillId="42" borderId="37" xfId="0" applyFont="1" applyFill="1" applyBorder="1" applyNumberFormat="1">
      <alignment horizontal="center" vertical="center" wrapText="1"/>
    </xf>
    <xf numFmtId="49" fontId="23" fillId="0" borderId="23" xfId="0" applyFont="1" applyBorder="1" applyNumberFormat="1">
      <alignment vertical="center" wrapText="1"/>
    </xf>
    <xf numFmtId="0" fontId="23" fillId="0" borderId="0" xfId="0" applyFont="1">
      <alignment horizontal="center" vertical="center"/>
    </xf>
    <xf numFmtId="0" fontId="23" fillId="0" borderId="0" xfId="0" applyFont="1">
      <alignment horizontal="left" vertical="center" wrapText="1"/>
    </xf>
    <xf numFmtId="49" fontId="23" fillId="0" borderId="0" xfId="0" applyFont="1" applyNumberFormat="1">
      <alignment vertical="center" wrapText="1"/>
    </xf>
    <xf numFmtId="49" fontId="23" fillId="0" borderId="0" xfId="0" applyFont="1" applyNumberFormat="1">
      <alignment horizontal="left" vertical="center" wrapText="1"/>
    </xf>
    <xf numFmtId="49" fontId="23" fillId="0" borderId="0" xfId="0" applyFont="1" applyNumberFormat="1">
      <alignment horizontal="left" vertical="center" wrapText="1"/>
    </xf>
    <xf numFmtId="49" fontId="46" fillId="0" borderId="0" xfId="0" applyFont="1" applyNumberFormat="1">
      <alignment vertical="center" wrapText="1"/>
    </xf>
    <xf numFmtId="49" fontId="23" fillId="0" borderId="0" xfId="0" applyFont="1" applyNumberFormat="1">
      <alignment horizontal="left" vertical="center" wrapText="1"/>
    </xf>
    <xf numFmtId="49" fontId="23" fillId="0" borderId="0" xfId="0" applyFont="1" applyNumberFormat="1">
      <alignment horizontal="center" vertical="center" wrapText="1"/>
    </xf>
    <xf numFmtId="0" fontId="23" fillId="0" borderId="0" xfId="0" applyFont="1">
      <alignment horizontal="left" vertical="center" wrapText="1"/>
    </xf>
    <xf numFmtId="0" fontId="49" fillId="0" borderId="0" xfId="0" applyFont="1">
      <alignment horizontal="left" vertical="center"/>
    </xf>
    <xf numFmtId="0" fontId="49" fillId="0" borderId="0" xfId="0" applyFont="1">
      <alignment horizontal="left" vertical="center"/>
    </xf>
    <xf numFmtId="0" fontId="49" fillId="0" borderId="25" xfId="0" applyFont="1" applyBorder="1">
      <alignment horizontal="left" vertical="center"/>
    </xf>
    <xf numFmtId="49" fontId="23" fillId="0" borderId="0" xfId="0" applyFont="1" applyNumberFormat="1">
      <alignment horizontal="center" vertical="center" wrapText="1"/>
    </xf>
    <xf numFmtId="49" fontId="46" fillId="0" borderId="0" xfId="0" applyFont="1" applyNumberFormat="1">
      <alignment horizontal="center" vertical="center" wrapText="1"/>
    </xf>
    <xf numFmtId="0" fontId="49" fillId="0" borderId="0" xfId="0" applyFont="1">
      <alignment vertical="center"/>
    </xf>
    <xf numFmtId="0" fontId="49" fillId="0" borderId="23" xfId="0" applyFont="1" applyBorder="1">
      <alignment horizontal="left" vertical="center"/>
    </xf>
    <xf numFmtId="49" fontId="23" fillId="0" borderId="18" xfId="0" applyFont="1" applyBorder="1" applyNumberFormat="1">
      <alignment horizontal="center" vertical="center"/>
    </xf>
    <xf numFmtId="0" fontId="23" fillId="0" borderId="18" xfId="0" applyFont="1" applyBorder="1">
      <alignment horizontal="left" vertical="center" wrapText="1"/>
    </xf>
    <xf numFmtId="0" fontId="23" fillId="0" borderId="38" xfId="0" applyFont="1" applyBorder="1">
      <alignment horizontal="left" vertical="center" wrapText="1"/>
    </xf>
    <xf numFmtId="49" fontId="73" fillId="0" borderId="28" xfId="0" applyFont="1" applyBorder="1" applyNumberFormat="1">
      <alignment vertical="top"/>
    </xf>
    <xf numFmtId="49" fontId="73" fillId="0" borderId="29" xfId="0" applyFont="1" applyBorder="1" applyNumberFormat="1">
      <alignment vertical="top"/>
    </xf>
    <xf numFmtId="0" fontId="49" fillId="0" borderId="29" xfId="0" applyFont="1" applyBorder="1">
      <alignment horizontal="left" vertical="center"/>
    </xf>
    <xf numFmtId="0" fontId="49" fillId="0" borderId="31" xfId="0" applyFont="1" applyBorder="1">
      <alignment horizontal="left" vertical="center"/>
    </xf>
    <xf numFmtId="0" fontId="23" fillId="0" borderId="0" xfId="0" applyFont="1">
      <alignment horizontal="left" vertical="center" wrapText="1"/>
    </xf>
    <xf numFmtId="0" fontId="23" fillId="0" borderId="15" xfId="0" applyFont="1" applyBorder="1">
      <alignment horizontal="left" vertical="center" wrapText="1"/>
    </xf>
    <xf numFmtId="49" fontId="0" fillId="0" borderId="0" xfId="0" applyFont="1" applyNumberFormat="1">
      <alignment vertical="top"/>
    </xf>
    <xf numFmtId="49" fontId="0" fillId="0" borderId="0" xfId="0" applyFont="1" applyNumberFormat="1">
      <alignment vertical="top"/>
    </xf>
    <xf numFmtId="49" fontId="41" fillId="0" borderId="0" xfId="0" applyFont="1" applyNumberFormat="1">
      <alignment vertical="top"/>
    </xf>
    <xf numFmtId="0" fontId="23" fillId="36" borderId="0" xfId="0" applyFont="1" applyFill="1"/>
    <xf numFmtId="0" fontId="67" fillId="36" borderId="0" xfId="0" applyFont="1" applyFill="1"/>
    <xf numFmtId="0" fontId="56" fillId="36" borderId="0" xfId="0" applyFont="1" applyFill="1"/>
    <xf numFmtId="0" fontId="67" fillId="36" borderId="0" xfId="0" applyFont="1" applyFill="1">
      <alignment horizontal="center"/>
    </xf>
    <xf numFmtId="0" fontId="23" fillId="0" borderId="21" xfId="0" applyFont="1" applyBorder="1">
      <alignment horizontal="left" vertical="center" wrapText="1" indent="1"/>
    </xf>
    <xf numFmtId="0" fontId="23" fillId="0" borderId="18" xfId="0" applyFont="1" applyBorder="1">
      <alignment horizontal="left" vertical="center" wrapText="1" indent="1"/>
    </xf>
    <xf numFmtId="0" fontId="23" fillId="0" borderId="38" xfId="0" applyFont="1" applyBorder="1">
      <alignment horizontal="left" vertical="center" wrapText="1" indent="1"/>
    </xf>
    <xf numFmtId="0" fontId="96" fillId="0" borderId="0" xfId="0" applyFont="1">
      <alignment vertical="center"/>
    </xf>
    <xf numFmtId="0" fontId="23" fillId="0" borderId="29" xfId="0" applyFont="1" applyBorder="1">
      <alignment horizontal="left" vertical="center" wrapText="1" indent="1"/>
    </xf>
    <xf numFmtId="0" fontId="95" fillId="0" borderId="0" xfId="0" applyFont="1">
      <alignment vertical="center"/>
    </xf>
    <xf numFmtId="0" fontId="76" fillId="36" borderId="0" xfId="0" applyFont="1" applyFill="1">
      <alignment horizontal="right" vertical="center"/>
    </xf>
    <xf numFmtId="0" fontId="23" fillId="36" borderId="0" xfId="0" applyFont="1" applyFill="1">
      <alignment vertical="center" wrapText="1"/>
    </xf>
    <xf numFmtId="0" fontId="56" fillId="36" borderId="0" xfId="0" applyFont="1" applyFill="1">
      <alignment vertical="center" wrapText="1"/>
    </xf>
    <xf numFmtId="0" fontId="23" fillId="36" borderId="0" xfId="0" applyFont="1" applyFill="1">
      <alignment horizontal="center" vertical="center" wrapText="1"/>
    </xf>
    <xf numFmtId="0" fontId="99" fillId="36" borderId="0" xfId="0" applyFont="1" applyFill="1">
      <alignment horizontal="left" vertical="center" wrapText="1"/>
    </xf>
    <xf numFmtId="49" fontId="0" fillId="36" borderId="13" xfId="0" applyFont="1" applyFill="1" applyBorder="1" applyNumberFormat="1">
      <alignment horizontal="center" vertical="center" wrapText="1"/>
    </xf>
    <xf numFmtId="49" fontId="23" fillId="36" borderId="13" xfId="0" applyFont="1" applyFill="1" applyBorder="1" applyNumberFormat="1">
      <alignment horizontal="center" vertical="center" wrapText="1"/>
    </xf>
    <xf numFmtId="0" fontId="0" fillId="36" borderId="13" xfId="0" applyFont="1" applyFill="1" applyBorder="1">
      <alignment horizontal="center" vertical="center" wrapText="1"/>
    </xf>
    <xf numFmtId="49" fontId="23" fillId="36" borderId="13" xfId="0" applyFont="1" applyFill="1" applyBorder="1" applyNumberFormat="1">
      <alignment horizontal="center" vertical="center" wrapText="1"/>
    </xf>
    <xf numFmtId="0" fontId="0" fillId="36" borderId="13" xfId="0" applyFont="1" applyFill="1" applyBorder="1">
      <alignment horizontal="center" vertical="center" wrapText="1"/>
    </xf>
    <xf numFmtId="0" fontId="23" fillId="36" borderId="13" xfId="0" applyFont="1" applyFill="1" applyBorder="1">
      <alignment horizontal="center" vertical="center" wrapText="1"/>
    </xf>
    <xf numFmtId="0" fontId="45" fillId="36" borderId="0" xfId="0" applyFont="1" applyFill="1">
      <alignment horizontal="center" vertical="center"/>
    </xf>
    <xf numFmtId="49" fontId="56" fillId="0" borderId="13" xfId="0" applyFont="1" applyBorder="1" applyNumberFormat="1">
      <alignment horizontal="center" vertical="center"/>
    </xf>
    <xf numFmtId="0" fontId="56" fillId="0" borderId="13" xfId="0" applyFont="1" applyBorder="1">
      <alignment vertical="center" wrapText="1"/>
    </xf>
    <xf numFmtId="0" fontId="56" fillId="0" borderId="13" xfId="0" applyFont="1" applyBorder="1">
      <alignment horizontal="left" vertical="center" wrapText="1"/>
    </xf>
    <xf numFmtId="0" fontId="71" fillId="36" borderId="0" xfId="0" applyFont="1" applyFill="1"/>
    <xf numFmtId="49" fontId="0" fillId="36" borderId="13" xfId="0" applyFont="1" applyFill="1" applyBorder="1" applyNumberFormat="1">
      <alignment horizontal="center" vertical="center"/>
    </xf>
    <xf numFmtId="0" fontId="0" fillId="36" borderId="13" xfId="0" applyFont="1" applyFill="1" applyBorder="1">
      <alignment vertical="center" wrapText="1"/>
    </xf>
    <xf numFmtId="0" fontId="0" fillId="0" borderId="13" xfId="0" applyFont="1" applyBorder="1">
      <alignment horizontal="center" vertical="center" wrapText="1"/>
    </xf>
    <xf numFmtId="0" fontId="23" fillId="36" borderId="13" xfId="0" applyFont="1" applyFill="1" applyBorder="1">
      <alignment vertical="center" wrapText="1"/>
    </xf>
    <xf numFmtId="0" fontId="0" fillId="36" borderId="13" xfId="0" applyFont="1" applyFill="1" applyBorder="1">
      <alignment horizontal="left" vertical="center" wrapText="1" indent="1"/>
    </xf>
    <xf numFmtId="49" fontId="0" fillId="41" borderId="13" xfId="0" applyFont="1" applyFill="1" applyBorder="1" applyNumberFormat="1">
      <alignment horizontal="left" vertical="center" wrapText="1"/>
      <protection locked="0"/>
    </xf>
    <xf numFmtId="0" fontId="56" fillId="0" borderId="13" xfId="0" applyFont="1" applyBorder="1">
      <alignment horizontal="left" vertical="center" wrapText="1" indent="1"/>
    </xf>
    <xf numFmtId="0" fontId="23" fillId="36" borderId="0" xfId="0" applyFont="1" applyFill="1">
      <alignment horizontal="center" vertical="center" wrapText="1"/>
    </xf>
    <xf numFmtId="0" fontId="23" fillId="36" borderId="25" xfId="0" applyFont="1" applyFill="1" applyBorder="1">
      <alignment horizontal="center" vertical="center" wrapText="1"/>
    </xf>
    <xf numFmtId="0" fontId="0" fillId="36" borderId="13" xfId="0" applyFont="1" applyFill="1" applyBorder="1">
      <alignment horizontal="center" vertical="center"/>
    </xf>
    <xf numFmtId="0" fontId="96" fillId="0" borderId="0" xfId="0" applyFont="1">
      <alignment vertical="center" wrapText="1"/>
    </xf>
    <xf numFmtId="0" fontId="0" fillId="36" borderId="13" xfId="0" applyFont="1" applyFill="1" applyBorder="1">
      <alignment horizontal="left" vertical="center" wrapText="1" indent="2"/>
    </xf>
    <xf numFmtId="49" fontId="0" fillId="0" borderId="13" xfId="0" applyFont="1" applyBorder="1" applyNumberFormat="1">
      <alignment horizontal="left" vertical="center" wrapText="1"/>
    </xf>
    <xf numFmtId="0" fontId="56" fillId="36" borderId="0" xfId="0" applyFont="1" applyFill="1"/>
    <xf numFmtId="49" fontId="56" fillId="36" borderId="13" xfId="0" applyFont="1" applyFill="1" applyBorder="1" applyNumberFormat="1">
      <alignment horizontal="center" vertical="center"/>
    </xf>
    <xf numFmtId="0" fontId="56" fillId="36" borderId="13" xfId="0" applyFont="1" applyFill="1" applyBorder="1">
      <alignment vertical="center" wrapText="1"/>
    </xf>
    <xf numFmtId="0" fontId="56" fillId="0" borderId="13" xfId="0" applyFont="1" applyBorder="1">
      <alignment horizontal="center" vertical="center" wrapText="1"/>
    </xf>
    <xf numFmtId="0" fontId="56" fillId="36" borderId="13" xfId="0" applyFont="1" applyFill="1" applyBorder="1">
      <alignment horizontal="left" vertical="center" wrapText="1" indent="1"/>
    </xf>
    <xf numFmtId="0" fontId="56" fillId="36" borderId="13" xfId="0" applyFont="1" applyFill="1" applyBorder="1">
      <alignment horizontal="left" vertical="center" wrapText="1" indent="2"/>
    </xf>
    <xf numFmtId="49" fontId="56" fillId="0" borderId="13" xfId="0" applyFont="1" applyBorder="1" applyNumberFormat="1">
      <alignment horizontal="left" vertical="center" wrapText="1"/>
    </xf>
    <xf numFmtId="49" fontId="131" fillId="0" borderId="13" xfId="0" applyFont="1" applyBorder="1" applyNumberFormat="1">
      <alignment horizontal="left" vertical="center" wrapText="1"/>
    </xf>
    <xf numFmtId="0" fontId="0" fillId="36" borderId="13" xfId="0" applyFont="1" applyFill="1" applyBorder="1">
      <alignment horizontal="left" vertical="center" wrapText="1"/>
    </xf>
    <xf numFmtId="49" fontId="0" fillId="33" borderId="13" xfId="0" applyFont="1" applyFill="1" applyBorder="1" applyNumberFormat="1">
      <alignment horizontal="left" vertical="center" wrapText="1"/>
      <protection locked="0"/>
    </xf>
    <xf numFmtId="0" fontId="0" fillId="36" borderId="18" xfId="0" applyFont="1" applyFill="1" applyBorder="1">
      <alignment horizontal="left" vertical="center" wrapText="1"/>
    </xf>
    <xf numFmtId="0" fontId="23" fillId="36" borderId="18" xfId="0" applyFont="1" applyFill="1" applyBorder="1">
      <alignment horizontal="left" vertical="top" wrapText="1"/>
    </xf>
    <xf numFmtId="49" fontId="0" fillId="0" borderId="13" xfId="0" applyFont="1" applyBorder="1" applyNumberFormat="1">
      <alignment horizontal="left" vertical="center" wrapText="1" indent="1"/>
    </xf>
    <xf numFmtId="0" fontId="23" fillId="36" borderId="37" xfId="0" applyFont="1" applyFill="1" applyBorder="1">
      <alignment horizontal="left" vertical="top" wrapText="1"/>
    </xf>
    <xf numFmtId="0" fontId="46" fillId="36" borderId="0" xfId="0" applyFont="1" applyFill="1">
      <alignment horizontal="center" vertical="center" wrapText="1"/>
    </xf>
    <xf numFmtId="49" fontId="0" fillId="41" borderId="13" xfId="0" applyFont="1" applyFill="1" applyBorder="1" applyNumberFormat="1">
      <alignment horizontal="left" vertical="center" wrapText="1" indent="1"/>
      <protection locked="0"/>
    </xf>
    <xf numFmtId="49" fontId="23" fillId="41" borderId="15" xfId="0" applyFont="1" applyFill="1" applyBorder="1" applyNumberFormat="1">
      <alignment horizontal="left" vertical="center" wrapText="1"/>
      <protection locked="0"/>
    </xf>
    <xf numFmtId="0" fontId="23" fillId="40" borderId="15" xfId="0" applyFont="1" applyFill="1" applyBorder="1">
      <alignment horizontal="center"/>
    </xf>
    <xf numFmtId="0" fontId="76" fillId="40" borderId="14" xfId="0" applyFont="1" applyFill="1" applyBorder="1">
      <alignment horizontal="left" vertical="center"/>
    </xf>
    <xf numFmtId="0" fontId="23" fillId="36" borderId="24" xfId="0" applyFont="1" applyFill="1" applyBorder="1">
      <alignment horizontal="left" vertical="top" wrapText="1"/>
    </xf>
    <xf numFmtId="0" fontId="59" fillId="36" borderId="0" xfId="0" applyFont="1" applyFill="1"/>
    <xf numFmtId="49" fontId="129" fillId="41" borderId="13" xfId="0" applyFont="1" applyFill="1" applyBorder="1" applyNumberFormat="1" quotePrefix="1">
      <alignment horizontal="left" vertical="center" wrapText="1"/>
      <protection locked="0"/>
    </xf>
    <xf numFmtId="49" fontId="129" fillId="33" borderId="13" xfId="0" applyFont="1" applyFill="1" applyBorder="1" applyNumberFormat="1">
      <alignment horizontal="left" vertical="center" wrapText="1"/>
      <protection locked="0"/>
    </xf>
    <xf numFmtId="49" fontId="23" fillId="42" borderId="13" xfId="0" applyFont="1" applyFill="1" applyBorder="1" applyNumberFormat="1">
      <alignment horizontal="left" vertical="center" wrapText="1"/>
    </xf>
    <xf numFmtId="49" fontId="23" fillId="36" borderId="0" xfId="0" applyFont="1" applyFill="1" applyNumberFormat="1">
      <alignment horizontal="center" vertical="center" wrapText="1"/>
    </xf>
    <xf numFmtId="0" fontId="23" fillId="36" borderId="25" xfId="0" applyFont="1" applyFill="1" applyBorder="1">
      <alignment vertical="center" wrapText="1"/>
    </xf>
    <xf numFmtId="49" fontId="23" fillId="42" borderId="13" xfId="0" applyFont="1" applyFill="1" applyBorder="1" applyNumberFormat="1">
      <alignment horizontal="left" vertical="center" wrapText="1"/>
    </xf>
    <xf numFmtId="0" fontId="0" fillId="36" borderId="15" xfId="0" applyFont="1" applyFill="1" applyBorder="1">
      <alignment horizontal="left" vertical="center" wrapText="1" indent="1"/>
    </xf>
    <xf numFmtId="49" fontId="23" fillId="42" borderId="15" xfId="0" applyFont="1" applyFill="1" applyBorder="1" applyNumberFormat="1">
      <alignment horizontal="left" vertical="center" wrapText="1"/>
    </xf>
    <xf numFmtId="0" fontId="0" fillId="36" borderId="13" xfId="0" applyFont="1" applyFill="1" applyBorder="1">
      <alignment vertical="top" wrapText="1"/>
    </xf>
    <xf numFmtId="0" fontId="76" fillId="40" borderId="16" xfId="0" applyFont="1" applyFill="1" applyBorder="1">
      <alignment horizontal="left" vertical="center"/>
    </xf>
    <xf numFmtId="49" fontId="23" fillId="36" borderId="0" xfId="0" applyFont="1" applyFill="1" applyNumberFormat="1">
      <alignment horizontal="center" vertical="center" wrapText="1"/>
    </xf>
    <xf numFmtId="0" fontId="0" fillId="36" borderId="15" xfId="0" applyFont="1" applyFill="1" applyBorder="1">
      <alignment horizontal="left" vertical="center" wrapText="1"/>
    </xf>
    <xf numFmtId="0" fontId="0" fillId="36" borderId="24" xfId="0" applyFont="1" applyFill="1" applyBorder="1">
      <alignment vertical="center" wrapText="1"/>
    </xf>
    <xf numFmtId="0" fontId="82" fillId="36" borderId="0" xfId="0" applyFont="1" applyFill="1"/>
    <xf numFmtId="0" fontId="23" fillId="0" borderId="0" xfId="0" applyFont="1">
      <alignment vertical="top" wrapText="1"/>
    </xf>
    <xf numFmtId="0" fontId="56" fillId="0" borderId="0" xfId="0" applyFont="1">
      <alignment vertical="center" wrapText="1"/>
    </xf>
    <xf numFmtId="0" fontId="54" fillId="0" borderId="0" xfId="0" applyFont="1">
      <alignment horizontal="right" vertical="top" wrapText="1"/>
    </xf>
    <xf numFmtId="0" fontId="54" fillId="0" borderId="0" xfId="0" applyFont="1">
      <alignment horizontal="left" vertical="top" wrapText="1" indent="1"/>
    </xf>
    <xf numFmtId="0" fontId="54" fillId="0" borderId="0" xfId="0" applyFont="1">
      <alignment vertical="center" wrapText="1"/>
    </xf>
    <xf numFmtId="0" fontId="81" fillId="36" borderId="0" xfId="0" applyFont="1" applyFill="1">
      <alignment horizontal="center"/>
    </xf>
    <xf numFmtId="0" fontId="81" fillId="36" borderId="0" xfId="0" applyFont="1" applyFill="1"/>
    <xf numFmtId="0" fontId="83" fillId="36" borderId="0" xfId="0" applyFont="1" applyFill="1">
      <alignment horizontal="right" vertical="center"/>
    </xf>
    <xf numFmtId="0" fontId="84" fillId="36" borderId="0" xfId="0" applyFont="1" applyFill="1">
      <alignment vertical="center"/>
    </xf>
    <xf numFmtId="0" fontId="83" fillId="36" borderId="0" xfId="0" applyFont="1" applyFill="1">
      <alignment horizontal="right" vertical="top"/>
    </xf>
    <xf numFmtId="0" fontId="84" fillId="36" borderId="0" xfId="0" applyFont="1" applyFill="1">
      <alignment vertical="center" wrapText="1"/>
    </xf>
    <xf numFmtId="0" fontId="23" fillId="36" borderId="0" xfId="0" applyFont="1" applyFill="1"/>
    <xf numFmtId="0" fontId="0" fillId="36" borderId="0" xfId="0" applyFont="1" applyFill="1"/>
    <xf numFmtId="0" fontId="0" fillId="36" borderId="0" xfId="0" applyFont="1" applyFill="1">
      <alignment horizontal="center"/>
    </xf>
    <xf numFmtId="0" fontId="55" fillId="0" borderId="0" xfId="0" applyFont="1">
      <alignment horizontal="center" vertical="center" wrapText="1"/>
    </xf>
    <xf numFmtId="0" fontId="94" fillId="0" borderId="0" xfId="0" applyFont="1">
      <alignment vertical="center" wrapText="1"/>
    </xf>
    <xf numFmtId="0" fontId="94" fillId="36" borderId="0" xfId="0" applyFont="1" applyFill="1">
      <alignment horizontal="center" vertical="center" wrapText="1"/>
    </xf>
    <xf numFmtId="0" fontId="94" fillId="36" borderId="0" xfId="0" applyFont="1" applyFill="1">
      <alignment horizontal="right" vertical="center" wrapText="1"/>
    </xf>
    <xf numFmtId="0" fontId="46" fillId="36" borderId="0" xfId="0" applyFont="1" applyFill="1">
      <alignment horizontal="center" vertical="center" wrapText="1"/>
    </xf>
    <xf numFmtId="0" fontId="22" fillId="0" borderId="0" xfId="0" applyFont="1">
      <alignment horizontal="left" vertical="center" wrapText="1" indent="3"/>
    </xf>
    <xf numFmtId="0" fontId="70" fillId="0" borderId="0" xfId="0" applyFont="1">
      <alignment horizontal="center" vertical="center" wrapText="1"/>
    </xf>
    <xf numFmtId="0" fontId="70" fillId="0" borderId="0" xfId="0" applyFont="1">
      <alignment vertical="center" wrapText="1"/>
    </xf>
    <xf numFmtId="0" fontId="41" fillId="0" borderId="0" xfId="0" applyFont="1">
      <alignment vertical="center" wrapText="1"/>
    </xf>
    <xf numFmtId="0" fontId="46" fillId="36" borderId="0" xfId="0" applyFont="1" applyFill="1">
      <alignment horizontal="center" vertical="center" wrapText="1"/>
    </xf>
    <xf numFmtId="0" fontId="23" fillId="0" borderId="31" xfId="0" applyFont="1" applyBorder="1">
      <alignment horizontal="left" vertical="center" wrapText="1" indent="1"/>
    </xf>
    <xf numFmtId="0" fontId="23" fillId="0" borderId="24" xfId="0" applyFont="1" applyBorder="1">
      <alignment horizontal="left" vertical="center" wrapText="1" indent="1"/>
    </xf>
    <xf numFmtId="0" fontId="23" fillId="0" borderId="28" xfId="0" applyFont="1" applyBorder="1">
      <alignment horizontal="left" vertical="center" wrapText="1" indent="1"/>
    </xf>
    <xf numFmtId="0" fontId="66" fillId="0" borderId="0" xfId="0" applyFont="1">
      <alignment vertical="center" wrapText="1"/>
    </xf>
    <xf numFmtId="0" fontId="64" fillId="0" borderId="0" xfId="0" applyFont="1">
      <alignment vertical="center" wrapText="1"/>
    </xf>
    <xf numFmtId="0" fontId="85" fillId="36" borderId="0" xfId="0" applyFont="1" applyFill="1">
      <alignment horizontal="center" vertical="center" wrapText="1"/>
    </xf>
    <xf numFmtId="0" fontId="66" fillId="0" borderId="0" xfId="0" applyFont="1">
      <alignment horizontal="left" vertical="center" wrapText="1" indent="1"/>
    </xf>
    <xf numFmtId="0" fontId="23" fillId="0" borderId="0" xfId="0" applyFont="1">
      <alignment horizontal="right" vertical="center"/>
    </xf>
    <xf numFmtId="0" fontId="56" fillId="0" borderId="0" xfId="0" applyFont="1">
      <alignment vertical="center" wrapText="1"/>
    </xf>
    <xf numFmtId="0" fontId="0" fillId="0" borderId="15" xfId="0" applyFont="1" applyBorder="1">
      <alignment horizontal="center" vertical="center" wrapText="1"/>
    </xf>
    <xf numFmtId="0" fontId="0" fillId="0" borderId="16" xfId="0" applyFont="1" applyBorder="1">
      <alignment horizontal="center" vertical="center" wrapText="1"/>
    </xf>
    <xf numFmtId="0" fontId="0" fillId="0" borderId="14" xfId="0" applyFont="1" applyBorder="1">
      <alignment horizontal="center" vertical="center" wrapText="1"/>
    </xf>
    <xf numFmtId="0" fontId="0" fillId="0" borderId="13" xfId="0" applyFont="1" applyBorder="1">
      <alignment horizontal="center" vertical="center" wrapText="1"/>
    </xf>
    <xf numFmtId="0" fontId="23" fillId="0" borderId="13" xfId="0" applyFont="1" applyBorder="1">
      <alignment horizontal="center" vertical="center" wrapText="1"/>
    </xf>
    <xf numFmtId="0" fontId="0" fillId="0" borderId="13" xfId="0" applyFont="1" applyBorder="1">
      <alignment horizontal="center" vertical="center" wrapText="1"/>
    </xf>
    <xf numFmtId="0" fontId="0" fillId="0" borderId="18" xfId="0" applyFont="1" applyBorder="1">
      <alignment horizontal="center" vertical="center" wrapText="1"/>
    </xf>
    <xf numFmtId="0" fontId="0" fillId="0" borderId="18" xfId="0" applyFont="1" applyBorder="1">
      <alignment horizontal="center" vertical="center" wrapText="1"/>
    </xf>
    <xf numFmtId="0" fontId="0" fillId="0" borderId="38" xfId="0" applyFont="1" applyBorder="1">
      <alignment horizontal="center" vertical="center" wrapText="1"/>
    </xf>
    <xf numFmtId="0" fontId="0" fillId="0" borderId="21" xfId="0" applyFont="1" applyBorder="1">
      <alignment horizontal="center" vertical="center" wrapText="1"/>
    </xf>
    <xf numFmtId="0" fontId="0" fillId="0" borderId="21" xfId="0" applyFont="1" applyBorder="1">
      <alignment horizontal="center" vertical="center" wrapText="1"/>
    </xf>
    <xf numFmtId="0" fontId="0" fillId="0" borderId="18" xfId="0" applyFont="1" applyBorder="1">
      <alignment horizontal="center" vertical="center" wrapText="1"/>
    </xf>
    <xf numFmtId="0" fontId="0" fillId="0" borderId="18" xfId="0" applyFont="1" applyBorder="1">
      <alignment horizontal="center" vertical="center" wrapText="1"/>
    </xf>
    <xf numFmtId="0" fontId="0" fillId="0" borderId="24" xfId="0" applyFont="1" applyBorder="1">
      <alignment horizontal="center" vertical="center" wrapText="1"/>
    </xf>
    <xf numFmtId="0" fontId="0" fillId="0" borderId="24" xfId="0" applyFont="1" applyBorder="1">
      <alignment horizontal="center" vertical="center" wrapText="1"/>
    </xf>
    <xf numFmtId="0" fontId="0" fillId="0" borderId="28" xfId="0" applyFont="1" applyBorder="1">
      <alignment horizontal="center" vertical="center" wrapText="1"/>
    </xf>
    <xf numFmtId="0" fontId="0" fillId="0" borderId="13" xfId="0" applyFont="1" applyBorder="1">
      <alignment horizontal="center" vertical="center" wrapText="1"/>
    </xf>
    <xf numFmtId="0" fontId="0" fillId="0" borderId="15" xfId="0" applyFont="1" applyBorder="1">
      <alignment horizontal="center" vertical="center" wrapText="1"/>
    </xf>
    <xf numFmtId="0" fontId="0" fillId="0" borderId="31" xfId="0" applyFont="1" applyBorder="1">
      <alignment horizontal="center" vertical="center" wrapText="1"/>
    </xf>
    <xf numFmtId="0" fontId="0" fillId="0" borderId="31" xfId="0" applyFont="1" applyBorder="1">
      <alignment horizontal="center" vertical="center" wrapText="1"/>
    </xf>
    <xf numFmtId="0" fontId="0" fillId="0" borderId="24" xfId="0" applyFont="1" applyBorder="1">
      <alignment horizontal="center" vertical="center" wrapText="1"/>
    </xf>
    <xf numFmtId="0" fontId="0" fillId="0" borderId="24" xfId="0" applyFont="1" applyBorder="1">
      <alignment horizontal="center" vertical="center" wrapText="1"/>
    </xf>
    <xf numFmtId="0" fontId="45" fillId="36" borderId="0" xfId="0" applyFont="1" applyFill="1">
      <alignment horizontal="center" vertical="center" wrapText="1"/>
    </xf>
    <xf numFmtId="49" fontId="45" fillId="36" borderId="0" xfId="0" applyFont="1" applyFill="1" applyNumberFormat="1">
      <alignment horizontal="center" vertical="center" wrapText="1"/>
    </xf>
    <xf numFmtId="0" fontId="23" fillId="0" borderId="0" xfId="0" applyFont="1">
      <alignment vertical="center" wrapText="1"/>
    </xf>
    <xf numFmtId="0" fontId="79" fillId="0" borderId="0" xfId="0" applyFont="1">
      <alignment vertical="center" wrapText="1"/>
    </xf>
    <xf numFmtId="0" fontId="86" fillId="36" borderId="0" xfId="0" applyFont="1" applyFill="1">
      <alignment horizontal="center" vertical="center" wrapText="1"/>
    </xf>
    <xf numFmtId="49" fontId="79" fillId="0" borderId="18" xfId="0" applyFont="1" applyBorder="1" applyNumberFormat="1">
      <alignment horizontal="left" vertical="center" wrapText="1"/>
    </xf>
    <xf numFmtId="49" fontId="79" fillId="0" borderId="13" xfId="0" applyFont="1" applyBorder="1" applyNumberFormat="1">
      <alignment horizontal="left" vertical="center" wrapText="1"/>
    </xf>
    <xf numFmtId="49" fontId="0" fillId="0" borderId="13" xfId="0" applyFont="1" applyBorder="1" applyNumberFormat="1">
      <alignment vertical="top" wrapText="1"/>
    </xf>
    <xf numFmtId="49" fontId="0" fillId="0" borderId="13" xfId="0" applyFont="1" applyBorder="1" applyNumberFormat="1">
      <alignment horizontal="center" vertical="center" wrapText="1"/>
    </xf>
    <xf numFmtId="49" fontId="0" fillId="33" borderId="13" xfId="0" applyFont="1" applyFill="1" applyBorder="1" applyNumberFormat="1">
      <alignment horizontal="left" vertical="center" wrapText="1"/>
    </xf>
    <xf numFmtId="0" fontId="23" fillId="42" borderId="15" xfId="0" applyFont="1" applyFill="1" applyBorder="1">
      <alignment horizontal="left" vertical="center" wrapText="1"/>
    </xf>
    <xf numFmtId="49" fontId="45" fillId="36" borderId="13" xfId="0" applyFont="1" applyFill="1" applyBorder="1" applyNumberFormat="1">
      <alignment horizontal="center" vertical="center" wrapText="1"/>
    </xf>
    <xf numFmtId="3" fontId="0" fillId="41" borderId="13" xfId="0" applyFont="1" applyFill="1" applyBorder="1" applyNumberFormat="1">
      <alignment horizontal="right" vertical="center" wrapText="1"/>
      <protection locked="0"/>
    </xf>
    <xf numFmtId="3" fontId="0" fillId="41" borderId="14" xfId="0" applyFont="1" applyFill="1" applyBorder="1" applyNumberFormat="1">
      <alignment horizontal="right" vertical="center" wrapText="1"/>
      <protection locked="0"/>
    </xf>
    <xf numFmtId="0" fontId="0" fillId="33" borderId="13" xfId="0" applyFont="1" applyFill="1" applyBorder="1">
      <alignment horizontal="right" vertical="center" wrapText="1"/>
      <protection locked="0"/>
    </xf>
    <xf numFmtId="3" fontId="0" fillId="0" borderId="14" xfId="0" applyFont="1" applyBorder="1" applyNumberFormat="1">
      <alignment horizontal="right" vertical="center" wrapText="1"/>
    </xf>
    <xf numFmtId="0" fontId="0" fillId="0" borderId="18" xfId="0" applyFont="1" applyBorder="1">
      <alignment horizontal="left" vertical="top" wrapText="1"/>
    </xf>
    <xf numFmtId="49" fontId="35" fillId="40" borderId="15" xfId="0" applyFont="1" applyFill="1" applyBorder="1" applyNumberFormat="1">
      <alignment horizontal="center" vertical="center"/>
    </xf>
    <xf numFmtId="0" fontId="49" fillId="40" borderId="16" xfId="0" applyFont="1" applyFill="1" applyBorder="1">
      <alignment vertical="center"/>
    </xf>
    <xf numFmtId="49" fontId="49" fillId="40" borderId="16" xfId="0" applyFont="1" applyFill="1" applyBorder="1" applyNumberFormat="1">
      <alignment vertical="center"/>
    </xf>
    <xf numFmtId="49" fontId="76" fillId="40" borderId="16" xfId="0" applyFont="1" applyFill="1" applyBorder="1" applyNumberFormat="1">
      <alignment vertical="center"/>
    </xf>
    <xf numFmtId="49" fontId="76" fillId="40" borderId="14" xfId="0" applyFont="1" applyFill="1" applyBorder="1" applyNumberFormat="1">
      <alignment vertical="center"/>
    </xf>
    <xf numFmtId="0" fontId="0" fillId="0" borderId="24" xfId="0" applyFont="1" applyBorder="1">
      <alignment horizontal="left" vertical="top" wrapText="1"/>
    </xf>
    <xf numFmtId="0" fontId="41" fillId="0" borderId="0" xfId="0" applyFont="1">
      <alignment vertical="center" wrapText="1"/>
    </xf>
    <xf numFmtId="0" fontId="23" fillId="0" borderId="0" xfId="0" applyFont="1">
      <alignment vertical="center" wrapText="1"/>
    </xf>
    <xf numFmtId="0" fontId="46" fillId="0" borderId="0" xfId="0" applyFont="1">
      <alignment horizontal="center" vertical="center" wrapText="1"/>
    </xf>
    <xf numFmtId="0" fontId="23" fillId="0" borderId="0" xfId="0" applyFont="1">
      <alignment vertical="center" wrapText="1"/>
    </xf>
    <xf numFmtId="0" fontId="51" fillId="0" borderId="0" xfId="0" applyFont="1">
      <alignment vertical="center" wrapText="1"/>
    </xf>
    <xf numFmtId="0" fontId="56" fillId="0" borderId="0" xfId="0" applyFont="1">
      <alignment vertical="center" wrapText="1"/>
    </xf>
    <xf numFmtId="0" fontId="23" fillId="0" borderId="0" xfId="0" applyFont="1">
      <alignment vertical="center" wrapText="1"/>
    </xf>
    <xf numFmtId="0" fontId="46" fillId="36" borderId="0" xfId="0" applyFont="1" applyFill="1">
      <alignment horizontal="center" vertical="center" wrapText="1"/>
    </xf>
    <xf numFmtId="49" fontId="0" fillId="0" borderId="38" xfId="0" applyFont="1" applyBorder="1" applyNumberFormat="1">
      <alignment horizontal="center" vertical="center" wrapText="1"/>
    </xf>
    <xf numFmtId="0" fontId="23" fillId="42" borderId="20" xfId="0" applyFont="1" applyFill="1" applyBorder="1">
      <alignment horizontal="left" vertical="center" wrapText="1"/>
    </xf>
    <xf numFmtId="0" fontId="46" fillId="36" borderId="13" xfId="0" applyFont="1" applyFill="1" applyBorder="1">
      <alignment horizontal="center" vertical="center" wrapText="1"/>
    </xf>
    <xf numFmtId="49" fontId="23" fillId="0" borderId="13" xfId="0" applyFont="1" applyBorder="1" applyNumberFormat="1">
      <alignment horizontal="center" vertical="center" wrapText="1"/>
    </xf>
    <xf numFmtId="49" fontId="23" fillId="41" borderId="13" xfId="0" applyFont="1" applyFill="1" applyBorder="1" applyNumberFormat="1">
      <alignment horizontal="left" vertical="center" wrapText="1"/>
      <protection locked="0"/>
    </xf>
    <xf numFmtId="3" fontId="23" fillId="41" borderId="13" xfId="0" applyFont="1" applyFill="1" applyBorder="1" applyNumberFormat="1">
      <alignment horizontal="right" vertical="center" wrapText="1"/>
      <protection locked="0"/>
    </xf>
    <xf numFmtId="0" fontId="56" fillId="0" borderId="0" xfId="0" applyFont="1">
      <alignment vertical="center" wrapText="1"/>
    </xf>
    <xf numFmtId="0" fontId="56" fillId="0" borderId="0" xfId="0" applyFont="1">
      <alignment vertical="center"/>
    </xf>
    <xf numFmtId="49" fontId="0" fillId="0" borderId="28" xfId="0" applyFont="1" applyBorder="1" applyNumberFormat="1">
      <alignment horizontal="center" vertical="center" wrapText="1"/>
    </xf>
    <xf numFmtId="0" fontId="23" fillId="42" borderId="29" xfId="0" applyFont="1" applyFill="1" applyBorder="1">
      <alignment horizontal="left" vertical="center" wrapText="1"/>
    </xf>
    <xf numFmtId="0" fontId="94" fillId="0" borderId="0" xfId="0" applyFont="1">
      <alignment vertical="center" wrapText="1"/>
    </xf>
    <xf numFmtId="0" fontId="56" fillId="0" borderId="0" xfId="0" applyFont="1">
      <alignment vertical="center" wrapText="1"/>
    </xf>
    <xf numFmtId="0" fontId="46" fillId="36" borderId="0" xfId="0" applyFont="1" applyFill="1">
      <alignment horizontal="center" vertical="center" wrapText="1"/>
    </xf>
    <xf numFmtId="0" fontId="70" fillId="0" borderId="0" xfId="0" applyFont="1">
      <alignment vertical="center" wrapText="1"/>
    </xf>
    <xf numFmtId="0" fontId="66" fillId="0" borderId="0" xfId="0" applyFont="1">
      <alignment vertical="center" wrapText="1"/>
    </xf>
    <xf numFmtId="0" fontId="64" fillId="0" borderId="0" xfId="0" applyFont="1">
      <alignment vertical="center" wrapText="1"/>
    </xf>
    <xf numFmtId="0" fontId="23" fillId="0" borderId="38" xfId="0" applyFont="1" applyBorder="1">
      <alignment horizontal="center" vertical="center" wrapText="1"/>
    </xf>
    <xf numFmtId="0" fontId="23" fillId="0" borderId="21" xfId="0" applyFont="1" applyBorder="1">
      <alignment horizontal="center" vertical="center" wrapText="1"/>
    </xf>
    <xf numFmtId="0" fontId="23" fillId="0" borderId="18" xfId="0" applyFont="1" applyBorder="1">
      <alignment horizontal="center" vertical="center" wrapText="1"/>
    </xf>
    <xf numFmtId="0" fontId="23" fillId="0" borderId="28" xfId="0" applyFont="1" applyBorder="1">
      <alignment horizontal="center" vertical="center" wrapText="1"/>
    </xf>
    <xf numFmtId="0" fontId="23" fillId="0" borderId="31" xfId="0" applyFont="1" applyBorder="1">
      <alignment horizontal="center" vertical="center" wrapText="1"/>
    </xf>
    <xf numFmtId="0" fontId="23" fillId="0" borderId="24" xfId="0" applyFont="1" applyBorder="1">
      <alignment horizontal="center" vertical="center" wrapText="1"/>
    </xf>
    <xf numFmtId="0" fontId="23" fillId="0" borderId="0" xfId="0" applyFont="1">
      <alignment vertical="center" wrapText="1"/>
    </xf>
    <xf numFmtId="0" fontId="46" fillId="36" borderId="13" xfId="0" applyFont="1" applyFill="1" applyBorder="1">
      <alignment horizontal="center" vertical="center" wrapText="1"/>
    </xf>
    <xf numFmtId="49" fontId="23" fillId="0" borderId="13" xfId="0" applyFont="1" applyBorder="1" applyNumberFormat="1">
      <alignment horizontal="center" vertical="center" wrapText="1"/>
    </xf>
    <xf numFmtId="0" fontId="23" fillId="0" borderId="18" xfId="0" applyFont="1" applyBorder="1">
      <alignment horizontal="left" vertical="top" wrapText="1"/>
    </xf>
    <xf numFmtId="0" fontId="23" fillId="0" borderId="37" xfId="0" applyFont="1" applyBorder="1">
      <alignment horizontal="left" vertical="top" wrapText="1"/>
    </xf>
    <xf numFmtId="0" fontId="23" fillId="0" borderId="24" xfId="0" applyFont="1" applyBorder="1">
      <alignment horizontal="left" vertical="top" wrapText="1"/>
    </xf>
    <xf numFmtId="0" fontId="41" fillId="0" borderId="0" xfId="0" applyFont="1">
      <alignment vertical="center" wrapText="1"/>
    </xf>
    <xf numFmtId="0" fontId="23" fillId="0" borderId="0" xfId="0" applyFont="1">
      <alignment vertical="center" wrapText="1"/>
    </xf>
    <xf numFmtId="0" fontId="56" fillId="0" borderId="0" xfId="0" applyFont="1">
      <alignment vertical="center" wrapText="1"/>
    </xf>
    <xf numFmtId="0" fontId="66" fillId="36" borderId="0" xfId="0" applyFont="1" applyFill="1">
      <alignment vertical="center" wrapText="1"/>
    </xf>
    <xf numFmtId="0" fontId="66" fillId="36" borderId="0" xfId="0" applyFont="1" applyFill="1">
      <alignment horizontal="right" vertical="center"/>
    </xf>
    <xf numFmtId="0" fontId="66" fillId="36" borderId="0" xfId="0" applyFont="1" applyFill="1">
      <alignment horizontal="right" vertical="center" wrapText="1"/>
    </xf>
    <xf numFmtId="0" fontId="22" fillId="0" borderId="0" xfId="0" applyFont="1">
      <alignment horizontal="center" vertical="center" wrapText="1"/>
    </xf>
    <xf numFmtId="0" fontId="51" fillId="0" borderId="0" xfId="0" applyFont="1">
      <alignment vertical="center" wrapText="1"/>
    </xf>
    <xf numFmtId="4" fontId="66" fillId="0" borderId="0" xfId="0" applyFont="1" applyNumberFormat="1">
      <alignment horizontal="right" vertical="center" wrapText="1"/>
    </xf>
    <xf numFmtId="0" fontId="0" fillId="36" borderId="13" xfId="0" applyFont="1" applyFill="1" applyBorder="1">
      <alignment horizontal="center" vertical="center" wrapText="1"/>
    </xf>
    <xf numFmtId="0" fontId="23" fillId="36" borderId="13" xfId="0" applyFont="1" applyFill="1" applyBorder="1">
      <alignment horizontal="center" vertical="center" wrapText="1"/>
    </xf>
    <xf numFmtId="0" fontId="23" fillId="36" borderId="13" xfId="0" applyFont="1" applyFill="1" applyBorder="1">
      <alignment horizontal="center" vertical="center" wrapText="1"/>
    </xf>
    <xf numFmtId="0" fontId="23" fillId="36" borderId="13" xfId="0" applyFont="1" applyFill="1" applyBorder="1">
      <alignment horizontal="center" vertical="center" wrapText="1"/>
    </xf>
    <xf numFmtId="0" fontId="23" fillId="0" borderId="13" xfId="0" applyFont="1" applyBorder="1">
      <alignment horizontal="center" vertical="center" wrapText="1"/>
    </xf>
    <xf numFmtId="0" fontId="0" fillId="0" borderId="13" xfId="0" applyFont="1" applyBorder="1">
      <alignment horizontal="center" vertical="center" wrapText="1"/>
    </xf>
    <xf numFmtId="49" fontId="45" fillId="36" borderId="16" xfId="0" applyFont="1" applyFill="1" applyBorder="1" applyNumberFormat="1">
      <alignment horizontal="center" vertical="center" wrapText="1"/>
    </xf>
    <xf numFmtId="49" fontId="45" fillId="36" borderId="16" xfId="0" applyFont="1" applyFill="1" applyBorder="1" applyNumberFormat="1">
      <alignment horizontal="center" vertical="center" wrapText="1"/>
    </xf>
    <xf numFmtId="0" fontId="23" fillId="0" borderId="0" xfId="0" applyFont="1">
      <alignment vertical="center" wrapText="1"/>
    </xf>
    <xf numFmtId="0" fontId="46" fillId="36" borderId="0" xfId="0" applyFont="1" applyFill="1">
      <alignment horizontal="center" vertical="center" wrapText="1"/>
    </xf>
    <xf numFmtId="0" fontId="23" fillId="0" borderId="13" xfId="0" applyFont="1" applyBorder="1">
      <alignment horizontal="center" vertical="center" wrapText="1"/>
    </xf>
    <xf numFmtId="0" fontId="23" fillId="0" borderId="13" xfId="0" applyFont="1" applyBorder="1">
      <alignment horizontal="center" vertical="center" wrapText="1"/>
    </xf>
    <xf numFmtId="49" fontId="23" fillId="0" borderId="13" xfId="0" applyFont="1" applyBorder="1" applyNumberFormat="1">
      <alignment horizontal="left" vertical="center" wrapText="1"/>
    </xf>
    <xf numFmtId="49" fontId="23" fillId="0" borderId="0" xfId="0" applyFont="1" applyNumberFormat="1">
      <alignment vertical="top"/>
    </xf>
    <xf numFmtId="0" fontId="46" fillId="36" borderId="25" xfId="0" applyFont="1" applyFill="1" applyBorder="1">
      <alignment vertical="top" wrapText="1"/>
    </xf>
    <xf numFmtId="14" fontId="23" fillId="40" borderId="16" xfId="0" applyFont="1" applyFill="1" applyBorder="1" applyNumberFormat="1">
      <alignment horizontal="center" vertical="center" wrapText="1"/>
    </xf>
    <xf numFmtId="49" fontId="23" fillId="40" borderId="16" xfId="0" applyFont="1" applyFill="1" applyBorder="1" applyNumberFormat="1">
      <alignment horizontal="center" vertical="center" wrapText="1"/>
    </xf>
    <xf numFmtId="14" fontId="87" fillId="40" borderId="16" xfId="0" applyFont="1" applyFill="1" applyBorder="1" applyNumberFormat="1">
      <alignment horizontal="center" vertical="center" wrapText="1"/>
    </xf>
    <xf numFmtId="49" fontId="29" fillId="40" borderId="14" xfId="0" applyFont="1" applyFill="1" applyBorder="1" applyNumberFormat="1">
      <alignment horizontal="left" vertical="center" wrapText="1"/>
    </xf>
    <xf numFmtId="0" fontId="0" fillId="0" borderId="37" xfId="0" applyFont="1" applyBorder="1">
      <alignment horizontal="left" vertical="top" wrapText="1"/>
    </xf>
    <xf numFmtId="0" fontId="56" fillId="0" borderId="0" xfId="0" applyFont="1">
      <alignment horizontal="left" vertical="center" wrapText="1"/>
    </xf>
    <xf numFmtId="49" fontId="56" fillId="0" borderId="0" xfId="0" applyFont="1" applyNumberFormat="1">
      <alignment horizontal="left" vertical="center" wrapText="1"/>
    </xf>
    <xf numFmtId="0" fontId="46" fillId="36" borderId="0" xfId="0" applyFont="1" applyFill="1">
      <alignment vertical="top" wrapText="1"/>
    </xf>
    <xf numFmtId="0" fontId="56" fillId="36" borderId="24" xfId="0" applyFont="1" applyFill="1" applyBorder="1">
      <alignment horizontal="center" vertical="center" wrapText="1"/>
    </xf>
    <xf numFmtId="14" fontId="23" fillId="42" borderId="24" xfId="0" applyFont="1" applyFill="1" applyBorder="1" applyNumberFormat="1">
      <alignment horizontal="left" vertical="center" wrapText="1"/>
    </xf>
    <xf numFmtId="14" fontId="23" fillId="42" borderId="13" xfId="0" applyFont="1" applyFill="1" applyBorder="1" applyNumberFormat="1">
      <alignment horizontal="center" vertical="center" wrapText="1"/>
    </xf>
    <xf numFmtId="49" fontId="29" fillId="41" borderId="13" xfId="0" applyFont="1" applyFill="1" applyBorder="1" applyNumberFormat="1">
      <alignment horizontal="left" vertical="center" wrapText="1"/>
      <protection locked="0"/>
    </xf>
    <xf numFmtId="49" fontId="35" fillId="40" borderId="16" xfId="0" applyFont="1" applyFill="1" applyBorder="1" applyNumberFormat="1">
      <alignment horizontal="center" vertical="center"/>
    </xf>
    <xf numFmtId="49" fontId="76" fillId="40" borderId="16" xfId="0" applyFont="1" applyFill="1" applyBorder="1" applyNumberFormat="1">
      <alignment horizontal="left" vertical="center" indent="1"/>
    </xf>
    <xf numFmtId="49" fontId="76" fillId="40" borderId="14" xfId="0" applyFont="1" applyFill="1" applyBorder="1" applyNumberFormat="1">
      <alignment horizontal="left" vertical="center" indent="1"/>
    </xf>
    <xf numFmtId="0" fontId="66" fillId="0" borderId="0" xfId="0" applyFont="1">
      <alignment vertical="center" wrapText="1"/>
    </xf>
    <xf numFmtId="0" fontId="85" fillId="0" borderId="0" xfId="0" applyFont="1">
      <alignment horizontal="center" vertical="center" wrapText="1"/>
    </xf>
    <xf numFmtId="0" fontId="54" fillId="0" borderId="0" xfId="0" applyFont="1">
      <alignment vertical="top" wrapText="1"/>
    </xf>
    <xf numFmtId="0" fontId="23" fillId="0" borderId="0" xfId="0" applyFont="1">
      <alignment horizontal="right" vertical="top" wrapText="1"/>
    </xf>
    <xf numFmtId="0" fontId="54" fillId="0" borderId="0" xfId="0" applyFont="1">
      <alignment vertical="top"/>
    </xf>
    <xf numFmtId="49" fontId="101" fillId="0" borderId="13" xfId="0" applyFont="1" applyBorder="1" applyNumberFormat="1">
      <alignment vertical="top" wrapText="1"/>
    </xf>
    <xf numFmtId="49" fontId="97" fillId="0" borderId="13" xfId="0" applyFont="1" applyBorder="1" applyNumberFormat="1">
      <alignment horizontal="center" vertical="top" wrapText="1"/>
    </xf>
    <xf numFmtId="49" fontId="97" fillId="34" borderId="13" xfId="0" applyFont="1" applyFill="1" applyBorder="1" applyNumberFormat="1">
      <alignment horizontal="center" vertical="top"/>
    </xf>
    <xf numFmtId="49" fontId="97" fillId="0" borderId="13" xfId="0" applyFont="1" applyBorder="1" applyNumberFormat="1">
      <alignment vertical="top" wrapText="1"/>
    </xf>
    <xf numFmtId="0" fontId="97" fillId="0" borderId="13" xfId="0" applyFont="1" applyBorder="1">
      <alignment vertical="top" wrapText="1"/>
    </xf>
    <xf numFmtId="49" fontId="97" fillId="0" borderId="13" xfId="0" applyFont="1" applyBorder="1" applyNumberFormat="1">
      <alignment vertical="top"/>
    </xf>
    <xf numFmtId="49" fontId="101" fillId="0" borderId="13" xfId="0" applyFont="1" applyBorder="1" applyNumberFormat="1">
      <alignment vertical="top"/>
    </xf>
    <xf numFmtId="0" fontId="101" fillId="0" borderId="13" xfId="0" applyFont="1" applyBorder="1">
      <alignment vertical="top" wrapText="1"/>
    </xf>
    <xf numFmtId="49" fontId="101" fillId="0" borderId="0" xfId="0" applyFont="1" applyNumberFormat="1">
      <alignment vertical="top" wrapText="1"/>
    </xf>
    <xf numFmtId="49" fontId="101" fillId="0" borderId="0" xfId="0" applyFont="1" applyNumberFormat="1">
      <alignment vertical="top"/>
    </xf>
    <xf numFmtId="49" fontId="101" fillId="0" borderId="0" xfId="0" applyFont="1" applyNumberFormat="1">
      <alignment horizontal="center" vertical="top" wrapText="1"/>
    </xf>
    <xf numFmtId="49" fontId="101" fillId="0" borderId="13" xfId="0" applyFont="1" applyBorder="1" applyNumberFormat="1">
      <alignment horizontal="center" vertical="top" wrapText="1"/>
    </xf>
    <xf numFmtId="49" fontId="101" fillId="0" borderId="13" xfId="0" applyFont="1" applyBorder="1" applyNumberFormat="1">
      <alignment horizontal="center" vertical="top" wrapText="1"/>
    </xf>
    <xf numFmtId="49" fontId="101" fillId="34" borderId="13" xfId="0" applyFont="1" applyFill="1" applyBorder="1" applyNumberFormat="1">
      <alignment horizontal="center" vertical="top" wrapText="1"/>
    </xf>
    <xf numFmtId="49" fontId="97" fillId="34" borderId="13" xfId="0" applyFont="1" applyFill="1" applyBorder="1" applyNumberFormat="1">
      <alignment horizontal="center" vertical="top" wrapText="1"/>
    </xf>
    <xf numFmtId="49" fontId="101" fillId="0" borderId="13" xfId="0" applyFont="1" applyBorder="1" applyNumberFormat="1">
      <alignment horizontal="left" vertical="top" wrapText="1"/>
    </xf>
    <xf numFmtId="0" fontId="97" fillId="34" borderId="13" xfId="0" applyFont="1" applyFill="1" applyBorder="1">
      <alignment horizontal="center" vertical="top" wrapText="1"/>
    </xf>
    <xf numFmtId="0" fontId="101" fillId="34" borderId="13" xfId="0" applyFont="1" applyFill="1" applyBorder="1">
      <alignment horizontal="right" vertical="center" wrapText="1"/>
    </xf>
    <xf numFmtId="49" fontId="101" fillId="0" borderId="15" xfId="0" applyFont="1" applyBorder="1" applyNumberFormat="1">
      <alignment horizontal="center" vertical="top" wrapText="1"/>
    </xf>
    <xf numFmtId="49" fontId="101" fillId="0" borderId="16" xfId="0" applyFont="1" applyBorder="1" applyNumberFormat="1">
      <alignment horizontal="center" vertical="top" wrapText="1"/>
    </xf>
    <xf numFmtId="49" fontId="101" fillId="0" borderId="14" xfId="0" applyFont="1" applyBorder="1" applyNumberFormat="1">
      <alignment horizontal="center" vertical="top" wrapText="1"/>
    </xf>
    <xf numFmtId="0" fontId="101" fillId="0" borderId="13" xfId="0" applyFont="1" applyBorder="1">
      <alignment horizontal="left" vertical="top" wrapText="1"/>
    </xf>
    <xf numFmtId="49" fontId="101" fillId="34" borderId="13" xfId="0" applyFont="1" applyFill="1" applyBorder="1" applyNumberFormat="1">
      <alignment horizontal="left" vertical="top" wrapText="1"/>
    </xf>
    <xf numFmtId="0" fontId="101" fillId="34" borderId="13" xfId="0" applyFont="1" applyFill="1" applyBorder="1">
      <alignment horizontal="center" vertical="center" wrapText="1"/>
    </xf>
    <xf numFmtId="0" fontId="101" fillId="34" borderId="13" xfId="0" applyFont="1" applyFill="1" applyBorder="1">
      <alignment horizontal="center" vertical="center" wrapText="1"/>
    </xf>
    <xf numFmtId="49" fontId="101" fillId="0" borderId="18" xfId="0" applyFont="1" applyBorder="1" applyNumberFormat="1">
      <alignment horizontal="center" vertical="top" wrapText="1"/>
    </xf>
    <xf numFmtId="49" fontId="101" fillId="0" borderId="37" xfId="0" applyFont="1" applyBorder="1" applyNumberFormat="1">
      <alignment horizontal="center" vertical="top" wrapText="1"/>
    </xf>
    <xf numFmtId="49" fontId="101" fillId="0" borderId="18" xfId="0" applyFont="1" applyBorder="1" applyNumberFormat="1">
      <alignment horizontal="center" vertical="top" wrapText="1"/>
    </xf>
    <xf numFmtId="0" fontId="101" fillId="0" borderId="18" xfId="0" applyFont="1" applyBorder="1">
      <alignment horizontal="left" vertical="top" wrapText="1"/>
    </xf>
    <xf numFmtId="49" fontId="101" fillId="0" borderId="38" xfId="0" applyFont="1" applyBorder="1" applyNumberFormat="1">
      <alignment horizontal="center" vertical="top" wrapText="1"/>
    </xf>
    <xf numFmtId="49" fontId="101" fillId="0" borderId="38" xfId="0" applyFont="1" applyBorder="1" applyNumberFormat="1">
      <alignment horizontal="center" vertical="top" wrapText="1"/>
    </xf>
    <xf numFmtId="0" fontId="101" fillId="0" borderId="14" xfId="0" applyFont="1" applyBorder="1">
      <alignment horizontal="left" vertical="top" wrapText="1"/>
    </xf>
    <xf numFmtId="49" fontId="101" fillId="0" borderId="24" xfId="0" applyFont="1" applyBorder="1" applyNumberFormat="1">
      <alignment horizontal="center" vertical="top" wrapText="1"/>
    </xf>
    <xf numFmtId="49" fontId="101" fillId="0" borderId="28" xfId="0" applyFont="1" applyBorder="1" applyNumberFormat="1">
      <alignment horizontal="center" vertical="top" wrapText="1"/>
    </xf>
    <xf numFmtId="49" fontId="101" fillId="0" borderId="23" xfId="0" applyFont="1" applyBorder="1" applyNumberFormat="1">
      <alignment horizontal="center" vertical="top" wrapText="1"/>
    </xf>
    <xf numFmtId="0" fontId="101" fillId="0" borderId="18" xfId="0" applyFont="1" applyBorder="1">
      <alignment vertical="top" wrapText="1"/>
    </xf>
    <xf numFmtId="49" fontId="97" fillId="0" borderId="13" xfId="0" applyFont="1" applyBorder="1" applyNumberFormat="1">
      <alignment horizontal="left" vertical="top" wrapText="1"/>
    </xf>
    <xf numFmtId="0" fontId="97" fillId="0" borderId="15" xfId="0" applyFont="1" applyBorder="1">
      <alignment horizontal="center" vertical="center" wrapText="1"/>
    </xf>
    <xf numFmtId="0" fontId="97" fillId="0" borderId="15" xfId="0" applyFont="1" applyBorder="1">
      <alignment horizontal="center" vertical="center"/>
    </xf>
    <xf numFmtId="49" fontId="97" fillId="0" borderId="13" xfId="0" applyFont="1" applyBorder="1" applyNumberFormat="1">
      <alignment horizontal="center" vertical="center" wrapText="1"/>
    </xf>
    <xf numFmtId="0" fontId="97" fillId="0" borderId="13" xfId="0" applyFont="1" applyBorder="1">
      <alignment vertical="center" wrapText="1"/>
    </xf>
    <xf numFmtId="49" fontId="101" fillId="0" borderId="15" xfId="0" applyFont="1" applyBorder="1" applyNumberFormat="1">
      <alignment horizontal="left" vertical="top" wrapText="1"/>
    </xf>
    <xf numFmtId="0" fontId="97" fillId="0" borderId="13" xfId="0" applyFont="1" applyBorder="1">
      <alignment horizontal="center" vertical="center" wrapText="1"/>
    </xf>
    <xf numFmtId="0" fontId="97" fillId="0" borderId="18" xfId="0" applyFont="1" applyBorder="1">
      <alignment vertical="center" wrapText="1"/>
    </xf>
    <xf numFmtId="0" fontId="97" fillId="0" borderId="24" xfId="0" applyFont="1" applyBorder="1">
      <alignment vertical="center" wrapText="1"/>
    </xf>
    <xf numFmtId="49" fontId="101" fillId="0" borderId="28" xfId="0" applyFont="1" applyBorder="1" applyNumberFormat="1">
      <alignment horizontal="left" vertical="top" wrapText="1"/>
    </xf>
    <xf numFmtId="49" fontId="101" fillId="0" borderId="14" xfId="0" applyFont="1" applyBorder="1" applyNumberFormat="1">
      <alignment horizontal="left" vertical="top" wrapText="1"/>
    </xf>
    <xf numFmtId="49" fontId="97" fillId="0" borderId="18" xfId="0" applyFont="1" applyBorder="1" applyNumberFormat="1">
      <alignment horizontal="center" vertical="center" wrapText="1"/>
    </xf>
    <xf numFmtId="49" fontId="97" fillId="0" borderId="24" xfId="0" applyFont="1" applyBorder="1" applyNumberFormat="1">
      <alignment horizontal="center" vertical="center" wrapText="1"/>
    </xf>
    <xf numFmtId="0" fontId="97" fillId="0" borderId="18" xfId="0" applyFont="1" applyBorder="1">
      <alignment horizontal="center" vertical="center" wrapText="1"/>
    </xf>
    <xf numFmtId="49" fontId="101" fillId="0" borderId="37" xfId="0" applyFont="1" applyBorder="1" applyNumberFormat="1">
      <alignment horizontal="left" vertical="top" wrapText="1"/>
    </xf>
    <xf numFmtId="0" fontId="101" fillId="0" borderId="37" xfId="0" applyFont="1" applyBorder="1">
      <alignment horizontal="left" vertical="top" wrapText="1"/>
    </xf>
    <xf numFmtId="49" fontId="101" fillId="0" borderId="0" xfId="0" applyFont="1" applyNumberFormat="1">
      <alignment horizontal="left" vertical="top" wrapText="1"/>
    </xf>
    <xf numFmtId="49" fontId="101" fillId="34" borderId="0" xfId="0" applyFont="1" applyFill="1" applyNumberFormat="1">
      <alignment horizontal="left" vertical="top" wrapText="1"/>
    </xf>
    <xf numFmtId="0" fontId="101" fillId="0" borderId="0" xfId="0" applyFont="1">
      <alignment vertical="top" wrapText="1"/>
    </xf>
    <xf numFmtId="49" fontId="23" fillId="0" borderId="0" xfId="0" applyFont="1" applyNumberFormat="1">
      <alignment horizontal="center" vertical="top"/>
    </xf>
    <xf numFmtId="49" fontId="41" fillId="48" borderId="0" xfId="0" applyFont="1" applyFill="1" applyNumberFormat="1">
      <alignment horizontal="center" vertical="center"/>
    </xf>
    <xf numFmtId="49" fontId="23" fillId="0" borderId="13" xfId="0" applyFont="1" applyBorder="1" applyNumberFormat="1">
      <alignment horizontal="center" vertical="top"/>
    </xf>
    <xf numFmtId="49" fontId="55" fillId="48" borderId="0" xfId="0" applyFont="1" applyFill="1" applyNumberFormat="1">
      <alignment horizontal="center" vertical="center" wrapText="1"/>
    </xf>
    <xf numFmtId="0" fontId="0" fillId="50" borderId="13" xfId="0" applyFont="1" applyFill="1" applyBorder="1">
      <alignment horizontal="center" vertical="center"/>
    </xf>
    <xf numFmtId="49" fontId="0" fillId="0" borderId="0" xfId="0" applyFont="1" applyNumberFormat="1">
      <alignment vertical="center"/>
    </xf>
    <xf numFmtId="49" fontId="55" fillId="48" borderId="13" xfId="0" applyFont="1" applyFill="1" applyBorder="1" applyNumberFormat="1">
      <alignment horizontal="center" vertical="center"/>
    </xf>
    <xf numFmtId="49" fontId="55" fillId="51" borderId="13" xfId="0" applyFont="1" applyFill="1" applyBorder="1" applyNumberFormat="1">
      <alignment horizontal="center" vertical="center"/>
    </xf>
    <xf numFmtId="49" fontId="0" fillId="52" borderId="13" xfId="0" applyFont="1" applyFill="1" applyBorder="1" applyNumberFormat="1">
      <alignment horizontal="center" vertical="center"/>
    </xf>
    <xf numFmtId="49" fontId="23" fillId="0" borderId="0" xfId="0" applyFont="1" applyNumberFormat="1">
      <alignment horizontal="center" vertical="top"/>
    </xf>
    <xf numFmtId="49" fontId="23" fillId="0" borderId="0" xfId="0" applyFont="1" applyNumberFormat="1">
      <alignment vertical="top"/>
    </xf>
    <xf numFmtId="0" fontId="23" fillId="0" borderId="13" xfId="0" applyFont="1" applyBorder="1">
      <alignment vertical="center"/>
    </xf>
    <xf numFmtId="0" fontId="0" fillId="0" borderId="13" xfId="0" applyFont="1" applyBorder="1">
      <alignment vertical="center"/>
    </xf>
    <xf numFmtId="0" fontId="0" fillId="0" borderId="13" xfId="0" applyFont="1" applyBorder="1">
      <alignment vertical="center"/>
    </xf>
    <xf numFmtId="0" fontId="0" fillId="0" borderId="15" xfId="0" applyFont="1" applyBorder="1">
      <alignment vertical="center"/>
    </xf>
    <xf numFmtId="0" fontId="0" fillId="0" borderId="15" xfId="0" applyFont="1" applyBorder="1">
      <alignment vertical="center"/>
    </xf>
    <xf numFmtId="0" fontId="23" fillId="0" borderId="15" xfId="0" applyFont="1" applyBorder="1">
      <alignment horizontal="left" vertical="center"/>
    </xf>
    <xf numFmtId="49" fontId="23" fillId="0" borderId="45" xfId="0" applyFont="1" applyBorder="1" applyNumberFormat="1">
      <alignment vertical="center"/>
    </xf>
    <xf numFmtId="49" fontId="23" fillId="0" borderId="46" xfId="0" applyFont="1" applyBorder="1" applyNumberFormat="1">
      <alignment vertical="top"/>
    </xf>
    <xf numFmtId="49" fontId="23" fillId="0" borderId="17" xfId="0" applyFont="1" applyBorder="1" applyNumberFormat="1">
      <alignment vertical="top"/>
    </xf>
    <xf numFmtId="0" fontId="0" fillId="0" borderId="14" xfId="0" applyFont="1" applyBorder="1">
      <alignment vertical="center"/>
    </xf>
    <xf numFmtId="0" fontId="0" fillId="0" borderId="13" xfId="0" applyFont="1" applyBorder="1">
      <alignment horizontal="right" vertical="top"/>
    </xf>
    <xf numFmtId="0" fontId="0" fillId="0" borderId="13" xfId="0" applyFont="1" applyBorder="1">
      <alignment vertical="top"/>
    </xf>
    <xf numFmtId="0" fontId="23" fillId="0" borderId="14" xfId="0" applyFont="1" applyBorder="1">
      <alignment vertical="center"/>
    </xf>
    <xf numFmtId="49" fontId="23" fillId="0" borderId="13" xfId="0" applyFont="1" applyBorder="1" applyNumberFormat="1">
      <alignment vertical="center"/>
    </xf>
    <xf numFmtId="0" fontId="0" fillId="0" borderId="0" xfId="0" applyFont="1">
      <alignment vertical="top"/>
    </xf>
    <xf numFmtId="0" fontId="23" fillId="0" borderId="13" xfId="0" applyFont="1" applyBorder="1">
      <alignment vertical="top"/>
    </xf>
    <xf numFmtId="0" fontId="0" fillId="49" borderId="0" xfId="0" applyFont="1" applyFill="1">
      <alignment horizontal="right" vertical="center"/>
    </xf>
    <xf numFmtId="49" fontId="41" fillId="0" borderId="0" xfId="0" applyFont="1" applyNumberFormat="1">
      <alignment horizontal="center" vertical="center"/>
    </xf>
    <xf numFmtId="49" fontId="0" fillId="0" borderId="0" xfId="0" applyFont="1" applyNumberFormat="1">
      <alignment vertical="top"/>
    </xf>
    <xf numFmtId="49" fontId="41" fillId="48" borderId="0" xfId="0" applyFont="1" applyFill="1" applyNumberFormat="1">
      <alignment horizontal="center" vertical="center"/>
    </xf>
    <xf numFmtId="0" fontId="23" fillId="0" borderId="0" xfId="0" applyFont="1">
      <alignment vertical="center"/>
    </xf>
    <xf numFmtId="0" fontId="0" fillId="49" borderId="0" xfId="0" applyFont="1" applyFill="1">
      <alignment horizontal="left" vertical="center"/>
    </xf>
    <xf numFmtId="0" fontId="0" fillId="0" borderId="0" xfId="0" applyFont="1">
      <alignment horizontal="right" vertical="top"/>
    </xf>
    <xf numFmtId="0" fontId="0" fillId="0" borderId="0" xfId="0" applyFont="1">
      <alignment vertical="top"/>
    </xf>
    <xf numFmtId="0" fontId="0" fillId="0" borderId="0" xfId="0" applyFont="1">
      <alignment vertical="top"/>
    </xf>
    <xf numFmtId="0" fontId="0" fillId="0" borderId="0" xfId="0" applyFont="1">
      <alignment horizontal="right" vertical="top"/>
    </xf>
    <xf numFmtId="0" fontId="0" fillId="0" borderId="0" xfId="0" applyFont="1">
      <alignment vertical="top"/>
    </xf>
    <xf numFmtId="49" fontId="23" fillId="0" borderId="15" xfId="0" applyFont="1" applyBorder="1" applyNumberFormat="1">
      <alignment vertical="top"/>
    </xf>
    <xf numFmtId="0" fontId="0" fillId="49" borderId="0" xfId="0" applyFont="1" applyFill="1">
      <alignment horizontal="right" vertical="center"/>
    </xf>
    <xf numFmtId="0" fontId="0" fillId="0" borderId="0" xfId="0" applyFont="1">
      <alignment horizontal="left" vertical="center"/>
    </xf>
    <xf numFmtId="0" fontId="0" fillId="49" borderId="0" xfId="0" applyFont="1" applyFill="1">
      <alignment horizontal="right" vertical="center"/>
    </xf>
    <xf numFmtId="0" fontId="0" fillId="49" borderId="0" xfId="0" applyFont="1" applyFill="1">
      <alignment horizontal="left" vertical="center"/>
    </xf>
    <xf numFmtId="0" fontId="60" fillId="49" borderId="0" xfId="0" applyFont="1" applyFill="1">
      <alignment horizontal="left" vertical="center"/>
    </xf>
    <xf numFmtId="0" fontId="0" fillId="0" borderId="0" xfId="0" applyFont="1">
      <alignment vertical="center"/>
    </xf>
    <xf numFmtId="0" fontId="23" fillId="0" borderId="0" xfId="0" applyFont="1">
      <alignment vertical="top"/>
    </xf>
    <xf numFmtId="0" fontId="60" fillId="0" borderId="0" xfId="0" applyFont="1">
      <alignment horizontal="left" vertical="center"/>
    </xf>
    <xf numFmtId="49" fontId="0" fillId="0" borderId="15" xfId="0" applyFont="1" applyBorder="1" applyNumberFormat="1">
      <alignment vertical="top"/>
    </xf>
    <xf numFmtId="49" fontId="23" fillId="0" borderId="13" xfId="0" applyFont="1" applyBorder="1" applyNumberFormat="1">
      <alignment horizontal="right" vertical="top"/>
    </xf>
    <xf numFmtId="0" fontId="0" fillId="0" borderId="15" xfId="0" applyFont="1" applyBorder="1">
      <alignment horizontal="left" vertical="center"/>
    </xf>
    <xf numFmtId="0" fontId="60" fillId="49" borderId="0" xfId="0" applyFont="1" applyFill="1">
      <alignment horizontal="left" vertical="center"/>
    </xf>
    <xf numFmtId="49" fontId="23" fillId="0" borderId="18" xfId="0" applyFont="1" applyBorder="1" applyNumberFormat="1">
      <alignment horizontal="right" vertical="top"/>
    </xf>
    <xf numFmtId="0" fontId="0" fillId="0" borderId="18" xfId="0" applyFont="1" applyBorder="1">
      <alignment vertical="top"/>
    </xf>
    <xf numFmtId="0" fontId="23" fillId="0" borderId="18" xfId="0" applyFont="1" applyBorder="1">
      <alignment vertical="center"/>
    </xf>
    <xf numFmtId="49" fontId="23" fillId="0" borderId="32" xfId="0" applyFont="1" applyBorder="1" applyNumberFormat="1">
      <alignment horizontal="center" vertical="center"/>
    </xf>
    <xf numFmtId="49" fontId="23" fillId="0" borderId="13" xfId="0" applyFont="1" applyBorder="1" applyNumberFormat="1">
      <alignment horizontal="right" vertical="center"/>
    </xf>
    <xf numFmtId="49" fontId="23" fillId="0" borderId="13" xfId="0" applyFont="1" applyBorder="1" applyNumberFormat="1">
      <alignment vertical="top"/>
    </xf>
    <xf numFmtId="49" fontId="0" fillId="0" borderId="0" xfId="0" applyFont="1" applyNumberFormat="1">
      <alignment vertical="center"/>
    </xf>
    <xf numFmtId="0" fontId="23" fillId="49" borderId="0" xfId="0" applyFont="1" applyFill="1">
      <alignment horizontal="left" vertical="center"/>
    </xf>
    <xf numFmtId="0" fontId="0" fillId="49" borderId="12" xfId="0" applyFont="1" applyFill="1" applyBorder="1">
      <alignment horizontal="center"/>
    </xf>
    <xf numFmtId="49" fontId="110" fillId="0" borderId="17" xfId="0" applyFont="1" applyBorder="1" applyNumberFormat="1">
      <alignment vertical="top"/>
    </xf>
    <xf numFmtId="49" fontId="0" fillId="0" borderId="0" xfId="0" applyFont="1" applyNumberFormat="1">
      <alignment vertical="center"/>
    </xf>
    <xf numFmtId="0" fontId="0" fillId="0" borderId="12" xfId="0" applyFont="1" applyBorder="1">
      <alignment horizontal="center"/>
    </xf>
    <xf numFmtId="49" fontId="23" fillId="49" borderId="0" xfId="0" applyFont="1" applyFill="1" applyNumberFormat="1">
      <alignment horizontal="center" vertical="center"/>
    </xf>
    <xf numFmtId="49" fontId="23" fillId="0" borderId="0" xfId="0" applyFont="1" applyNumberFormat="1">
      <alignment vertical="top"/>
    </xf>
    <xf numFmtId="49" fontId="0" fillId="33" borderId="32" xfId="0" applyFont="1" applyFill="1" applyBorder="1" applyNumberFormat="1">
      <alignment horizontal="left" vertical="center"/>
      <protection locked="0"/>
    </xf>
    <xf numFmtId="49" fontId="0" fillId="0" borderId="13" xfId="0" applyFont="1" applyBorder="1" applyNumberFormat="1">
      <alignment horizontal="center" vertical="center"/>
    </xf>
    <xf numFmtId="49" fontId="0" fillId="0" borderId="32" xfId="0" applyFont="1" applyBorder="1" applyNumberFormat="1">
      <alignment horizontal="right" vertical="center"/>
    </xf>
    <xf numFmtId="0" fontId="0" fillId="38" borderId="32" xfId="0" applyFont="1" applyFill="1" applyBorder="1">
      <alignment horizontal="center" vertical="center"/>
    </xf>
    <xf numFmtId="49" fontId="0" fillId="0" borderId="32" xfId="0" applyFont="1" applyBorder="1" applyNumberFormat="1">
      <alignment horizontal="center" vertical="center"/>
    </xf>
    <xf numFmtId="49" fontId="0" fillId="0" borderId="0" xfId="0" applyFont="1" applyNumberFormat="1">
      <alignment horizontal="left" vertical="center"/>
    </xf>
    <xf numFmtId="0" fontId="0" fillId="0" borderId="0" xfId="0" applyFont="1">
      <alignment horizontal="center" vertical="center"/>
    </xf>
    <xf numFmtId="0" fontId="108" fillId="0" borderId="47" xfId="0" applyFont="1" applyBorder="1">
      <alignment horizontal="center" vertical="center"/>
    </xf>
    <xf numFmtId="0" fontId="0" fillId="0" borderId="47" xfId="0" applyFont="1" applyBorder="1">
      <alignment horizontal="center" vertical="center"/>
    </xf>
    <xf numFmtId="49" fontId="41" fillId="48" borderId="13" xfId="0" applyFont="1" applyFill="1" applyBorder="1" applyNumberFormat="1">
      <alignment horizontal="right" vertical="center"/>
    </xf>
    <xf numFmtId="49" fontId="23" fillId="33" borderId="38" xfId="0" applyFont="1" applyFill="1" applyBorder="1" applyNumberFormat="1">
      <alignment vertical="top"/>
      <protection locked="0"/>
    </xf>
    <xf numFmtId="0" fontId="23" fillId="0" borderId="13" xfId="0" applyFont="1" applyBorder="1">
      <alignment vertical="top"/>
    </xf>
    <xf numFmtId="0" fontId="0" fillId="34" borderId="13" xfId="0" applyFont="1" applyFill="1" applyBorder="1">
      <alignment horizontal="right" vertical="center"/>
    </xf>
    <xf numFmtId="49" fontId="23" fillId="34" borderId="24" xfId="0" applyFont="1" applyFill="1" applyBorder="1" applyNumberFormat="1">
      <alignment vertical="top"/>
    </xf>
    <xf numFmtId="49" fontId="23" fillId="34" borderId="13" xfId="0" applyFont="1" applyFill="1" applyBorder="1" applyNumberFormat="1">
      <alignment vertical="top"/>
    </xf>
    <xf numFmtId="49" fontId="23" fillId="0" borderId="15" xfId="0" applyFont="1" applyBorder="1" applyNumberFormat="1">
      <alignment horizontal="center" vertical="top"/>
    </xf>
    <xf numFmtId="49" fontId="23" fillId="0" borderId="14" xfId="0" applyFont="1" applyBorder="1" applyNumberFormat="1">
      <alignment horizontal="center" vertical="top"/>
    </xf>
    <xf numFmtId="0" fontId="23" fillId="38" borderId="28" xfId="0" applyFont="1" applyFill="1" applyBorder="1">
      <alignment horizontal="center" vertical="top"/>
    </xf>
    <xf numFmtId="0" fontId="23" fillId="38" borderId="28" xfId="0" applyFont="1" applyFill="1" applyBorder="1">
      <alignment horizontal="left" vertical="top"/>
    </xf>
    <xf numFmtId="0" fontId="0" fillId="0" borderId="33" xfId="0" applyFont="1" applyBorder="1">
      <alignment horizontal="center" vertical="center"/>
    </xf>
    <xf numFmtId="0" fontId="0" fillId="0" borderId="35" xfId="0" applyFont="1" applyBorder="1">
      <alignment horizontal="center" vertical="center"/>
    </xf>
    <xf numFmtId="0" fontId="23" fillId="0" borderId="13" xfId="0" applyFont="1" applyBorder="1">
      <alignment horizontal="left" vertical="top"/>
    </xf>
    <xf numFmtId="49" fontId="23" fillId="0" borderId="0" xfId="0" applyFont="1" applyNumberFormat="1">
      <alignment horizontal="left" vertical="top"/>
    </xf>
    <xf numFmtId="0" fontId="0" fillId="0" borderId="32" xfId="0" applyFont="1" applyBorder="1">
      <alignment horizontal="center" vertical="center"/>
    </xf>
    <xf numFmtId="0" fontId="0" fillId="0" borderId="34" xfId="0" applyFont="1" applyBorder="1">
      <alignment horizontal="center" vertical="center"/>
    </xf>
    <xf numFmtId="49" fontId="41" fillId="48" borderId="15" xfId="0" applyFont="1" applyFill="1" applyBorder="1" applyNumberFormat="1">
      <alignment horizontal="right" vertical="center"/>
    </xf>
    <xf numFmtId="49" fontId="23" fillId="0" borderId="13" xfId="0" applyFont="1" applyBorder="1" applyNumberFormat="1">
      <alignment vertical="top"/>
    </xf>
    <xf numFmtId="49" fontId="0" fillId="0" borderId="0" xfId="0" applyFont="1" applyNumberFormat="1">
      <alignment vertical="center"/>
    </xf>
    <xf numFmtId="49" fontId="0" fillId="0" borderId="0" xfId="0" applyFont="1" applyNumberFormat="1">
      <alignment vertical="top"/>
    </xf>
    <xf numFmtId="49" fontId="23" fillId="0" borderId="0" xfId="0" applyFont="1" applyNumberFormat="1">
      <alignment vertical="center"/>
    </xf>
    <xf numFmtId="49" fontId="0" fillId="0" borderId="0" xfId="0" applyFont="1" applyNumberFormat="1">
      <alignment vertical="top"/>
    </xf>
    <xf numFmtId="49" fontId="23" fillId="0" borderId="0" xfId="0" applyFont="1" applyNumberFormat="1">
      <alignment vertical="top"/>
    </xf>
    <xf numFmtId="49" fontId="23" fillId="0" borderId="0" xfId="0" applyFont="1" applyNumberFormat="1">
      <alignment vertical="top"/>
    </xf>
    <xf numFmtId="49" fontId="0" fillId="0" borderId="0" xfId="0" applyFont="1" applyNumberFormat="1">
      <alignment vertical="center" wrapText="1"/>
    </xf>
    <xf numFmtId="49" fontId="0" fillId="0" borderId="0" xfId="0" applyFont="1" applyNumberFormat="1">
      <alignment vertical="center"/>
    </xf>
    <xf numFmtId="49" fontId="23" fillId="0" borderId="0" xfId="0" applyFont="1" applyNumberFormat="1">
      <alignment vertical="top"/>
    </xf>
    <xf numFmtId="49" fontId="0" fillId="0" borderId="0" xfId="0" applyFont="1" applyNumberFormat="1">
      <alignment vertical="top"/>
    </xf>
    <xf numFmtId="49" fontId="0" fillId="39" borderId="0" xfId="0" applyFont="1" applyFill="1" applyNumberFormat="1">
      <alignment vertical="top"/>
    </xf>
    <xf numFmtId="49" fontId="0" fillId="39" borderId="0" xfId="0" applyFont="1" applyFill="1" applyNumberFormat="1">
      <alignment vertical="top"/>
    </xf>
    <xf numFmtId="0" fontId="23" fillId="0" borderId="0" xfId="0" applyFont="1"/>
    <xf numFmtId="0" fontId="46" fillId="36" borderId="0" xfId="0" applyFont="1" applyFill="1">
      <alignment horizontal="center" vertical="center" wrapText="1"/>
    </xf>
    <xf numFmtId="0" fontId="23" fillId="36" borderId="13" xfId="0" applyFont="1" applyFill="1" applyBorder="1">
      <alignment horizontal="center" vertical="center"/>
    </xf>
    <xf numFmtId="49" fontId="23" fillId="41" borderId="13" xfId="0" applyFont="1" applyFill="1" applyBorder="1" applyNumberFormat="1">
      <alignment horizontal="left" vertical="center" wrapText="1"/>
      <protection locked="0"/>
    </xf>
    <xf numFmtId="0" fontId="46" fillId="36" borderId="0" xfId="0" applyFont="1" applyFill="1">
      <alignment horizontal="center"/>
    </xf>
    <xf numFmtId="49" fontId="23" fillId="33" borderId="13" xfId="0" applyFont="1" applyFill="1" applyBorder="1" applyNumberFormat="1">
      <alignment horizontal="left" vertical="center" wrapText="1"/>
      <protection locked="0"/>
    </xf>
    <xf numFmtId="0" fontId="46" fillId="0" borderId="0" xfId="0" applyFont="1">
      <alignment horizontal="center" vertical="center" wrapText="1"/>
    </xf>
    <xf numFmtId="0" fontId="56" fillId="0" borderId="13" xfId="0" applyFont="1" applyBorder="1">
      <alignment horizontal="center" vertical="center"/>
    </xf>
    <xf numFmtId="0" fontId="23" fillId="0" borderId="24" xfId="0" applyFont="1" applyBorder="1">
      <alignment horizontal="center" vertical="center" wrapText="1"/>
    </xf>
    <xf numFmtId="0" fontId="55" fillId="0" borderId="24" xfId="0" applyFont="1" applyBorder="1">
      <alignment horizontal="center" vertical="center" wrapText="1"/>
    </xf>
    <xf numFmtId="49" fontId="0" fillId="40" borderId="16" xfId="0" applyFont="1" applyFill="1" applyBorder="1" applyNumberFormat="1">
      <alignment horizontal="right" vertical="center" wrapText="1"/>
    </xf>
    <xf numFmtId="49" fontId="0" fillId="40" borderId="14" xfId="0" applyFont="1" applyFill="1" applyBorder="1" applyNumberFormat="1">
      <alignment horizontal="right" vertical="center" wrapText="1"/>
    </xf>
    <xf numFmtId="49" fontId="59" fillId="39" borderId="0" xfId="0" applyFont="1" applyFill="1" applyNumberFormat="1">
      <alignment vertical="top"/>
    </xf>
    <xf numFmtId="49" fontId="59" fillId="0" borderId="0" xfId="0" applyFont="1" applyNumberFormat="1">
      <alignment vertical="top"/>
    </xf>
    <xf numFmtId="0" fontId="45" fillId="0" borderId="25" xfId="0" applyFont="1" applyBorder="1">
      <alignment horizontal="center" vertical="center" wrapText="1"/>
    </xf>
    <xf numFmtId="0" fontId="23" fillId="42" borderId="13" xfId="0" applyFont="1" applyFill="1" applyBorder="1">
      <alignment horizontal="center" vertical="center" wrapText="1"/>
    </xf>
    <xf numFmtId="14" fontId="87" fillId="0" borderId="18" xfId="0" applyFont="1" applyBorder="1" applyNumberFormat="1">
      <alignment horizontal="center" vertical="center" wrapText="1"/>
    </xf>
    <xf numFmtId="0" fontId="81" fillId="0" borderId="13" xfId="0" applyFont="1" applyBorder="1">
      <alignment horizontal="left" vertical="center" wrapText="1" indent="1"/>
    </xf>
    <xf numFmtId="0" fontId="87" fillId="0" borderId="18" xfId="0" applyFont="1" applyBorder="1">
      <alignment horizontal="center" vertical="center" wrapText="1"/>
    </xf>
    <xf numFmtId="49" fontId="23" fillId="0" borderId="13" xfId="0" applyFont="1" applyBorder="1" applyNumberFormat="1">
      <alignment horizontal="center" vertical="center" wrapText="1"/>
    </xf>
    <xf numFmtId="49" fontId="81" fillId="0" borderId="13" xfId="0" applyFont="1" applyBorder="1" applyNumberFormat="1">
      <alignment horizontal="left" vertical="center" wrapText="1" indent="1"/>
    </xf>
    <xf numFmtId="14" fontId="87" fillId="0" borderId="37" xfId="0" applyFont="1" applyBorder="1" applyNumberFormat="1">
      <alignment horizontal="center" vertical="center" wrapText="1"/>
    </xf>
    <xf numFmtId="0" fontId="81" fillId="0" borderId="13" xfId="0" applyFont="1" applyBorder="1">
      <alignment horizontal="left" vertical="top" indent="1"/>
    </xf>
    <xf numFmtId="0" fontId="45" fillId="0" borderId="13" xfId="0" applyFont="1" applyBorder="1">
      <alignment horizontal="center" vertical="center" wrapText="1"/>
    </xf>
    <xf numFmtId="0" fontId="23" fillId="42" borderId="13" xfId="0" applyFont="1" applyFill="1" applyBorder="1">
      <alignment horizontal="left" vertical="center" wrapText="1" indent="1"/>
    </xf>
    <xf numFmtId="0" fontId="23" fillId="36" borderId="0" xfId="0" applyFont="1" applyFill="1">
      <alignment horizontal="center" vertical="top" wrapText="1"/>
    </xf>
    <xf numFmtId="49" fontId="23" fillId="42" borderId="15" xfId="0" applyFont="1" applyFill="1" applyBorder="1" applyNumberFormat="1">
      <alignment horizontal="left" vertical="center" wrapText="1"/>
    </xf>
    <xf numFmtId="49" fontId="0" fillId="0" borderId="13" xfId="0" applyFont="1" applyBorder="1" applyNumberFormat="1">
      <alignment vertical="top"/>
    </xf>
    <xf numFmtId="49" fontId="0" fillId="0" borderId="0" xfId="0" applyFont="1" applyNumberFormat="1">
      <alignment vertical="top"/>
    </xf>
    <xf numFmtId="0" fontId="23" fillId="36" borderId="15" xfId="0" applyFont="1" applyFill="1" applyBorder="1">
      <alignment horizontal="center" vertical="center" wrapText="1"/>
    </xf>
    <xf numFmtId="0" fontId="56" fillId="36" borderId="13" xfId="0" applyFont="1" applyFill="1" applyBorder="1">
      <alignment horizontal="center" vertical="center" wrapText="1"/>
    </xf>
    <xf numFmtId="14" fontId="23" fillId="42" borderId="31" xfId="0" applyFont="1" applyFill="1" applyBorder="1" applyNumberFormat="1">
      <alignment horizontal="left" vertical="center" wrapText="1"/>
    </xf>
    <xf numFmtId="49" fontId="29" fillId="41" borderId="13" xfId="0" applyFont="1" applyFill="1" applyBorder="1" applyNumberFormat="1">
      <alignment horizontal="left" vertical="center" wrapText="1"/>
      <protection locked="0"/>
    </xf>
    <xf numFmtId="49" fontId="0" fillId="0" borderId="13" xfId="0" applyFont="1" applyBorder="1" applyNumberFormat="1">
      <alignment horizontal="left" vertical="center" wrapText="1"/>
    </xf>
    <xf numFmtId="49" fontId="23" fillId="0" borderId="0" xfId="0" applyFont="1" applyNumberFormat="1">
      <alignment vertical="top"/>
    </xf>
    <xf numFmtId="49" fontId="55" fillId="0" borderId="0" xfId="0" applyFont="1" applyNumberFormat="1">
      <alignment vertical="top"/>
    </xf>
    <xf numFmtId="49" fontId="23" fillId="0" borderId="0" xfId="0" applyFont="1" applyNumberFormat="1">
      <alignment vertical="top"/>
    </xf>
    <xf numFmtId="49" fontId="46" fillId="0" borderId="0" xfId="0" applyFont="1" applyNumberFormat="1">
      <alignment horizontal="center" vertical="center" wrapText="1"/>
    </xf>
    <xf numFmtId="49" fontId="23" fillId="0" borderId="13" xfId="0" applyFont="1" applyBorder="1" applyNumberFormat="1">
      <alignment horizontal="center" vertical="center" wrapText="1"/>
    </xf>
    <xf numFmtId="49" fontId="23" fillId="41" borderId="13" xfId="0" applyFont="1" applyFill="1" applyBorder="1" applyNumberFormat="1">
      <alignment horizontal="left" vertical="center" wrapText="1"/>
      <protection locked="0"/>
    </xf>
    <xf numFmtId="250" fontId="0" fillId="41" borderId="13" xfId="0" applyFont="1" applyFill="1" applyBorder="1" applyNumberFormat="1">
      <alignment horizontal="center" vertical="center" wrapText="1"/>
      <protection locked="0"/>
    </xf>
    <xf numFmtId="49" fontId="29" fillId="41" borderId="13" xfId="0" applyFont="1" applyFill="1" applyBorder="1" applyNumberFormat="1">
      <alignment horizontal="left" vertical="center" wrapText="1"/>
      <protection locked="0"/>
    </xf>
    <xf numFmtId="49" fontId="0" fillId="41" borderId="13" xfId="0" applyFont="1" applyFill="1" applyBorder="1" applyNumberFormat="1">
      <alignment horizontal="center" vertical="center" wrapText="1"/>
      <protection locked="0"/>
    </xf>
    <xf numFmtId="0" fontId="56" fillId="0" borderId="0" xfId="0" applyFont="1">
      <alignment vertical="top"/>
    </xf>
    <xf numFmtId="49" fontId="56" fillId="0" borderId="0" xfId="0" applyFont="1" applyNumberFormat="1">
      <alignment vertical="top"/>
    </xf>
    <xf numFmtId="49" fontId="23" fillId="0" borderId="0" xfId="0" applyFont="1" applyNumberFormat="1">
      <alignment vertical="top"/>
    </xf>
    <xf numFmtId="0" fontId="48" fillId="36" borderId="0" xfId="0" applyFont="1" applyFill="1">
      <alignment vertical="center" wrapText="1"/>
    </xf>
    <xf numFmtId="49" fontId="0" fillId="36" borderId="13" xfId="0" applyFont="1" applyFill="1" applyBorder="1" applyNumberFormat="1">
      <alignment horizontal="center" vertical="center" wrapText="1"/>
    </xf>
    <xf numFmtId="0" fontId="132" fillId="41" borderId="15" xfId="0" applyFont="1" applyFill="1" applyBorder="1">
      <alignment horizontal="left" vertical="center" wrapText="1" indent="2"/>
      <protection locked="0"/>
    </xf>
    <xf numFmtId="0" fontId="23" fillId="0" borderId="0" xfId="0" applyFont="1">
      <alignment vertical="center" wrapText="1"/>
    </xf>
    <xf numFmtId="49" fontId="55" fillId="0" borderId="0" xfId="0" applyFont="1" applyNumberFormat="1">
      <alignment horizontal="center" vertical="center" wrapText="1"/>
    </xf>
    <xf numFmtId="0" fontId="55" fillId="0" borderId="0" xfId="0" applyFont="1">
      <alignment vertical="center" wrapText="1"/>
    </xf>
    <xf numFmtId="0" fontId="46" fillId="0" borderId="25" xfId="0" applyFont="1" applyBorder="1">
      <alignment horizontal="center" vertical="center" wrapText="1"/>
    </xf>
    <xf numFmtId="49" fontId="23" fillId="0" borderId="13" xfId="0" applyFont="1" applyBorder="1" applyNumberFormat="1">
      <alignment horizontal="center" vertical="top" wrapText="1"/>
    </xf>
    <xf numFmtId="0" fontId="0" fillId="38" borderId="13" xfId="0" applyFont="1" applyFill="1" applyBorder="1">
      <alignment horizontal="left" vertical="top" wrapText="1" indent="1"/>
    </xf>
    <xf numFmtId="49" fontId="23" fillId="42" borderId="18" xfId="0" applyFont="1" applyFill="1" applyBorder="1" applyNumberFormat="1">
      <alignment horizontal="center" vertical="top" wrapText="1"/>
    </xf>
    <xf numFmtId="250" fontId="0" fillId="41" borderId="13" xfId="0" applyFont="1" applyFill="1" applyBorder="1" applyNumberFormat="1">
      <alignment horizontal="center" vertical="top" wrapText="1"/>
      <protection locked="0"/>
    </xf>
    <xf numFmtId="250" fontId="0" fillId="33" borderId="13" xfId="0" applyFont="1" applyFill="1" applyBorder="1" applyNumberFormat="1">
      <alignment horizontal="center" vertical="top" wrapText="1"/>
      <protection locked="0"/>
    </xf>
    <xf numFmtId="49" fontId="23" fillId="42" borderId="13" xfId="0" applyFont="1" applyFill="1" applyBorder="1" applyNumberFormat="1">
      <alignment horizontal="left" vertical="top" wrapText="1"/>
    </xf>
    <xf numFmtId="49" fontId="23" fillId="41" borderId="13" xfId="0" applyFont="1" applyFill="1" applyBorder="1" applyNumberFormat="1">
      <alignment horizontal="left" vertical="top" wrapText="1"/>
      <protection locked="0"/>
    </xf>
    <xf numFmtId="49" fontId="0" fillId="38" borderId="13" xfId="0" applyFont="1" applyFill="1" applyBorder="1" applyNumberFormat="1">
      <alignment horizontal="center" vertical="top" wrapText="1"/>
    </xf>
    <xf numFmtId="0" fontId="23" fillId="38" borderId="13" xfId="0" applyFont="1" applyFill="1" applyBorder="1">
      <alignment horizontal="center" vertical="top" wrapText="1"/>
    </xf>
    <xf numFmtId="0" fontId="23" fillId="33" borderId="13" xfId="0" applyFont="1" applyFill="1" applyBorder="1">
      <alignment horizontal="left" vertical="top" wrapText="1"/>
      <protection locked="0"/>
    </xf>
    <xf numFmtId="49" fontId="23" fillId="42" borderId="13" xfId="0" applyFont="1" applyFill="1" applyBorder="1" applyNumberFormat="1">
      <alignment horizontal="center" vertical="top" wrapText="1"/>
    </xf>
    <xf numFmtId="0" fontId="23" fillId="0" borderId="37" xfId="0" applyFont="1" applyBorder="1">
      <alignment horizontal="center" vertical="center" wrapText="1"/>
    </xf>
    <xf numFmtId="0" fontId="23" fillId="0" borderId="13" xfId="0" applyFont="1" applyBorder="1">
      <alignment horizontal="center" vertical="center" wrapText="1"/>
    </xf>
    <xf numFmtId="49" fontId="23" fillId="41" borderId="18" xfId="0" applyFont="1" applyFill="1" applyBorder="1" applyNumberFormat="1">
      <alignment horizontal="left" vertical="center" wrapText="1" indent="1"/>
      <protection locked="0"/>
    </xf>
    <xf numFmtId="0" fontId="23" fillId="0" borderId="25" xfId="0" applyFont="1" applyBorder="1">
      <alignment vertical="top" wrapText="1"/>
    </xf>
    <xf numFmtId="49" fontId="23" fillId="42" borderId="24" xfId="0" applyFont="1" applyFill="1" applyBorder="1" applyNumberFormat="1">
      <alignment horizontal="center" vertical="top" wrapText="1"/>
    </xf>
    <xf numFmtId="49" fontId="0" fillId="41" borderId="13" xfId="0" applyFont="1" applyFill="1" applyBorder="1" applyNumberFormat="1">
      <alignment horizontal="center" vertical="top" wrapText="1"/>
      <protection locked="0"/>
    </xf>
    <xf numFmtId="49" fontId="0" fillId="33" borderId="13" xfId="0" applyFont="1" applyFill="1" applyBorder="1" applyNumberFormat="1">
      <alignment horizontal="center" vertical="top" wrapText="1"/>
      <protection locked="0"/>
    </xf>
    <xf numFmtId="49" fontId="23" fillId="42" borderId="15" xfId="0" applyFont="1" applyFill="1" applyBorder="1" applyNumberFormat="1">
      <alignment horizontal="center" vertical="top" wrapText="1"/>
    </xf>
    <xf numFmtId="0" fontId="23" fillId="40" borderId="15" xfId="0" applyFont="1" applyFill="1" applyBorder="1">
      <alignment vertical="center" wrapText="1"/>
    </xf>
    <xf numFmtId="0" fontId="23" fillId="40" borderId="16" xfId="0" applyFont="1" applyFill="1" applyBorder="1">
      <alignment vertical="center" wrapText="1"/>
    </xf>
    <xf numFmtId="49" fontId="49" fillId="40" borderId="14" xfId="0" applyFont="1" applyFill="1" applyBorder="1" applyNumberFormat="1">
      <alignment horizontal="left" vertical="center" indent="1"/>
    </xf>
    <xf numFmtId="0" fontId="23" fillId="0" borderId="0" xfId="0" applyFont="1">
      <alignment vertical="center" wrapText="1"/>
    </xf>
    <xf numFmtId="0" fontId="46" fillId="0" borderId="25" xfId="0" applyFont="1" applyBorder="1">
      <alignment horizontal="center" vertical="center" wrapText="1"/>
    </xf>
    <xf numFmtId="49" fontId="23" fillId="0" borderId="37" xfId="0" applyFont="1" applyBorder="1" applyNumberFormat="1">
      <alignment horizontal="center" vertical="top" wrapText="1"/>
    </xf>
    <xf numFmtId="0" fontId="0" fillId="38" borderId="37" xfId="0" applyFont="1" applyFill="1" applyBorder="1">
      <alignment horizontal="left" vertical="top" wrapText="1" indent="1"/>
    </xf>
    <xf numFmtId="49" fontId="23" fillId="42" borderId="37" xfId="0" applyFont="1" applyFill="1" applyBorder="1" applyNumberFormat="1">
      <alignment horizontal="center" vertical="top" wrapText="1"/>
    </xf>
    <xf numFmtId="49" fontId="0" fillId="41" borderId="37" xfId="0" applyFont="1" applyFill="1" applyBorder="1" applyNumberFormat="1">
      <alignment horizontal="center" vertical="top" wrapText="1"/>
      <protection locked="0"/>
    </xf>
    <xf numFmtId="49" fontId="0" fillId="33" borderId="37" xfId="0" applyFont="1" applyFill="1" applyBorder="1" applyNumberFormat="1">
      <alignment horizontal="center" vertical="top" wrapText="1"/>
      <protection locked="0"/>
    </xf>
    <xf numFmtId="49" fontId="23" fillId="42" borderId="37" xfId="0" applyFont="1" applyFill="1" applyBorder="1" applyNumberFormat="1">
      <alignment horizontal="left" vertical="top" wrapText="1"/>
    </xf>
    <xf numFmtId="49" fontId="23" fillId="41" borderId="37" xfId="0" applyFont="1" applyFill="1" applyBorder="1" applyNumberFormat="1">
      <alignment horizontal="left" vertical="top" wrapText="1"/>
      <protection locked="0"/>
    </xf>
    <xf numFmtId="49" fontId="0" fillId="38" borderId="37" xfId="0" applyFont="1" applyFill="1" applyBorder="1" applyNumberFormat="1">
      <alignment horizontal="center" vertical="top" wrapText="1"/>
    </xf>
    <xf numFmtId="0" fontId="23" fillId="38" borderId="37" xfId="0" applyFont="1" applyFill="1" applyBorder="1">
      <alignment horizontal="center" vertical="top" wrapText="1"/>
    </xf>
    <xf numFmtId="0" fontId="23" fillId="33" borderId="37" xfId="0" applyFont="1" applyFill="1" applyBorder="1">
      <alignment horizontal="left" vertical="top" wrapText="1"/>
      <protection locked="0"/>
    </xf>
    <xf numFmtId="0" fontId="23" fillId="0" borderId="37" xfId="0" applyFont="1" applyBorder="1">
      <alignment horizontal="center" vertical="center" wrapText="1"/>
    </xf>
    <xf numFmtId="0" fontId="23" fillId="0" borderId="13" xfId="0" applyFont="1" applyBorder="1">
      <alignment horizontal="center" vertical="center" wrapText="1"/>
    </xf>
    <xf numFmtId="0" fontId="56" fillId="0" borderId="0" xfId="0" applyFont="1">
      <alignment vertical="center" wrapText="1"/>
    </xf>
    <xf numFmtId="49" fontId="56" fillId="0" borderId="0" xfId="0" applyFont="1" applyNumberFormat="1">
      <alignment horizontal="center" vertical="center" wrapText="1"/>
    </xf>
    <xf numFmtId="0" fontId="23" fillId="36" borderId="0" xfId="0" applyFont="1" applyFill="1">
      <alignment vertical="center" wrapText="1"/>
    </xf>
    <xf numFmtId="0" fontId="109" fillId="0" borderId="49" xfId="0" applyFont="1" applyBorder="1">
      <alignment horizontal="left" vertical="center" indent="1"/>
    </xf>
    <xf numFmtId="0" fontId="109" fillId="0" borderId="50" xfId="0" applyFont="1" applyBorder="1">
      <alignment horizontal="left" vertical="center" indent="1"/>
    </xf>
    <xf numFmtId="0" fontId="0" fillId="0" borderId="50" xfId="0" applyFont="1" applyBorder="1">
      <alignment horizontal="left" vertical="center" wrapText="1"/>
    </xf>
    <xf numFmtId="0" fontId="23" fillId="0" borderId="50" xfId="0" applyFont="1" applyBorder="1">
      <alignment vertical="center" wrapText="1"/>
    </xf>
    <xf numFmtId="0" fontId="23" fillId="0" borderId="55" xfId="0" applyFont="1" applyBorder="1">
      <alignment vertical="center" wrapText="1"/>
    </xf>
    <xf numFmtId="0" fontId="23" fillId="0" borderId="56" xfId="0" applyFont="1" applyBorder="1">
      <alignment vertical="center" wrapText="1"/>
    </xf>
    <xf numFmtId="0" fontId="23" fillId="0" borderId="39" xfId="0" applyFont="1" applyBorder="1">
      <alignment vertical="center" wrapText="1"/>
    </xf>
    <xf numFmtId="49" fontId="23" fillId="0" borderId="0" xfId="0" applyFont="1" applyNumberFormat="1">
      <alignment vertical="top"/>
    </xf>
    <xf numFmtId="49" fontId="23" fillId="38" borderId="13" xfId="0" applyFont="1" applyFill="1" applyBorder="1" applyNumberFormat="1">
      <alignment horizontal="center" vertical="center" wrapText="1"/>
    </xf>
    <xf numFmtId="49" fontId="23" fillId="0" borderId="14" xfId="0" applyFont="1" applyBorder="1" applyNumberFormat="1">
      <alignment horizontal="center" vertical="center" wrapText="1"/>
    </xf>
    <xf numFmtId="49" fontId="23" fillId="42" borderId="14" xfId="0" applyFont="1" applyFill="1" applyBorder="1" applyNumberFormat="1">
      <alignment horizontal="left" vertical="center" wrapText="1"/>
    </xf>
    <xf numFmtId="49" fontId="23" fillId="42" borderId="13" xfId="0" applyFont="1" applyFill="1" applyBorder="1" applyNumberFormat="1">
      <alignment horizontal="left" vertical="center" wrapText="1"/>
    </xf>
    <xf numFmtId="49" fontId="23" fillId="41" borderId="13" xfId="0" applyFont="1" applyFill="1" applyBorder="1" applyNumberFormat="1">
      <alignment horizontal="left" vertical="center" wrapText="1"/>
      <protection locked="0"/>
    </xf>
    <xf numFmtId="49" fontId="23" fillId="42" borderId="15" xfId="0" applyFont="1" applyFill="1" applyBorder="1" applyNumberFormat="1">
      <alignment horizontal="center" vertical="center" wrapText="1"/>
    </xf>
    <xf numFmtId="49" fontId="23" fillId="0" borderId="13" xfId="0" applyFont="1" applyBorder="1" applyNumberFormat="1">
      <alignment horizontal="center" vertical="center" wrapText="1"/>
    </xf>
    <xf numFmtId="49" fontId="111" fillId="40" borderId="44" xfId="0" applyFont="1" applyFill="1" applyBorder="1" applyNumberFormat="1">
      <alignment horizontal="left" vertical="center" indent="1"/>
    </xf>
    <xf numFmtId="49" fontId="100" fillId="40" borderId="44" xfId="0" applyFont="1" applyFill="1" applyBorder="1" applyNumberFormat="1">
      <alignment horizontal="center" vertical="center"/>
    </xf>
    <xf numFmtId="3" fontId="23" fillId="41" borderId="13" xfId="0" applyFont="1" applyFill="1" applyBorder="1" applyNumberFormat="1">
      <alignment horizontal="center" vertical="center" wrapText="1"/>
      <protection locked="0"/>
    </xf>
    <xf numFmtId="0" fontId="23" fillId="0" borderId="0" xfId="0" applyFont="1">
      <alignment vertical="center" wrapText="1"/>
    </xf>
    <xf numFmtId="49" fontId="112" fillId="0" borderId="14" xfId="0" applyFont="1" applyBorder="1" applyNumberFormat="1">
      <alignment horizontal="center" vertical="center" wrapText="1"/>
    </xf>
    <xf numFmtId="0" fontId="54" fillId="0" borderId="13" xfId="0" applyFont="1" applyBorder="1">
      <alignment horizontal="center" vertical="center"/>
    </xf>
    <xf numFmtId="49" fontId="129" fillId="42" borderId="18" xfId="0" applyFont="1" applyFill="1" applyBorder="1" applyNumberFormat="1">
      <alignment horizontal="left" vertical="center" wrapText="1" indent="1"/>
    </xf>
    <xf numFmtId="49" fontId="129" fillId="0" borderId="13" xfId="0" applyFont="1" applyBorder="1" applyNumberFormat="1">
      <alignment horizontal="left" vertical="center" wrapText="1"/>
    </xf>
    <xf numFmtId="49" fontId="111" fillId="40" borderId="15" xfId="0" applyFont="1" applyFill="1" applyBorder="1" applyNumberFormat="1">
      <alignment horizontal="left" vertical="center" indent="1"/>
    </xf>
    <xf numFmtId="49" fontId="111" fillId="40" borderId="16" xfId="0" applyFont="1" applyFill="1" applyBorder="1" applyNumberFormat="1">
      <alignment horizontal="left" vertical="center" indent="1"/>
    </xf>
    <xf numFmtId="49" fontId="133" fillId="40" borderId="16" xfId="0" applyFont="1" applyFill="1" applyBorder="1" applyNumberFormat="1">
      <alignment vertical="top" wrapText="1"/>
    </xf>
    <xf numFmtId="49" fontId="133" fillId="40" borderId="14" xfId="0" applyFont="1" applyFill="1" applyBorder="1" applyNumberFormat="1">
      <alignment vertical="top" wrapText="1"/>
    </xf>
    <xf numFmtId="49" fontId="129" fillId="42" borderId="37" xfId="0" applyFont="1" applyFill="1" applyBorder="1" applyNumberFormat="1">
      <alignment horizontal="left" vertical="center" wrapText="1" indent="1"/>
    </xf>
    <xf numFmtId="49" fontId="129" fillId="38" borderId="13" xfId="0" applyFont="1" applyFill="1" applyBorder="1" applyNumberFormat="1">
      <alignment horizontal="left" vertical="center" wrapText="1"/>
    </xf>
    <xf numFmtId="49" fontId="112" fillId="0" borderId="0" xfId="0" applyFont="1" applyNumberFormat="1">
      <alignment horizontal="center" vertical="top" wrapText="1"/>
    </xf>
    <xf numFmtId="0" fontId="54" fillId="0" borderId="13" xfId="0" applyFont="1" applyBorder="1">
      <alignment horizontal="center" vertical="center"/>
    </xf>
    <xf numFmtId="0" fontId="133" fillId="42" borderId="13" xfId="0" applyFont="1" applyFill="1" applyBorder="1">
      <alignment horizontal="left" vertical="center" wrapText="1" indent="1"/>
    </xf>
    <xf numFmtId="4" fontId="23" fillId="41" borderId="32" xfId="0" applyFont="1" applyFill="1" applyBorder="1" applyNumberFormat="1">
      <alignment horizontal="right" vertical="center" wrapText="1"/>
      <protection locked="0"/>
    </xf>
    <xf numFmtId="49" fontId="129" fillId="42" borderId="24" xfId="0" applyFont="1" applyFill="1" applyBorder="1" applyNumberFormat="1">
      <alignment horizontal="left" vertical="center" wrapText="1" indent="1"/>
    </xf>
    <xf numFmtId="49" fontId="49" fillId="40" borderId="16" xfId="0" applyFont="1" applyFill="1" applyBorder="1" applyNumberFormat="1">
      <alignment horizontal="left" vertical="center" indent="1"/>
    </xf>
    <xf numFmtId="49" fontId="133" fillId="40" borderId="53" xfId="0" applyFont="1" applyFill="1" applyBorder="1" applyNumberFormat="1">
      <alignment vertical="top" wrapText="1"/>
    </xf>
    <xf numFmtId="49" fontId="49" fillId="40" borderId="16" xfId="0" applyFont="1" applyFill="1" applyBorder="1" applyNumberFormat="1">
      <alignment horizontal="left" vertical="center" indent="1"/>
    </xf>
    <xf numFmtId="49" fontId="111" fillId="40" borderId="53" xfId="0" applyFont="1" applyFill="1" applyBorder="1" applyNumberFormat="1">
      <alignment horizontal="left" vertical="center" indent="1"/>
    </xf>
    <xf numFmtId="49" fontId="23" fillId="38" borderId="59" xfId="0" applyFont="1" applyFill="1" applyBorder="1" applyNumberFormat="1">
      <alignment horizontal="center" vertical="center" wrapText="1"/>
    </xf>
    <xf numFmtId="0" fontId="0" fillId="40" borderId="51" xfId="0" applyFont="1" applyFill="1" applyBorder="1">
      <alignment horizontal="left" vertical="center"/>
    </xf>
    <xf numFmtId="49" fontId="49" fillId="40" borderId="52" xfId="0" applyFont="1" applyFill="1" applyBorder="1" applyNumberFormat="1">
      <alignment horizontal="left" vertical="center" indent="1"/>
    </xf>
    <xf numFmtId="0" fontId="23" fillId="40" borderId="51" xfId="0" applyFont="1" applyFill="1" applyBorder="1">
      <alignment vertical="center" wrapText="1"/>
    </xf>
    <xf numFmtId="0" fontId="23" fillId="40" borderId="52" xfId="0" applyFont="1" applyFill="1" applyBorder="1">
      <alignment vertical="center" wrapText="1"/>
    </xf>
    <xf numFmtId="0" fontId="23" fillId="40" borderId="54" xfId="0" applyFont="1" applyFill="1" applyBorder="1">
      <alignment vertical="center" wrapText="1"/>
    </xf>
    <xf numFmtId="49" fontId="0" fillId="38" borderId="37" xfId="0" applyFont="1" applyFill="1" applyBorder="1" applyNumberFormat="1">
      <alignment vertical="top"/>
    </xf>
    <xf numFmtId="49" fontId="0" fillId="0" borderId="37" xfId="0" applyFont="1" applyBorder="1" applyNumberFormat="1">
      <alignment vertical="top"/>
    </xf>
    <xf numFmtId="49" fontId="129" fillId="42" borderId="18" xfId="0" applyFont="1" applyFill="1" applyBorder="1" applyNumberFormat="1">
      <alignment vertical="center" wrapText="1"/>
    </xf>
    <xf numFmtId="49" fontId="0" fillId="41" borderId="37" xfId="0" applyFont="1" applyFill="1" applyBorder="1" applyNumberFormat="1">
      <alignment vertical="top"/>
      <protection locked="0"/>
    </xf>
    <xf numFmtId="49" fontId="112" fillId="0" borderId="13" xfId="0" applyFont="1" applyBorder="1" applyNumberFormat="1">
      <alignment horizontal="center" vertical="center" wrapText="1"/>
    </xf>
    <xf numFmtId="49" fontId="0" fillId="41" borderId="18" xfId="0" applyFont="1" applyFill="1" applyBorder="1" applyNumberFormat="1">
      <alignment vertical="top"/>
      <protection locked="0"/>
    </xf>
    <xf numFmtId="14" fontId="23" fillId="42" borderId="37" xfId="0" applyFont="1" applyFill="1" applyBorder="1" applyNumberFormat="1">
      <alignment horizontal="left" vertical="center" wrapText="1" indent="1"/>
    </xf>
    <xf numFmtId="49" fontId="129" fillId="42" borderId="37" xfId="0" applyFont="1" applyFill="1" applyBorder="1" applyNumberFormat="1">
      <alignment vertical="center" wrapText="1"/>
    </xf>
    <xf numFmtId="0" fontId="54" fillId="0" borderId="13" xfId="0" applyFont="1" applyBorder="1">
      <alignment horizontal="center" vertical="center"/>
    </xf>
    <xf numFmtId="4" fontId="23" fillId="41" borderId="34" xfId="0" applyFont="1" applyFill="1" applyBorder="1" applyNumberFormat="1">
      <alignment horizontal="right" vertical="center" wrapText="1"/>
      <protection locked="0"/>
    </xf>
    <xf numFmtId="49" fontId="129" fillId="42" borderId="24" xfId="0" applyFont="1" applyFill="1" applyBorder="1" applyNumberFormat="1">
      <alignment vertical="center" wrapText="1"/>
    </xf>
    <xf numFmtId="49" fontId="0" fillId="41" borderId="24" xfId="0" applyFont="1" applyFill="1" applyBorder="1" applyNumberFormat="1">
      <alignment vertical="top"/>
      <protection locked="0"/>
    </xf>
    <xf numFmtId="49" fontId="54" fillId="0" borderId="0" xfId="0" applyFont="1" applyNumberFormat="1">
      <alignment vertical="center"/>
    </xf>
    <xf numFmtId="49" fontId="105" fillId="0" borderId="0" xfId="0" applyFont="1" applyNumberFormat="1">
      <alignment vertical="center"/>
    </xf>
    <xf numFmtId="49" fontId="54" fillId="0" borderId="0" xfId="0" applyFont="1" applyNumberFormat="1">
      <alignment vertical="center"/>
    </xf>
    <xf numFmtId="49" fontId="54" fillId="36" borderId="0" xfId="0" applyFont="1" applyFill="1" applyNumberFormat="1">
      <alignment vertical="center"/>
    </xf>
    <xf numFmtId="0" fontId="109" fillId="0" borderId="48" xfId="0" applyFont="1" applyBorder="1">
      <alignment horizontal="left" vertical="center" indent="1"/>
    </xf>
    <xf numFmtId="49" fontId="23" fillId="0" borderId="57" xfId="0" applyFont="1" applyBorder="1" applyNumberFormat="1">
      <alignment horizontal="center" vertical="center"/>
    </xf>
    <xf numFmtId="0" fontId="23" fillId="0" borderId="57" xfId="0" applyFont="1" applyBorder="1">
      <alignment horizontal="right" vertical="center"/>
    </xf>
    <xf numFmtId="0" fontId="23" fillId="0" borderId="57" xfId="0" applyFont="1" applyBorder="1">
      <alignment horizontal="center" vertical="center"/>
    </xf>
    <xf numFmtId="0" fontId="23" fillId="0" borderId="16" xfId="0" applyFont="1" applyBorder="1">
      <alignment horizontal="right" vertical="center"/>
    </xf>
    <xf numFmtId="0" fontId="23" fillId="0" borderId="14" xfId="0" applyFont="1" applyBorder="1">
      <alignment horizontal="right" vertical="center"/>
    </xf>
    <xf numFmtId="0" fontId="23" fillId="0" borderId="13" xfId="0" applyFont="1" applyBorder="1">
      <alignment horizontal="right" vertical="center"/>
    </xf>
    <xf numFmtId="49" fontId="23" fillId="0" borderId="0" xfId="0" applyFont="1" applyNumberFormat="1">
      <alignment vertical="center"/>
    </xf>
    <xf numFmtId="49" fontId="105" fillId="0" borderId="0" xfId="0" applyFont="1" applyNumberFormat="1">
      <alignment vertical="center"/>
    </xf>
    <xf numFmtId="49" fontId="0" fillId="0" borderId="0" xfId="0" applyFont="1" applyNumberFormat="1">
      <alignment vertical="top"/>
    </xf>
    <xf numFmtId="0" fontId="23" fillId="36" borderId="13" xfId="0" applyFont="1" applyFill="1" applyBorder="1">
      <alignment horizontal="center" vertical="center"/>
    </xf>
    <xf numFmtId="0" fontId="129" fillId="42" borderId="13" xfId="0" applyFont="1" applyFill="1" applyBorder="1">
      <alignment horizontal="left" vertical="center" wrapText="1" indent="1"/>
    </xf>
    <xf numFmtId="0" fontId="129" fillId="41" borderId="13" xfId="0" applyFont="1" applyFill="1" applyBorder="1">
      <alignment horizontal="left" vertical="center" wrapText="1" indent="1"/>
      <protection locked="0"/>
    </xf>
    <xf numFmtId="0" fontId="23" fillId="33" borderId="13" xfId="0" applyFont="1" applyFill="1" applyBorder="1">
      <alignment horizontal="left" vertical="center" indent="1"/>
      <protection locked="0"/>
    </xf>
    <xf numFmtId="0" fontId="23" fillId="34" borderId="13" xfId="0" applyFont="1" applyFill="1" applyBorder="1">
      <alignment horizontal="right" vertical="center"/>
    </xf>
    <xf numFmtId="3" fontId="23" fillId="33" borderId="13" xfId="0" applyFont="1" applyFill="1" applyBorder="1" applyNumberFormat="1">
      <alignment horizontal="right" vertical="center"/>
      <protection locked="0"/>
    </xf>
    <xf numFmtId="4" fontId="23" fillId="33" borderId="13" xfId="0" applyFont="1" applyFill="1" applyBorder="1" applyNumberFormat="1">
      <alignment horizontal="right" vertical="center"/>
      <protection locked="0"/>
    </xf>
    <xf numFmtId="49" fontId="49" fillId="40" borderId="58" xfId="0" applyFont="1" applyFill="1" applyBorder="1" applyNumberFormat="1">
      <alignment horizontal="left" vertical="center" indent="1"/>
    </xf>
    <xf numFmtId="49" fontId="49" fillId="40" borderId="52" xfId="0" applyFont="1" applyFill="1" applyBorder="1" applyNumberFormat="1">
      <alignment horizontal="left" vertical="center" indent="1"/>
    </xf>
    <xf numFmtId="49" fontId="49" fillId="40" borderId="52" xfId="0" applyFont="1" applyFill="1" applyBorder="1" applyNumberFormat="1">
      <alignment horizontal="left" vertical="center" indent="1"/>
    </xf>
    <xf numFmtId="49" fontId="49" fillId="53" borderId="14" xfId="0" applyFont="1" applyFill="1" applyBorder="1" applyNumberFormat="1">
      <alignment horizontal="left" vertical="center" indent="1"/>
    </xf>
    <xf numFmtId="49" fontId="23" fillId="0" borderId="0" xfId="0" applyFont="1" applyNumberFormat="1">
      <alignment vertical="top"/>
    </xf>
    <xf numFmtId="49" fontId="54" fillId="0" borderId="0" xfId="0" applyFont="1" applyNumberFormat="1">
      <alignment vertical="top"/>
    </xf>
    <xf numFmtId="0" fontId="0" fillId="0" borderId="0" xfId="0" applyFont="1">
      <alignment vertical="top"/>
    </xf>
    <xf numFmtId="49" fontId="0" fillId="0" borderId="0" xfId="0" applyFont="1" applyNumberFormat="1">
      <alignment vertical="top"/>
    </xf>
    <xf numFmtId="49" fontId="23" fillId="0" borderId="18" xfId="0" applyFont="1" applyBorder="1" applyNumberFormat="1">
      <alignment horizontal="center" vertical="center" wrapText="1"/>
    </xf>
    <xf numFmtId="0" fontId="0" fillId="0" borderId="15" xfId="0" applyFont="1" applyBorder="1">
      <alignment horizontal="right" vertical="center" wrapText="1" indent="1"/>
    </xf>
    <xf numFmtId="0" fontId="0" fillId="0" borderId="16" xfId="0" applyFont="1" applyBorder="1">
      <alignment horizontal="right" vertical="center" wrapText="1" indent="1"/>
    </xf>
    <xf numFmtId="0" fontId="0" fillId="0" borderId="14" xfId="0" applyFont="1" applyBorder="1">
      <alignment horizontal="right" vertical="center" wrapText="1" indent="1"/>
    </xf>
    <xf numFmtId="0" fontId="0" fillId="38" borderId="13" xfId="0" applyFont="1" applyFill="1" applyBorder="1">
      <alignment horizontal="left" vertical="center" wrapText="1" indent="1"/>
    </xf>
    <xf numFmtId="0" fontId="23" fillId="0" borderId="14" xfId="0" applyFont="1" applyBorder="1">
      <alignment horizontal="left" vertical="center" wrapText="1" indent="1"/>
    </xf>
    <xf numFmtId="49" fontId="56" fillId="0" borderId="23" xfId="0" applyFont="1" applyBorder="1" applyNumberFormat="1">
      <alignment vertical="top"/>
    </xf>
    <xf numFmtId="49" fontId="56" fillId="0" borderId="0" xfId="0" applyFont="1" applyNumberFormat="1">
      <alignment vertical="top"/>
    </xf>
    <xf numFmtId="49" fontId="55" fillId="0" borderId="0" xfId="0" applyFont="1" applyNumberFormat="1">
      <alignment vertical="top"/>
    </xf>
    <xf numFmtId="49" fontId="56" fillId="0" borderId="0" xfId="0" applyFont="1" applyNumberFormat="1">
      <alignment vertical="top"/>
    </xf>
    <xf numFmtId="49" fontId="55" fillId="0" borderId="0" xfId="0" applyFont="1" applyNumberFormat="1">
      <alignment vertical="top"/>
    </xf>
    <xf numFmtId="0" fontId="55" fillId="0" borderId="0" xfId="0" applyFont="1">
      <alignment horizontal="center" vertical="top"/>
    </xf>
    <xf numFmtId="49" fontId="55" fillId="0" borderId="0" xfId="0" applyFont="1" applyNumberFormat="1">
      <alignment vertical="top"/>
    </xf>
    <xf numFmtId="0" fontId="55" fillId="0" borderId="0" xfId="0" applyFont="1">
      <alignment vertical="top"/>
    </xf>
    <xf numFmtId="0" fontId="80" fillId="0" borderId="0" xfId="0" applyFont="1">
      <alignment vertical="top"/>
    </xf>
    <xf numFmtId="0" fontId="93" fillId="0" borderId="0" xfId="0" applyFont="1">
      <alignment vertical="top"/>
    </xf>
    <xf numFmtId="49" fontId="23" fillId="0" borderId="37" xfId="0" applyFont="1" applyBorder="1" applyNumberFormat="1">
      <alignment horizontal="center" vertical="center" wrapText="1"/>
    </xf>
    <xf numFmtId="0" fontId="55" fillId="0" borderId="0" xfId="0" applyFont="1">
      <alignment horizontal="center" vertical="center" wrapText="1"/>
    </xf>
    <xf numFmtId="0" fontId="23" fillId="0" borderId="24" xfId="0" applyFont="1" applyBorder="1">
      <alignment horizontal="left" vertical="center" wrapText="1"/>
    </xf>
    <xf numFmtId="4" fontId="23" fillId="38" borderId="13" xfId="0" applyFont="1" applyFill="1" applyBorder="1" applyNumberFormat="1">
      <alignment horizontal="right" vertical="center" wrapText="1"/>
    </xf>
    <xf numFmtId="2" fontId="23" fillId="0" borderId="24" xfId="0" applyFont="1" applyBorder="1" applyNumberFormat="1">
      <alignment horizontal="center" vertical="center" wrapText="1"/>
    </xf>
    <xf numFmtId="0" fontId="23" fillId="0" borderId="13" xfId="0" applyFont="1" applyBorder="1">
      <alignment horizontal="left" vertical="center" wrapText="1"/>
    </xf>
    <xf numFmtId="49" fontId="56" fillId="0" borderId="23" xfId="0" applyFont="1" applyBorder="1" applyNumberFormat="1">
      <alignment vertical="top"/>
    </xf>
    <xf numFmtId="0" fontId="56" fillId="0" borderId="0" xfId="0" applyFont="1">
      <alignment horizontal="center" vertical="center" wrapText="1"/>
    </xf>
    <xf numFmtId="0" fontId="56" fillId="0" borderId="0" xfId="0" applyFont="1">
      <alignment horizontal="center" vertical="center" wrapText="1"/>
    </xf>
    <xf numFmtId="0" fontId="56" fillId="0" borderId="13" xfId="0" applyFont="1" applyBorder="1">
      <alignment horizontal="left" vertical="center" wrapText="1"/>
    </xf>
    <xf numFmtId="0" fontId="56" fillId="0" borderId="13" xfId="0" applyFont="1" applyBorder="1">
      <alignment vertical="center" wrapText="1"/>
    </xf>
    <xf numFmtId="0" fontId="56" fillId="0" borderId="23" xfId="0" applyFont="1" applyBorder="1">
      <alignment vertical="center" wrapText="1"/>
    </xf>
    <xf numFmtId="49" fontId="49" fillId="40" borderId="15" xfId="0" applyFont="1" applyFill="1" applyBorder="1" applyNumberFormat="1">
      <alignment horizontal="left" vertical="center"/>
    </xf>
    <xf numFmtId="49" fontId="49" fillId="40" borderId="16" xfId="0" applyFont="1" applyFill="1" applyBorder="1" applyNumberFormat="1">
      <alignment horizontal="left" vertical="center" indent="1"/>
    </xf>
    <xf numFmtId="49" fontId="49" fillId="40" borderId="16" xfId="0" applyFont="1" applyFill="1" applyBorder="1" applyNumberFormat="1">
      <alignment horizontal="left" vertical="center"/>
    </xf>
    <xf numFmtId="0" fontId="49" fillId="0" borderId="13" xfId="0" applyFont="1" applyBorder="1">
      <alignment horizontal="left" vertical="center" indent="1"/>
    </xf>
    <xf numFmtId="0" fontId="55" fillId="0" borderId="0" xfId="0" applyFont="1">
      <alignment horizontal="center" vertical="top"/>
    </xf>
    <xf numFmtId="49" fontId="23" fillId="0" borderId="24" xfId="0" applyFont="1" applyBorder="1" applyNumberFormat="1">
      <alignment horizontal="center" vertical="center" wrapText="1"/>
    </xf>
    <xf numFmtId="0" fontId="23" fillId="0" borderId="13" xfId="0" applyFont="1" applyBorder="1">
      <alignment horizontal="left" vertical="center" wrapText="1"/>
    </xf>
    <xf numFmtId="0" fontId="56" fillId="0" borderId="0" xfId="0" applyFont="1">
      <alignment horizontal="center" vertical="center" wrapText="1"/>
    </xf>
    <xf numFmtId="0" fontId="56" fillId="0" borderId="24" xfId="0" applyFont="1" applyBorder="1">
      <alignment vertical="center" wrapText="1"/>
    </xf>
    <xf numFmtId="4" fontId="56" fillId="0" borderId="13" xfId="0" applyFont="1" applyBorder="1" applyNumberFormat="1">
      <alignment horizontal="right" vertical="center" wrapText="1"/>
    </xf>
    <xf numFmtId="2" fontId="56" fillId="0" borderId="24" xfId="0" applyFont="1" applyBorder="1" applyNumberFormat="1">
      <alignment horizontal="center" vertical="center" wrapText="1"/>
    </xf>
    <xf numFmtId="0" fontId="56" fillId="0" borderId="13" xfId="0" applyFont="1" applyBorder="1">
      <alignment horizontal="left" vertical="center" wrapText="1"/>
    </xf>
    <xf numFmtId="0" fontId="56" fillId="0" borderId="0" xfId="0" applyFont="1">
      <alignment horizontal="center" vertical="top"/>
    </xf>
    <xf numFmtId="49" fontId="56" fillId="0" borderId="0" xfId="0" applyFont="1" applyNumberFormat="1">
      <alignment vertical="top"/>
    </xf>
    <xf numFmtId="49" fontId="56" fillId="0" borderId="15" xfId="0" applyFont="1" applyBorder="1" applyNumberFormat="1">
      <alignment horizontal="left" vertical="center"/>
    </xf>
    <xf numFmtId="49" fontId="56" fillId="0" borderId="16" xfId="0" applyFont="1" applyBorder="1" applyNumberFormat="1">
      <alignment horizontal="left" vertical="center" indent="1"/>
    </xf>
    <xf numFmtId="49" fontId="56" fillId="0" borderId="16" xfId="0" applyFont="1" applyBorder="1" applyNumberFormat="1">
      <alignment horizontal="left" vertical="center"/>
    </xf>
    <xf numFmtId="49" fontId="56" fillId="0" borderId="14" xfId="0" applyFont="1" applyBorder="1" applyNumberFormat="1">
      <alignment horizontal="left" vertical="center" indent="1"/>
    </xf>
    <xf numFmtId="0" fontId="56" fillId="0" borderId="13" xfId="0" applyFont="1" applyBorder="1">
      <alignment horizontal="left" vertical="center" indent="1"/>
    </xf>
    <xf numFmtId="49" fontId="0" fillId="0" borderId="20" xfId="0" applyFont="1" applyBorder="1" applyNumberFormat="1">
      <alignment vertical="top"/>
    </xf>
    <xf numFmtId="49" fontId="46" fillId="0" borderId="18" xfId="0" applyFont="1" applyBorder="1" applyNumberFormat="1">
      <alignment horizontal="center" vertical="top" wrapText="1"/>
    </xf>
    <xf numFmtId="49" fontId="23" fillId="41" borderId="15" xfId="0" applyFont="1" applyFill="1" applyBorder="1" applyNumberFormat="1">
      <alignment horizontal="left" vertical="center" wrapText="1" indent="1"/>
      <protection locked="0"/>
    </xf>
    <xf numFmtId="0" fontId="23" fillId="0" borderId="13" xfId="0" applyFont="1" applyBorder="1">
      <alignment vertical="center" wrapText="1"/>
    </xf>
    <xf numFmtId="49" fontId="0" fillId="0" borderId="14" xfId="0" applyFont="1" applyBorder="1" applyNumberFormat="1">
      <alignment horizontal="center" vertical="center" wrapText="1"/>
    </xf>
    <xf numFmtId="0" fontId="0" fillId="0" borderId="13" xfId="0" applyFont="1" applyBorder="1">
      <alignment horizontal="left" vertical="center" wrapText="1"/>
    </xf>
    <xf numFmtId="49" fontId="0" fillId="0" borderId="13" xfId="0" applyFont="1" applyBorder="1" applyNumberFormat="1">
      <alignment horizontal="center" vertical="center"/>
    </xf>
    <xf numFmtId="0" fontId="0" fillId="0" borderId="13" xfId="0" applyFont="1" applyBorder="1">
      <alignment horizontal="center" vertical="center" wrapText="1"/>
    </xf>
    <xf numFmtId="4" fontId="0" fillId="38" borderId="13" xfId="0" applyFont="1" applyFill="1" applyBorder="1" applyNumberFormat="1">
      <alignment horizontal="right" vertical="center" wrapText="1"/>
    </xf>
    <xf numFmtId="0" fontId="23" fillId="0" borderId="13" xfId="0" applyFont="1" applyBorder="1">
      <alignment horizontal="left" vertical="center" wrapText="1"/>
    </xf>
    <xf numFmtId="49" fontId="23" fillId="0" borderId="37" xfId="0" applyFont="1" applyBorder="1" applyNumberFormat="1">
      <alignment horizontal="center" vertical="top" wrapText="1"/>
    </xf>
    <xf numFmtId="0" fontId="0" fillId="41" borderId="13" xfId="0" applyFont="1" applyFill="1" applyBorder="1">
      <alignment horizontal="left" vertical="center" wrapText="1"/>
      <protection locked="0"/>
    </xf>
    <xf numFmtId="49" fontId="0" fillId="41" borderId="15" xfId="0" applyFont="1" applyFill="1" applyBorder="1" applyNumberFormat="1">
      <alignment horizontal="left" vertical="center" wrapText="1"/>
      <protection locked="0"/>
    </xf>
    <xf numFmtId="0" fontId="0" fillId="0" borderId="13" xfId="0" applyFont="1" applyBorder="1">
      <alignment vertical="center" wrapText="1"/>
    </xf>
    <xf numFmtId="49" fontId="0" fillId="0" borderId="31" xfId="0" applyFont="1" applyBorder="1" applyNumberFormat="1">
      <alignment horizontal="center" vertical="center" wrapText="1"/>
    </xf>
    <xf numFmtId="49" fontId="0" fillId="41" borderId="13" xfId="0" applyFont="1" applyFill="1" applyBorder="1" applyNumberFormat="1">
      <alignment horizontal="left" vertical="center" wrapText="1"/>
      <protection locked="0"/>
    </xf>
    <xf numFmtId="4" fontId="0" fillId="41" borderId="13" xfId="0" applyFont="1" applyFill="1" applyBorder="1" applyNumberFormat="1">
      <alignment horizontal="right" vertical="center" wrapText="1"/>
      <protection locked="0"/>
    </xf>
    <xf numFmtId="49" fontId="0" fillId="41" borderId="13" xfId="0" applyFont="1" applyFill="1" applyBorder="1" applyNumberFormat="1">
      <alignment horizontal="center" vertical="center" wrapText="1"/>
      <protection locked="0"/>
    </xf>
    <xf numFmtId="4" fontId="55" fillId="0" borderId="13" xfId="0" applyFont="1" applyBorder="1" applyNumberFormat="1">
      <alignment horizontal="right" vertical="center" wrapText="1"/>
    </xf>
    <xf numFmtId="49" fontId="0" fillId="41" borderId="13" xfId="0" applyFont="1" applyFill="1" applyBorder="1" applyNumberFormat="1">
      <alignment horizontal="left" vertical="center" wrapText="1"/>
      <protection locked="0"/>
    </xf>
    <xf numFmtId="49" fontId="0" fillId="40" borderId="28" xfId="0" applyFont="1" applyFill="1" applyBorder="1" applyNumberFormat="1">
      <alignment horizontal="center" vertical="center"/>
    </xf>
    <xf numFmtId="49" fontId="0" fillId="40" borderId="16" xfId="0" applyFont="1" applyFill="1" applyBorder="1" applyNumberFormat="1">
      <alignment horizontal="center" vertical="center"/>
    </xf>
    <xf numFmtId="49" fontId="49" fillId="40" borderId="16" xfId="0" applyFont="1" applyFill="1" applyBorder="1" applyNumberFormat="1">
      <alignment horizontal="left" vertical="center"/>
    </xf>
    <xf numFmtId="49" fontId="49" fillId="40" borderId="14" xfId="0" applyFont="1" applyFill="1" applyBorder="1" applyNumberFormat="1">
      <alignment horizontal="left" vertical="center" indent="1"/>
    </xf>
    <xf numFmtId="49" fontId="23" fillId="0" borderId="24" xfId="0" applyFont="1" applyBorder="1" applyNumberFormat="1">
      <alignment horizontal="center" vertical="top" wrapText="1"/>
    </xf>
    <xf numFmtId="49" fontId="23" fillId="41" borderId="13" xfId="0" applyFont="1" applyFill="1" applyBorder="1" applyNumberFormat="1">
      <alignment horizontal="left" vertical="center" wrapText="1" indent="1"/>
      <protection locked="0"/>
    </xf>
    <xf numFmtId="0" fontId="55" fillId="0" borderId="0" xfId="0" applyFont="1">
      <alignment horizontal="center" vertical="center" wrapText="1"/>
    </xf>
    <xf numFmtId="49" fontId="0" fillId="41" borderId="13" xfId="0" applyFont="1" applyFill="1" applyBorder="1" applyNumberFormat="1">
      <alignment horizontal="left" vertical="center" wrapText="1"/>
      <protection locked="0"/>
    </xf>
    <xf numFmtId="49" fontId="0" fillId="0" borderId="23" xfId="0" applyFont="1" applyBorder="1" applyNumberFormat="1">
      <alignment vertical="top"/>
    </xf>
    <xf numFmtId="49" fontId="0" fillId="0" borderId="0" xfId="0" applyFont="1" applyNumberFormat="1">
      <alignment vertical="top"/>
    </xf>
    <xf numFmtId="49" fontId="0" fillId="0" borderId="25" xfId="0" applyFont="1" applyBorder="1" applyNumberFormat="1">
      <alignment vertical="top"/>
    </xf>
    <xf numFmtId="49" fontId="0" fillId="0" borderId="0" xfId="0" applyFont="1" applyNumberFormat="1">
      <alignment horizontal="left" vertical="top"/>
    </xf>
    <xf numFmtId="49" fontId="0" fillId="0" borderId="0" xfId="0" applyFont="1" applyNumberFormat="1">
      <alignment vertical="top"/>
    </xf>
    <xf numFmtId="0" fontId="0" fillId="0" borderId="13" xfId="0" applyFont="1" applyBorder="1">
      <alignment horizontal="center" vertical="center"/>
    </xf>
    <xf numFmtId="49" fontId="23" fillId="33" borderId="13" xfId="0" applyFont="1" applyFill="1" applyBorder="1" applyNumberFormat="1">
      <alignment horizontal="left" vertical="center" wrapText="1"/>
      <protection locked="0"/>
    </xf>
    <xf numFmtId="0" fontId="0" fillId="42" borderId="13" xfId="0" applyFont="1" applyFill="1" applyBorder="1">
      <alignment horizontal="left" vertical="center" wrapText="1"/>
      <protection locked="0"/>
    </xf>
    <xf numFmtId="49" fontId="0" fillId="41" borderId="13" xfId="0" applyFont="1" applyFill="1" applyBorder="1" applyNumberFormat="1">
      <alignment horizontal="left" vertical="center" wrapText="1"/>
      <protection locked="0"/>
    </xf>
    <xf numFmtId="49" fontId="23" fillId="0" borderId="13" xfId="0" applyFont="1" applyBorder="1" applyNumberFormat="1">
      <alignment horizontal="center" vertical="center" wrapText="1"/>
    </xf>
    <xf numFmtId="49" fontId="0" fillId="41" borderId="13" xfId="0" applyFont="1" applyFill="1" applyBorder="1" applyNumberFormat="1">
      <alignment horizontal="left" vertical="center" wrapText="1"/>
      <protection locked="0"/>
    </xf>
    <xf numFmtId="49" fontId="23" fillId="33" borderId="13" xfId="0" applyFont="1" applyFill="1" applyBorder="1" applyNumberFormat="1">
      <alignment horizontal="left" vertical="center" wrapText="1"/>
      <protection locked="0"/>
    </xf>
    <xf numFmtId="0" fontId="49" fillId="40" borderId="15" xfId="0" applyFont="1" applyFill="1" applyBorder="1">
      <alignment horizontal="left" vertical="center"/>
    </xf>
    <xf numFmtId="0" fontId="49" fillId="40" borderId="16" xfId="0" applyFont="1" applyFill="1" applyBorder="1">
      <alignment horizontal="left" vertical="center"/>
    </xf>
    <xf numFmtId="0" fontId="49" fillId="40" borderId="14" xfId="0" applyFont="1" applyFill="1" applyBorder="1">
      <alignment horizontal="left" vertical="center"/>
    </xf>
    <xf numFmtId="49" fontId="0" fillId="0" borderId="13" xfId="0" applyFont="1" applyBorder="1" applyNumberFormat="1">
      <alignment vertical="top"/>
    </xf>
    <xf numFmtId="49" fontId="0" fillId="33" borderId="13" xfId="0" applyFont="1" applyFill="1" applyBorder="1" applyNumberFormat="1">
      <alignment horizontal="left" vertical="top"/>
      <protection locked="0"/>
    </xf>
    <xf numFmtId="49" fontId="0" fillId="42" borderId="13" xfId="0" applyFont="1" applyFill="1" applyBorder="1" applyNumberFormat="1">
      <alignment horizontal="left" vertical="center" wrapText="1"/>
      <protection locked="0"/>
    </xf>
    <xf numFmtId="0" fontId="0" fillId="40" borderId="16" xfId="0" applyFont="1" applyFill="1" applyBorder="1">
      <alignment vertical="center"/>
    </xf>
    <xf numFmtId="49" fontId="0" fillId="0" borderId="37" xfId="0" applyFont="1" applyBorder="1" applyNumberFormat="1">
      <alignment horizontal="left" vertical="top"/>
    </xf>
    <xf numFmtId="0" fontId="23" fillId="42" borderId="37" xfId="0" applyFont="1" applyFill="1" applyBorder="1">
      <alignment horizontal="center" vertical="top" wrapText="1"/>
    </xf>
    <xf numFmtId="49" fontId="0" fillId="42" borderId="37" xfId="0" applyFont="1" applyFill="1" applyBorder="1" applyNumberFormat="1">
      <alignment horizontal="left" vertical="top"/>
    </xf>
    <xf numFmtId="49" fontId="23" fillId="0" borderId="13" xfId="0" applyFont="1" applyBorder="1" applyNumberFormat="1">
      <alignment horizontal="center" vertical="center" wrapText="1"/>
    </xf>
    <xf numFmtId="49" fontId="0" fillId="41" borderId="13" xfId="0" applyFont="1" applyFill="1" applyBorder="1" applyNumberFormat="1">
      <alignment horizontal="left" vertical="center" wrapText="1"/>
      <protection locked="0"/>
    </xf>
    <xf numFmtId="49" fontId="23" fillId="33" borderId="13" xfId="0" applyFont="1" applyFill="1" applyBorder="1" applyNumberFormat="1">
      <alignment horizontal="left" vertical="center" wrapText="1"/>
      <protection locked="0"/>
    </xf>
    <xf numFmtId="49" fontId="0" fillId="33" borderId="37" xfId="0" applyFont="1" applyFill="1" applyBorder="1" applyNumberFormat="1">
      <alignment horizontal="left" vertical="top"/>
      <protection locked="0"/>
    </xf>
    <xf numFmtId="49" fontId="23" fillId="42" borderId="0" xfId="0" applyFont="1" applyFill="1" applyNumberFormat="1">
      <alignment horizontal="center" vertical="center" wrapText="1"/>
    </xf>
    <xf numFmtId="0" fontId="49" fillId="0" borderId="37" xfId="0" applyFont="1" applyBorder="1">
      <alignment horizontal="left" vertical="center"/>
    </xf>
    <xf numFmtId="49" fontId="0" fillId="42" borderId="37" xfId="0" applyFont="1" applyFill="1" applyBorder="1" applyNumberFormat="1">
      <alignment horizontal="left" vertical="center" wrapText="1"/>
      <protection locked="0"/>
    </xf>
    <xf numFmtId="49" fontId="23" fillId="42" borderId="37" xfId="0" applyFont="1" applyFill="1" applyBorder="1" applyNumberFormat="1">
      <alignment horizontal="center" vertical="center" wrapText="1"/>
    </xf>
    <xf numFmtId="0" fontId="23" fillId="42" borderId="37" xfId="0" applyFont="1" applyFill="1" applyBorder="1">
      <alignment horizontal="center" vertical="top" wrapText="1"/>
    </xf>
    <xf numFmtId="0" fontId="49" fillId="33" borderId="37" xfId="0" applyFont="1" applyFill="1" applyBorder="1">
      <alignment horizontal="left" vertical="center"/>
      <protection locked="0"/>
    </xf>
    <xf numFmtId="0" fontId="49" fillId="41" borderId="37" xfId="0" applyFont="1" applyFill="1" applyBorder="1">
      <alignment horizontal="left" vertical="center"/>
      <protection locked="0"/>
    </xf>
    <xf numFmtId="49" fontId="23" fillId="0" borderId="13" xfId="0" applyFont="1" applyBorder="1" applyNumberFormat="1">
      <alignment horizontal="center" vertical="center" wrapText="1"/>
    </xf>
    <xf numFmtId="49" fontId="0" fillId="41" borderId="13" xfId="0" applyFont="1" applyFill="1" applyBorder="1" applyNumberFormat="1">
      <alignment horizontal="left" vertical="center" wrapText="1"/>
      <protection locked="0"/>
    </xf>
    <xf numFmtId="49" fontId="23" fillId="33" borderId="13" xfId="0" applyFont="1" applyFill="1" applyBorder="1" applyNumberFormat="1">
      <alignment horizontal="left" vertical="center" wrapText="1"/>
      <protection locked="0"/>
    </xf>
    <xf numFmtId="49" fontId="0" fillId="0" borderId="0" xfId="0" applyFont="1" applyNumberFormat="1">
      <alignment vertical="top"/>
    </xf>
    <xf numFmtId="49" fontId="56" fillId="0" borderId="13" xfId="0" applyFont="1" applyBorder="1" applyNumberFormat="1">
      <alignment horizontal="center" vertical="center" wrapText="1"/>
    </xf>
    <xf numFmtId="49" fontId="56" fillId="0" borderId="13" xfId="0" applyFont="1" applyBorder="1" applyNumberFormat="1">
      <alignment horizontal="center" vertical="center" wrapText="1"/>
    </xf>
    <xf numFmtId="49" fontId="56" fillId="0" borderId="15" xfId="0" applyFont="1" applyBorder="1" applyNumberFormat="1">
      <alignment horizontal="left" vertical="center" wrapText="1"/>
    </xf>
    <xf numFmtId="49" fontId="23" fillId="33" borderId="13" xfId="0" applyFont="1" applyFill="1" applyBorder="1" applyNumberFormat="1">
      <alignment horizontal="left" vertical="center" wrapText="1"/>
      <protection locked="0"/>
    </xf>
    <xf numFmtId="0" fontId="56" fillId="0" borderId="15" xfId="0" applyFont="1" applyBorder="1">
      <alignment horizontal="left" vertical="center"/>
    </xf>
    <xf numFmtId="0" fontId="56" fillId="0" borderId="16" xfId="0" applyFont="1" applyBorder="1">
      <alignment horizontal="left" vertical="center"/>
    </xf>
    <xf numFmtId="0" fontId="49" fillId="40" borderId="31" xfId="0" applyFont="1" applyFill="1" applyBorder="1">
      <alignment horizontal="left" vertical="center"/>
    </xf>
    <xf numFmtId="49" fontId="0" fillId="0" borderId="0" xfId="0" applyFont="1" applyNumberFormat="1">
      <alignment vertical="top"/>
    </xf>
    <xf numFmtId="49" fontId="56" fillId="0" borderId="13" xfId="0" applyFont="1" applyBorder="1" applyNumberFormat="1">
      <alignment horizontal="center" vertical="center" wrapText="1"/>
    </xf>
    <xf numFmtId="49" fontId="0" fillId="33" borderId="37" xfId="0" applyFont="1" applyFill="1" applyBorder="1" applyNumberFormat="1">
      <alignment vertical="top"/>
      <protection locked="0"/>
    </xf>
    <xf numFmtId="49" fontId="23" fillId="42" borderId="37" xfId="0" applyFont="1" applyFill="1" applyBorder="1" applyNumberFormat="1">
      <alignment horizontal="center" vertical="center" wrapText="1"/>
    </xf>
    <xf numFmtId="49" fontId="0" fillId="0" borderId="0" xfId="0" applyFont="1" applyNumberFormat="1">
      <alignment vertical="center"/>
    </xf>
    <xf numFmtId="0" fontId="0" fillId="0" borderId="0" xfId="0" applyFont="1">
      <alignment vertical="center"/>
    </xf>
    <xf numFmtId="0" fontId="0" fillId="0" borderId="0" xfId="0" applyFont="1">
      <alignment vertical="center"/>
    </xf>
    <xf numFmtId="0" fontId="0" fillId="0" borderId="13" xfId="0" applyFont="1" applyBorder="1">
      <alignment horizontal="center" vertical="center"/>
    </xf>
    <xf numFmtId="0" fontId="23" fillId="0" borderId="13" xfId="0" applyFont="1" applyBorder="1">
      <alignment horizontal="center" vertical="center" wrapText="1"/>
    </xf>
    <xf numFmtId="49" fontId="23" fillId="0" borderId="20" xfId="0" applyFont="1" applyBorder="1" applyNumberFormat="1">
      <alignment horizontal="center" vertical="center" wrapText="1"/>
    </xf>
    <xf numFmtId="49" fontId="0" fillId="0" borderId="20" xfId="0" applyFont="1" applyBorder="1" applyNumberFormat="1">
      <alignment horizontal="left" vertical="center" wrapText="1"/>
    </xf>
    <xf numFmtId="49" fontId="0" fillId="0" borderId="0" xfId="0" applyFont="1" applyNumberFormat="1">
      <alignment vertical="top"/>
    </xf>
    <xf numFmtId="0" fontId="0" fillId="0" borderId="0" xfId="0" applyFont="1">
      <alignment vertical="center"/>
    </xf>
    <xf numFmtId="49" fontId="23" fillId="0" borderId="0" xfId="0" applyFont="1" applyNumberFormat="1">
      <alignment horizontal="center" vertical="center" wrapText="1"/>
    </xf>
    <xf numFmtId="49" fontId="23" fillId="0" borderId="37" xfId="0" applyFont="1" applyBorder="1" applyNumberFormat="1">
      <alignment horizontal="center" vertical="center"/>
    </xf>
    <xf numFmtId="0" fontId="23" fillId="0" borderId="37" xfId="0" applyFont="1" applyBorder="1">
      <alignment horizontal="center" vertical="center" wrapText="1"/>
    </xf>
    <xf numFmtId="0" fontId="23" fillId="0" borderId="37" xfId="0" applyFont="1" applyBorder="1">
      <alignment horizontal="center" vertical="center" wrapText="1"/>
    </xf>
    <xf numFmtId="49" fontId="23" fillId="0" borderId="37" xfId="0" applyFont="1" applyBorder="1" applyNumberFormat="1">
      <alignment vertical="center" wrapText="1"/>
    </xf>
    <xf numFmtId="0" fontId="23" fillId="0" borderId="25" xfId="0" applyFont="1" applyBorder="1">
      <alignment horizontal="center" vertical="center"/>
    </xf>
    <xf numFmtId="49" fontId="23" fillId="0" borderId="18" xfId="0" applyFont="1" applyBorder="1" applyNumberFormat="1">
      <alignment horizontal="left" vertical="center" wrapText="1"/>
    </xf>
    <xf numFmtId="49" fontId="23" fillId="41" borderId="13" xfId="0" applyFont="1" applyFill="1" applyBorder="1" applyNumberFormat="1">
      <alignment horizontal="left" vertical="center" wrapText="1"/>
      <protection locked="0"/>
    </xf>
    <xf numFmtId="49" fontId="23" fillId="0" borderId="18" xfId="0" applyFont="1" applyBorder="1" applyNumberFormat="1">
      <alignment horizontal="left" vertical="center" wrapText="1"/>
    </xf>
    <xf numFmtId="49" fontId="23" fillId="42" borderId="18" xfId="0" applyFont="1" applyFill="1" applyBorder="1" applyNumberFormat="1">
      <alignment horizontal="center" vertical="center" wrapText="1"/>
    </xf>
    <xf numFmtId="49" fontId="46" fillId="0" borderId="37" xfId="0" applyFont="1" applyBorder="1" applyNumberFormat="1">
      <alignment vertical="center" wrapText="1"/>
    </xf>
    <xf numFmtId="0" fontId="23" fillId="42" borderId="18" xfId="0" applyFont="1" applyFill="1" applyBorder="1">
      <alignment horizontal="left" vertical="center" wrapText="1"/>
    </xf>
    <xf numFmtId="49" fontId="23" fillId="0" borderId="18" xfId="0" applyFont="1" applyBorder="1" applyNumberFormat="1">
      <alignment horizontal="center" vertical="center" wrapText="1"/>
    </xf>
    <xf numFmtId="49" fontId="23" fillId="42" borderId="18" xfId="0" applyFont="1" applyFill="1" applyBorder="1" applyNumberFormat="1">
      <alignment horizontal="left" vertical="center" wrapText="1"/>
    </xf>
    <xf numFmtId="0" fontId="23" fillId="0" borderId="18" xfId="0" applyFont="1" applyBorder="1">
      <alignment horizontal="left" vertical="center" wrapText="1"/>
    </xf>
    <xf numFmtId="49" fontId="23" fillId="0" borderId="18" xfId="0" applyFont="1" applyBorder="1" applyNumberFormat="1">
      <alignment horizontal="center" vertical="center" wrapText="1"/>
    </xf>
    <xf numFmtId="49" fontId="23" fillId="0" borderId="13" xfId="0" applyFont="1" applyBorder="1" applyNumberFormat="1">
      <alignment horizontal="center" vertical="center" wrapText="1"/>
    </xf>
    <xf numFmtId="49" fontId="23" fillId="42" borderId="18" xfId="0" applyFont="1" applyFill="1" applyBorder="1" applyNumberFormat="1">
      <alignment vertical="center" wrapText="1"/>
    </xf>
    <xf numFmtId="49" fontId="23" fillId="33" borderId="13" xfId="0" applyFont="1" applyFill="1" applyBorder="1" applyNumberFormat="1">
      <alignment horizontal="left" vertical="center" wrapText="1"/>
      <protection locked="0"/>
    </xf>
    <xf numFmtId="0" fontId="23" fillId="0" borderId="37" xfId="0" applyFont="1" applyBorder="1">
      <alignment horizontal="left" vertical="center" wrapText="1"/>
    </xf>
    <xf numFmtId="49" fontId="23" fillId="0" borderId="37" xfId="0" applyFont="1" applyBorder="1" applyNumberFormat="1">
      <alignment horizontal="left" vertical="center" wrapText="1"/>
    </xf>
    <xf numFmtId="49" fontId="23" fillId="42" borderId="37" xfId="0" applyFont="1" applyFill="1" applyBorder="1" applyNumberFormat="1">
      <alignment horizontal="center" vertical="center" wrapText="1"/>
    </xf>
    <xf numFmtId="0" fontId="23" fillId="42" borderId="37" xfId="0" applyFont="1" applyFill="1" applyBorder="1">
      <alignment horizontal="left" vertical="center" wrapText="1"/>
    </xf>
    <xf numFmtId="49" fontId="23" fillId="0" borderId="37" xfId="0" applyFont="1" applyBorder="1" applyNumberFormat="1">
      <alignment horizontal="center" vertical="center" wrapText="1"/>
    </xf>
    <xf numFmtId="49" fontId="23" fillId="42" borderId="24" xfId="0" applyFont="1" applyFill="1" applyBorder="1" applyNumberFormat="1">
      <alignment horizontal="left" vertical="center" wrapText="1"/>
    </xf>
    <xf numFmtId="0" fontId="23" fillId="0" borderId="24" xfId="0" applyFont="1" applyBorder="1">
      <alignment horizontal="left" vertical="center" wrapText="1"/>
    </xf>
    <xf numFmtId="0" fontId="49" fillId="0" borderId="24" xfId="0" applyFont="1" applyBorder="1">
      <alignment horizontal="left" vertical="center"/>
    </xf>
    <xf numFmtId="0" fontId="49" fillId="40" borderId="15" xfId="0" applyFont="1" applyFill="1" applyBorder="1">
      <alignment horizontal="left" vertical="center"/>
    </xf>
    <xf numFmtId="0" fontId="49" fillId="40" borderId="16" xfId="0" applyFont="1" applyFill="1" applyBorder="1">
      <alignment horizontal="left" vertical="center"/>
    </xf>
    <xf numFmtId="0" fontId="49" fillId="40" borderId="14" xfId="0" applyFont="1" applyFill="1" applyBorder="1">
      <alignment horizontal="left" vertical="center"/>
    </xf>
    <xf numFmtId="49" fontId="23" fillId="0" borderId="37" xfId="0" applyFont="1" applyBorder="1" applyNumberFormat="1">
      <alignment horizontal="center" vertical="center" wrapText="1"/>
    </xf>
    <xf numFmtId="0" fontId="49" fillId="40" borderId="38" xfId="0" applyFont="1" applyFill="1" applyBorder="1">
      <alignment horizontal="left" vertical="center"/>
    </xf>
    <xf numFmtId="0" fontId="49" fillId="40" borderId="20" xfId="0" applyFont="1" applyFill="1" applyBorder="1">
      <alignment horizontal="left" vertical="center"/>
    </xf>
    <xf numFmtId="0" fontId="49" fillId="40" borderId="21" xfId="0" applyFont="1" applyFill="1" applyBorder="1">
      <alignment horizontal="left" vertical="center"/>
    </xf>
    <xf numFmtId="49" fontId="23" fillId="41" borderId="18" xfId="0" applyFont="1" applyFill="1" applyBorder="1" applyNumberFormat="1">
      <alignment horizontal="left" vertical="center" wrapText="1"/>
      <protection locked="0"/>
    </xf>
    <xf numFmtId="49" fontId="46" fillId="0" borderId="37" xfId="0" applyFont="1" applyBorder="1" applyNumberFormat="1">
      <alignment horizontal="center" vertical="center" wrapText="1"/>
    </xf>
    <xf numFmtId="0" fontId="49" fillId="40" borderId="38" xfId="0" applyFont="1" applyFill="1" applyBorder="1">
      <alignment vertical="center"/>
    </xf>
    <xf numFmtId="0" fontId="49" fillId="0" borderId="37" xfId="0" applyFont="1" applyBorder="1">
      <alignment horizontal="left" vertical="center"/>
    </xf>
    <xf numFmtId="49" fontId="23" fillId="33" borderId="18" xfId="0" applyFont="1" applyFill="1" applyBorder="1" applyNumberFormat="1">
      <alignment horizontal="left" vertical="center" wrapText="1"/>
      <protection locked="0"/>
    </xf>
    <xf numFmtId="49" fontId="73" fillId="40" borderId="15" xfId="0" applyFont="1" applyFill="1" applyBorder="1" applyNumberFormat="1">
      <alignment vertical="top"/>
    </xf>
    <xf numFmtId="49" fontId="73" fillId="40" borderId="16" xfId="0" applyFont="1" applyFill="1" applyBorder="1" applyNumberFormat="1">
      <alignment vertical="top"/>
    </xf>
    <xf numFmtId="0" fontId="23" fillId="0" borderId="0" xfId="0" applyFont="1">
      <alignment horizontal="left" vertical="center" wrapText="1" indent="2"/>
    </xf>
    <xf numFmtId="0" fontId="48" fillId="36" borderId="0" xfId="0" applyFont="1" applyFill="1">
      <alignment vertical="center" wrapText="1"/>
    </xf>
    <xf numFmtId="0" fontId="23" fillId="36" borderId="0" xfId="0" applyFont="1" applyFill="1">
      <alignment vertical="center" wrapText="1"/>
    </xf>
    <xf numFmtId="0" fontId="23" fillId="36" borderId="0" xfId="0" applyFont="1" applyFill="1">
      <alignment horizontal="right" vertical="center" wrapText="1"/>
    </xf>
    <xf numFmtId="0" fontId="23" fillId="0" borderId="21" xfId="0" applyFont="1" applyBorder="1">
      <alignment horizontal="left" vertical="center" wrapText="1" indent="1"/>
    </xf>
    <xf numFmtId="0" fontId="23" fillId="0" borderId="18" xfId="0" applyFont="1" applyBorder="1">
      <alignment horizontal="left" vertical="center" wrapText="1" indent="1"/>
    </xf>
    <xf numFmtId="0" fontId="23" fillId="0" borderId="38" xfId="0" applyFont="1" applyBorder="1">
      <alignment horizontal="left" vertical="center" wrapText="1" indent="1"/>
    </xf>
    <xf numFmtId="49" fontId="23" fillId="0" borderId="0" xfId="0" applyFont="1" applyNumberFormat="1">
      <alignment vertical="center" wrapText="1"/>
    </xf>
    <xf numFmtId="0" fontId="23" fillId="0" borderId="31" xfId="0" applyFont="1" applyBorder="1">
      <alignment horizontal="left" vertical="center" wrapText="1" indent="1"/>
    </xf>
    <xf numFmtId="0" fontId="23" fillId="0" borderId="24" xfId="0" applyFont="1" applyBorder="1">
      <alignment horizontal="left" vertical="center" wrapText="1" indent="1"/>
    </xf>
    <xf numFmtId="0" fontId="23" fillId="0" borderId="28" xfId="0" applyFont="1" applyBorder="1">
      <alignment horizontal="left" vertical="center" wrapText="1" indent="1"/>
    </xf>
    <xf numFmtId="0" fontId="23" fillId="36" borderId="0" xfId="0" applyFont="1" applyFill="1">
      <alignment horizontal="center" vertical="center" wrapText="1"/>
    </xf>
    <xf numFmtId="0" fontId="23" fillId="36" borderId="0" xfId="0" applyFont="1" applyFill="1">
      <alignment horizontal="right" vertical="center"/>
    </xf>
    <xf numFmtId="49" fontId="23" fillId="0" borderId="0" xfId="0" applyFont="1" applyNumberFormat="1">
      <alignment vertical="center" wrapText="1"/>
    </xf>
    <xf numFmtId="0" fontId="23" fillId="36" borderId="0" xfId="0" applyFont="1" applyFill="1">
      <alignment vertical="center" wrapText="1"/>
    </xf>
    <xf numFmtId="0" fontId="23" fillId="36" borderId="0" xfId="0" applyFont="1" applyFill="1">
      <alignment horizontal="center" vertical="center" wrapText="1"/>
    </xf>
    <xf numFmtId="0" fontId="23" fillId="36" borderId="13" xfId="0" applyFont="1" applyFill="1" applyBorder="1">
      <alignment horizontal="center" vertical="center"/>
    </xf>
    <xf numFmtId="0" fontId="23" fillId="36" borderId="13" xfId="0" applyFont="1" applyFill="1" applyBorder="1">
      <alignment horizontal="center" vertical="center" wrapText="1"/>
    </xf>
    <xf numFmtId="0" fontId="0" fillId="0" borderId="13" xfId="0" applyFont="1" applyBorder="1">
      <alignment horizontal="center" vertical="center" wrapText="1"/>
    </xf>
    <xf numFmtId="49" fontId="45" fillId="36" borderId="0" xfId="0" applyFont="1" applyFill="1" applyNumberFormat="1">
      <alignment horizontal="center" vertical="center" wrapText="1"/>
    </xf>
    <xf numFmtId="49" fontId="23" fillId="0" borderId="0" xfId="0" applyFont="1" applyNumberFormat="1">
      <alignment vertical="top"/>
    </xf>
    <xf numFmtId="49" fontId="0" fillId="36" borderId="13" xfId="0" applyFont="1" applyFill="1" applyBorder="1" applyNumberFormat="1">
      <alignment horizontal="center" vertical="center" wrapText="1"/>
    </xf>
    <xf numFmtId="0" fontId="0" fillId="0" borderId="13" xfId="0" applyFont="1" applyBorder="1">
      <alignment vertical="center" wrapText="1"/>
    </xf>
    <xf numFmtId="0" fontId="0" fillId="0" borderId="13" xfId="0" applyFont="1" applyBorder="1">
      <alignment horizontal="center" vertical="center" wrapText="1"/>
    </xf>
    <xf numFmtId="0" fontId="23" fillId="0" borderId="13" xfId="0" applyFont="1" applyBorder="1">
      <alignment vertical="center" wrapText="1"/>
    </xf>
    <xf numFmtId="0" fontId="0" fillId="0" borderId="13" xfId="0" applyFont="1" applyBorder="1">
      <alignment horizontal="left" vertical="center" wrapText="1" indent="1"/>
    </xf>
    <xf numFmtId="0" fontId="132" fillId="41" borderId="13" xfId="0" applyFont="1" applyFill="1" applyBorder="1">
      <alignment horizontal="left" vertical="center" wrapText="1" indent="2"/>
      <protection locked="0"/>
    </xf>
    <xf numFmtId="49" fontId="29" fillId="41" borderId="13" xfId="0" applyFont="1" applyFill="1" applyBorder="1" applyNumberFormat="1">
      <alignment horizontal="left" vertical="center" wrapText="1"/>
      <protection locked="0"/>
    </xf>
    <xf numFmtId="0" fontId="23" fillId="40" borderId="15" xfId="0" applyFont="1" applyFill="1" applyBorder="1">
      <alignment vertical="center" wrapText="1"/>
    </xf>
    <xf numFmtId="49" fontId="49" fillId="40" borderId="16" xfId="0" applyFont="1" applyFill="1" applyBorder="1" applyNumberFormat="1">
      <alignment horizontal="left" vertical="center" indent="2"/>
    </xf>
    <xf numFmtId="49" fontId="53" fillId="40" borderId="14" xfId="0" applyFont="1" applyFill="1" applyBorder="1" applyNumberFormat="1">
      <alignment horizontal="center" vertical="top"/>
    </xf>
    <xf numFmtId="0" fontId="23" fillId="0" borderId="18" xfId="0" applyFont="1" applyBorder="1">
      <alignment vertical="center" wrapText="1"/>
    </xf>
    <xf numFmtId="49" fontId="29" fillId="41" borderId="15" xfId="0" applyFont="1" applyFill="1" applyBorder="1" applyNumberFormat="1">
      <alignment horizontal="left" vertical="center" wrapText="1"/>
      <protection locked="0"/>
    </xf>
    <xf numFmtId="0" fontId="23" fillId="0" borderId="0" xfId="0" applyFont="1">
      <alignment vertical="center" wrapText="1"/>
    </xf>
    <xf numFmtId="0" fontId="55" fillId="0" borderId="0" xfId="0" applyFont="1">
      <alignment vertical="center" wrapText="1"/>
    </xf>
    <xf numFmtId="0" fontId="48" fillId="36" borderId="0" xfId="0" applyFont="1" applyFill="1">
      <alignment vertical="center" wrapText="1"/>
    </xf>
    <xf numFmtId="49" fontId="53" fillId="40" borderId="16" xfId="0" applyFont="1" applyFill="1" applyBorder="1" applyNumberFormat="1">
      <alignment horizontal="center" vertical="top"/>
    </xf>
    <xf numFmtId="0" fontId="56" fillId="0" borderId="0" xfId="0" applyFont="1">
      <alignment vertical="center"/>
    </xf>
    <xf numFmtId="0" fontId="0" fillId="0" borderId="13" xfId="0" applyFont="1" applyBorder="1">
      <alignment horizontal="left" vertical="center" wrapText="1" indent="1"/>
    </xf>
    <xf numFmtId="0" fontId="0" fillId="36" borderId="13" xfId="0" applyFont="1" applyFill="1" applyBorder="1">
      <alignment horizontal="center" vertical="center" wrapText="1"/>
    </xf>
    <xf numFmtId="0" fontId="0" fillId="0" borderId="13" xfId="0" applyFont="1" applyBorder="1">
      <alignment horizontal="left" vertical="center" wrapText="1" indent="1"/>
    </xf>
    <xf numFmtId="49" fontId="73" fillId="0" borderId="13" xfId="0" applyFont="1" applyBorder="1" applyNumberFormat="1">
      <alignment horizontal="center" vertical="center" wrapText="1"/>
    </xf>
    <xf numFmtId="0" fontId="134" fillId="0" borderId="13" xfId="0" applyFont="1" applyBorder="1">
      <alignment horizontal="left" vertical="center" wrapText="1" indent="2"/>
    </xf>
    <xf numFmtId="49" fontId="77" fillId="0" borderId="15" xfId="0" applyFont="1" applyBorder="1" applyNumberFormat="1">
      <alignment horizontal="left" vertical="center" wrapText="1"/>
    </xf>
    <xf numFmtId="0" fontId="23" fillId="0" borderId="18" xfId="0" applyFont="1" applyBorder="1">
      <alignment vertical="top" wrapText="1"/>
    </xf>
    <xf numFmtId="0" fontId="78" fillId="0" borderId="0" xfId="0" applyFont="1">
      <alignment vertical="center" wrapText="1"/>
    </xf>
    <xf numFmtId="49" fontId="49" fillId="40" borderId="16" xfId="0" applyFont="1" applyFill="1" applyBorder="1" applyNumberFormat="1">
      <alignment horizontal="left" vertical="center" indent="1"/>
    </xf>
    <xf numFmtId="0" fontId="23" fillId="0" borderId="24" xfId="0" applyFont="1" applyBorder="1">
      <alignment vertical="top" wrapText="1"/>
    </xf>
    <xf numFmtId="49" fontId="0" fillId="36" borderId="13" xfId="0" applyFont="1" applyFill="1" applyBorder="1" applyNumberFormat="1">
      <alignment horizontal="center" vertical="center" wrapText="1"/>
    </xf>
    <xf numFmtId="0" fontId="0" fillId="0" borderId="13" xfId="0" applyFont="1" applyBorder="1">
      <alignment horizontal="center" vertical="center" wrapText="1"/>
    </xf>
    <xf numFmtId="0" fontId="23" fillId="0" borderId="13" xfId="0" applyFont="1" applyBorder="1">
      <alignment vertical="center" wrapText="1"/>
    </xf>
    <xf numFmtId="0" fontId="0" fillId="0" borderId="13" xfId="0" applyFont="1" applyBorder="1">
      <alignment horizontal="left" vertical="center" wrapText="1" indent="1"/>
    </xf>
    <xf numFmtId="0" fontId="23" fillId="0" borderId="0" xfId="0" applyFont="1">
      <alignment vertical="top"/>
    </xf>
    <xf numFmtId="0" fontId="23" fillId="0" borderId="0" xfId="0" applyFont="1">
      <alignment vertical="top" wrapText="1"/>
    </xf>
    <xf numFmtId="0" fontId="23" fillId="0" borderId="0" xfId="0" applyFont="1">
      <alignment vertical="center"/>
    </xf>
    <xf numFmtId="49" fontId="23" fillId="0" borderId="0" xfId="0" applyFont="1" applyNumberFormat="1">
      <alignment vertical="center" wrapText="1"/>
    </xf>
    <xf numFmtId="0" fontId="55" fillId="0" borderId="0" xfId="0" applyFont="1">
      <alignment vertical="center" wrapText="1"/>
    </xf>
    <xf numFmtId="0" fontId="48" fillId="0" borderId="0" xfId="0" applyFont="1">
      <alignment vertical="center" wrapText="1"/>
    </xf>
    <xf numFmtId="0" fontId="23" fillId="0" borderId="0" xfId="0" applyFont="1">
      <alignment vertical="center" wrapText="1"/>
    </xf>
    <xf numFmtId="0" fontId="55" fillId="0" borderId="0" xfId="0" applyFont="1">
      <alignment horizontal="left" vertical="center" indent="1"/>
    </xf>
    <xf numFmtId="0" fontId="55" fillId="0" borderId="13" xfId="0" applyFont="1" applyBorder="1">
      <alignment horizontal="center" vertical="center"/>
    </xf>
    <xf numFmtId="0" fontId="55" fillId="0" borderId="0" xfId="0" applyFont="1">
      <alignment horizontal="center" vertical="center"/>
    </xf>
    <xf numFmtId="0" fontId="55" fillId="0" borderId="0" xfId="0" applyFont="1">
      <alignment horizontal="left" vertical="center" wrapText="1"/>
    </xf>
    <xf numFmtId="49" fontId="23" fillId="0" borderId="0" xfId="0" applyFont="1" applyNumberFormat="1">
      <alignment vertical="center" wrapText="1"/>
    </xf>
    <xf numFmtId="49" fontId="23" fillId="0" borderId="0" xfId="0" applyFont="1" applyNumberFormat="1">
      <alignment vertical="top"/>
    </xf>
    <xf numFmtId="49" fontId="23" fillId="0" borderId="25" xfId="0" applyFont="1" applyBorder="1" applyNumberFormat="1">
      <alignment vertical="top"/>
    </xf>
    <xf numFmtId="0" fontId="23" fillId="36" borderId="13" xfId="0" applyFont="1" applyFill="1" applyBorder="1">
      <alignment horizontal="left" vertical="center" wrapText="1"/>
    </xf>
    <xf numFmtId="0" fontId="23" fillId="0" borderId="13" xfId="0" applyFont="1" applyBorder="1">
      <alignment vertical="center" wrapText="1"/>
    </xf>
    <xf numFmtId="0" fontId="23" fillId="0" borderId="13" xfId="0" applyFont="1" applyBorder="1">
      <alignment horizontal="left" vertical="center" wrapText="1" indent="6"/>
    </xf>
    <xf numFmtId="4" fontId="129" fillId="38" borderId="15" xfId="0" applyFont="1" applyFill="1" applyBorder="1" applyNumberFormat="1">
      <alignment horizontal="left" vertical="center" wrapText="1"/>
    </xf>
    <xf numFmtId="4" fontId="129" fillId="38" borderId="16" xfId="0" applyFont="1" applyFill="1" applyBorder="1" applyNumberFormat="1">
      <alignment horizontal="left" vertical="center" wrapText="1"/>
    </xf>
    <xf numFmtId="4" fontId="129" fillId="38" borderId="14" xfId="0" applyFont="1" applyFill="1" applyBorder="1" applyNumberFormat="1">
      <alignment horizontal="left" vertical="center" wrapText="1"/>
    </xf>
    <xf numFmtId="0" fontId="54" fillId="0" borderId="13" xfId="0" applyFont="1" applyBorder="1">
      <alignment vertical="top" wrapText="1"/>
    </xf>
    <xf numFmtId="0" fontId="55" fillId="0" borderId="15" xfId="0" applyFont="1" applyBorder="1">
      <alignment horizontal="center" vertical="center"/>
    </xf>
    <xf numFmtId="0" fontId="23" fillId="0" borderId="0" xfId="0" applyFont="1">
      <alignment horizontal="center" vertical="center" wrapText="1"/>
    </xf>
    <xf numFmtId="0" fontId="51" fillId="36" borderId="0" xfId="0" applyFont="1" applyFill="1">
      <alignment horizontal="center" vertical="center" wrapText="1"/>
    </xf>
    <xf numFmtId="0" fontId="23" fillId="0" borderId="25" xfId="0" applyFont="1" applyBorder="1">
      <alignment vertical="center" wrapText="1"/>
    </xf>
    <xf numFmtId="0" fontId="23" fillId="36" borderId="13" xfId="0" applyFont="1" applyFill="1" applyBorder="1">
      <alignment horizontal="left" vertical="center" wrapText="1" indent="1"/>
    </xf>
    <xf numFmtId="0" fontId="46" fillId="0" borderId="0" xfId="0" applyFont="1">
      <alignment vertical="center" wrapText="1"/>
    </xf>
    <xf numFmtId="0" fontId="23" fillId="36" borderId="13" xfId="0" applyFont="1" applyFill="1" applyBorder="1">
      <alignment horizontal="left" vertical="center" wrapText="1" indent="2"/>
    </xf>
    <xf numFmtId="0" fontId="23" fillId="36" borderId="13" xfId="0" applyFont="1" applyFill="1" applyBorder="1">
      <alignment horizontal="left" vertical="center" wrapText="1" indent="3"/>
    </xf>
    <xf numFmtId="0" fontId="55" fillId="0" borderId="13" xfId="0" applyFont="1" applyBorder="1">
      <alignment horizontal="center" vertical="center" wrapText="1"/>
    </xf>
    <xf numFmtId="0" fontId="55" fillId="0" borderId="0" xfId="0" applyFont="1">
      <alignment vertical="center" wrapText="1"/>
    </xf>
    <xf numFmtId="0" fontId="56" fillId="0" borderId="0" xfId="0" applyFont="1">
      <alignment horizontal="center" vertical="center" wrapText="1"/>
    </xf>
    <xf numFmtId="0" fontId="56" fillId="0" borderId="0" xfId="0" applyFont="1">
      <alignment horizontal="center" vertical="center" wrapText="1"/>
    </xf>
    <xf numFmtId="0" fontId="56" fillId="0" borderId="25" xfId="0" applyFont="1" applyBorder="1">
      <alignment horizontal="center" vertical="center" wrapText="1"/>
    </xf>
    <xf numFmtId="0" fontId="23" fillId="36" borderId="13" xfId="0" applyFont="1" applyFill="1" applyBorder="1">
      <alignment horizontal="left" vertical="center" wrapText="1" indent="4"/>
    </xf>
    <xf numFmtId="0" fontId="23" fillId="42" borderId="15" xfId="0" applyFont="1" applyFill="1" applyBorder="1">
      <alignment horizontal="left" vertical="center" wrapText="1"/>
    </xf>
    <xf numFmtId="0" fontId="23" fillId="42" borderId="16" xfId="0" applyFont="1" applyFill="1" applyBorder="1">
      <alignment horizontal="left" vertical="center" wrapText="1"/>
    </xf>
    <xf numFmtId="0" fontId="23" fillId="42" borderId="14" xfId="0" applyFont="1" applyFill="1" applyBorder="1">
      <alignment horizontal="left" vertical="center" wrapText="1"/>
    </xf>
    <xf numFmtId="0" fontId="55" fillId="0" borderId="15" xfId="0" applyFont="1" applyBorder="1">
      <alignment horizontal="center" vertical="center" wrapText="1"/>
    </xf>
    <xf numFmtId="0" fontId="55" fillId="0" borderId="13" xfId="0" applyFont="1" applyBorder="1">
      <alignment horizontal="center" vertical="center" wrapText="1"/>
    </xf>
    <xf numFmtId="0" fontId="55" fillId="0" borderId="0" xfId="0" applyFont="1">
      <alignment vertical="center" wrapText="1"/>
    </xf>
    <xf numFmtId="0" fontId="56" fillId="0" borderId="25" xfId="0" applyFont="1" applyBorder="1">
      <alignment vertical="center" wrapText="1"/>
    </xf>
    <xf numFmtId="0" fontId="23" fillId="36" borderId="13" xfId="0" applyFont="1" applyFill="1" applyBorder="1">
      <alignment horizontal="left" vertical="center" wrapText="1" indent="5"/>
    </xf>
    <xf numFmtId="0" fontId="55" fillId="0" borderId="15" xfId="0" applyFont="1" applyBorder="1">
      <alignment horizontal="center" vertical="center" wrapText="1"/>
    </xf>
    <xf numFmtId="0" fontId="23" fillId="42" borderId="13" xfId="0" applyFont="1" applyFill="1" applyBorder="1">
      <alignment horizontal="left" vertical="center" wrapText="1" indent="6"/>
    </xf>
    <xf numFmtId="4" fontId="129" fillId="33" borderId="13" xfId="0" applyFont="1" applyFill="1" applyBorder="1" applyNumberFormat="1">
      <alignment horizontal="right" vertical="center" wrapText="1"/>
      <protection locked="0"/>
    </xf>
    <xf numFmtId="4" fontId="129" fillId="0" borderId="13" xfId="0" applyFont="1" applyBorder="1" applyNumberFormat="1">
      <alignment horizontal="right" vertical="center" wrapText="1"/>
    </xf>
    <xf numFmtId="247" fontId="129" fillId="33" borderId="13" xfId="0" applyFont="1" applyFill="1" applyBorder="1" applyNumberFormat="1">
      <alignment horizontal="right" vertical="center" wrapText="1"/>
      <protection locked="0"/>
    </xf>
    <xf numFmtId="250" fontId="0" fillId="41" borderId="13" xfId="0" applyFont="1" applyFill="1" applyBorder="1" applyNumberFormat="1">
      <alignment horizontal="center" vertical="center" wrapText="1"/>
      <protection locked="0"/>
    </xf>
    <xf numFmtId="0" fontId="54" fillId="0" borderId="18" xfId="0" applyFont="1" applyBorder="1">
      <alignment horizontal="left" vertical="top" wrapText="1"/>
    </xf>
    <xf numFmtId="49" fontId="23" fillId="0" borderId="13" xfId="0" applyFont="1" applyBorder="1" applyNumberFormat="1">
      <alignment horizontal="left" vertical="center" wrapText="1"/>
    </xf>
    <xf numFmtId="4" fontId="131" fillId="0" borderId="13" xfId="0" applyFont="1" applyBorder="1" applyNumberFormat="1">
      <alignment horizontal="center" vertical="center" wrapText="1"/>
    </xf>
    <xf numFmtId="49" fontId="0" fillId="41" borderId="13" xfId="0" applyFont="1" applyFill="1" applyBorder="1" applyNumberFormat="1">
      <alignment horizontal="center" vertical="center" wrapText="1"/>
      <protection locked="0"/>
    </xf>
    <xf numFmtId="0" fontId="54" fillId="0" borderId="37" xfId="0" applyFont="1" applyBorder="1">
      <alignment horizontal="left" vertical="top" wrapText="1"/>
    </xf>
    <xf numFmtId="49" fontId="76" fillId="40" borderId="15" xfId="0" applyFont="1" applyFill="1" applyBorder="1" applyNumberFormat="1">
      <alignment horizontal="left" vertical="center"/>
    </xf>
    <xf numFmtId="49" fontId="49" fillId="40" borderId="16" xfId="0" applyFont="1" applyFill="1" applyBorder="1" applyNumberFormat="1">
      <alignment horizontal="left" vertical="center" indent="6"/>
    </xf>
    <xf numFmtId="49" fontId="23" fillId="40" borderId="14" xfId="0" applyFont="1" applyFill="1" applyBorder="1" applyNumberFormat="1">
      <alignment horizontal="center" vertical="center" wrapText="1"/>
    </xf>
    <xf numFmtId="0" fontId="54" fillId="0" borderId="24" xfId="0" applyFont="1" applyBorder="1">
      <alignment horizontal="left" vertical="top" wrapText="1"/>
    </xf>
    <xf numFmtId="49" fontId="49" fillId="40" borderId="16" xfId="0" applyFont="1" applyFill="1" applyBorder="1" applyNumberFormat="1">
      <alignment horizontal="left" vertical="center" indent="5"/>
    </xf>
    <xf numFmtId="49" fontId="0" fillId="40" borderId="16" xfId="0" applyFont="1" applyFill="1" applyBorder="1" applyNumberFormat="1">
      <alignment horizontal="center" vertical="center" wrapText="1"/>
    </xf>
    <xf numFmtId="49" fontId="0" fillId="40" borderId="14" xfId="0" applyFont="1" applyFill="1" applyBorder="1" applyNumberFormat="1">
      <alignment horizontal="center" vertical="center" wrapText="1"/>
    </xf>
    <xf numFmtId="49" fontId="48" fillId="0" borderId="0" xfId="0" applyFont="1" applyNumberFormat="1">
      <alignment vertical="top"/>
    </xf>
    <xf numFmtId="49" fontId="49" fillId="40" borderId="16" xfId="0" applyFont="1" applyFill="1" applyBorder="1" applyNumberFormat="1">
      <alignment horizontal="left" vertical="center" indent="4"/>
    </xf>
    <xf numFmtId="0" fontId="56" fillId="0" borderId="0" xfId="0" applyFont="1">
      <alignment vertical="center" wrapText="1"/>
    </xf>
    <xf numFmtId="0" fontId="56" fillId="0" borderId="0" xfId="0" applyFont="1">
      <alignment horizontal="left" vertical="center" indent="1"/>
    </xf>
    <xf numFmtId="0" fontId="56" fillId="0" borderId="0" xfId="0" applyFont="1">
      <alignment horizontal="center" vertical="center"/>
    </xf>
    <xf numFmtId="0" fontId="56" fillId="0" borderId="0" xfId="0" applyFont="1">
      <alignment horizontal="left" vertical="center" wrapText="1"/>
    </xf>
    <xf numFmtId="49" fontId="56" fillId="0" borderId="0" xfId="0" applyFont="1" applyNumberFormat="1">
      <alignment vertical="top"/>
    </xf>
    <xf numFmtId="49" fontId="114" fillId="0" borderId="0" xfId="0" applyFont="1" applyNumberFormat="1">
      <alignment vertical="top"/>
    </xf>
    <xf numFmtId="49" fontId="103" fillId="0" borderId="20" xfId="0" applyFont="1" applyBorder="1" applyNumberFormat="1">
      <alignment horizontal="left" vertical="center"/>
    </xf>
    <xf numFmtId="49" fontId="56" fillId="0" borderId="20" xfId="0" applyFont="1" applyBorder="1" applyNumberFormat="1">
      <alignment horizontal="left" vertical="center" indent="3"/>
    </xf>
    <xf numFmtId="49" fontId="56" fillId="0" borderId="20" xfId="0" applyFont="1" applyBorder="1" applyNumberFormat="1">
      <alignment horizontal="center" vertical="center" wrapText="1"/>
    </xf>
    <xf numFmtId="49" fontId="56" fillId="0" borderId="0" xfId="0" applyFont="1" applyNumberFormat="1">
      <alignment horizontal="left" vertical="center"/>
    </xf>
    <xf numFmtId="49" fontId="103" fillId="0" borderId="0" xfId="0" applyFont="1" applyNumberFormat="1">
      <alignment horizontal="left" vertical="center"/>
    </xf>
    <xf numFmtId="49" fontId="56" fillId="0" borderId="0" xfId="0" applyFont="1" applyNumberFormat="1">
      <alignment horizontal="left" vertical="center" indent="2"/>
    </xf>
    <xf numFmtId="49" fontId="56" fillId="0" borderId="0" xfId="0" applyFont="1" applyNumberFormat="1">
      <alignment horizontal="center" vertical="center" wrapText="1"/>
    </xf>
    <xf numFmtId="49" fontId="56" fillId="0" borderId="0" xfId="0" applyFont="1" applyNumberFormat="1">
      <alignment horizontal="left" vertical="center" indent="1"/>
    </xf>
    <xf numFmtId="49" fontId="23" fillId="0" borderId="0" xfId="0" applyFont="1" applyNumberFormat="1">
      <alignment vertical="center" wrapText="1"/>
    </xf>
    <xf numFmtId="4" fontId="130" fillId="0" borderId="13" xfId="0" applyFont="1" applyBorder="1" applyNumberFormat="1">
      <alignment horizontal="right" vertical="center" wrapText="1"/>
    </xf>
    <xf numFmtId="247" fontId="130" fillId="0" borderId="13" xfId="0" applyFont="1" applyBorder="1" applyNumberFormat="1">
      <alignment horizontal="right" vertical="center" wrapText="1"/>
    </xf>
    <xf numFmtId="250" fontId="55" fillId="0" borderId="13" xfId="0" applyFont="1" applyBorder="1" applyNumberFormat="1">
      <alignment horizontal="center" vertical="center" wrapText="1"/>
    </xf>
    <xf numFmtId="49" fontId="55" fillId="0" borderId="13" xfId="0" applyFont="1" applyBorder="1" applyNumberFormat="1">
      <alignment horizontal="center" vertical="center" wrapText="1"/>
    </xf>
    <xf numFmtId="0" fontId="55" fillId="0" borderId="0" xfId="0" applyFont="1">
      <alignment vertical="center" wrapText="1"/>
    </xf>
    <xf numFmtId="0" fontId="55" fillId="0" borderId="0" xfId="0" applyFont="1">
      <alignment horizontal="center" vertical="center" wrapText="1"/>
    </xf>
    <xf numFmtId="49" fontId="55" fillId="0" borderId="0" xfId="0" applyFont="1" applyNumberFormat="1">
      <alignment vertical="center" wrapText="1"/>
    </xf>
    <xf numFmtId="49" fontId="55" fillId="0" borderId="13" xfId="0" applyFont="1" applyBorder="1" applyNumberFormat="1">
      <alignment vertical="center" wrapText="1"/>
    </xf>
    <xf numFmtId="0" fontId="75" fillId="0" borderId="0" xfId="0" applyFont="1">
      <alignment vertical="center" wrapText="1"/>
    </xf>
    <xf numFmtId="0" fontId="55" fillId="0" borderId="0" xfId="0" applyFont="1">
      <alignment horizontal="left" vertical="center" wrapText="1"/>
    </xf>
    <xf numFmtId="0" fontId="23" fillId="36" borderId="0" xfId="0" applyFont="1" applyFill="1">
      <alignment horizontal="left" vertical="center" wrapText="1"/>
    </xf>
    <xf numFmtId="0" fontId="22" fillId="0" borderId="20" xfId="0" applyFont="1" applyBorder="1">
      <alignment horizontal="left" vertical="center" wrapText="1" indent="1"/>
    </xf>
    <xf numFmtId="0" fontId="22" fillId="0" borderId="0" xfId="0" applyFont="1">
      <alignment vertical="center" wrapText="1"/>
    </xf>
    <xf numFmtId="0" fontId="22" fillId="0" borderId="29" xfId="0" applyFont="1" applyBorder="1">
      <alignment horizontal="left" vertical="center" wrapText="1" indent="1"/>
    </xf>
    <xf numFmtId="0" fontId="35" fillId="36" borderId="0" xfId="0" applyFont="1" applyFill="1">
      <alignment horizontal="center" vertical="center" wrapText="1"/>
    </xf>
    <xf numFmtId="0" fontId="0" fillId="0" borderId="0" xfId="0" applyFont="1">
      <alignment vertical="center"/>
    </xf>
    <xf numFmtId="0" fontId="55" fillId="0" borderId="0" xfId="0" applyFont="1">
      <alignment vertical="center"/>
    </xf>
    <xf numFmtId="0" fontId="55" fillId="0" borderId="0" xfId="0" applyFont="1">
      <alignment horizontal="center" vertical="center"/>
    </xf>
    <xf numFmtId="0" fontId="0" fillId="36" borderId="13" xfId="0" applyFont="1" applyFill="1" applyBorder="1">
      <alignment horizontal="right" vertical="center" wrapText="1" indent="1"/>
    </xf>
    <xf numFmtId="0" fontId="0" fillId="0" borderId="16" xfId="0" applyFont="1" applyBorder="1">
      <alignment vertical="center"/>
    </xf>
    <xf numFmtId="0" fontId="23" fillId="38" borderId="13" xfId="0" applyFont="1" applyFill="1" applyBorder="1">
      <alignment horizontal="left" vertical="center" wrapText="1" indent="1"/>
    </xf>
    <xf numFmtId="0" fontId="23" fillId="0" borderId="0" xfId="0" applyFont="1">
      <alignment vertical="center" wrapText="1"/>
    </xf>
    <xf numFmtId="0" fontId="74" fillId="0" borderId="0" xfId="0" applyFont="1">
      <alignment vertical="center"/>
    </xf>
    <xf numFmtId="0" fontId="56" fillId="0" borderId="0" xfId="0" applyFont="1">
      <alignment vertical="center"/>
    </xf>
    <xf numFmtId="49" fontId="23" fillId="0" borderId="0" xfId="0" applyFont="1" applyNumberFormat="1">
      <alignment vertical="center" wrapText="1"/>
    </xf>
    <xf numFmtId="0" fontId="23" fillId="0" borderId="0" xfId="0" applyFont="1">
      <alignment horizontal="right" vertical="center" wrapText="1"/>
    </xf>
    <xf numFmtId="0" fontId="56" fillId="0" borderId="0" xfId="0" applyFont="1">
      <alignment vertical="center" wrapText="1"/>
    </xf>
    <xf numFmtId="0" fontId="23" fillId="36" borderId="29" xfId="0" applyFont="1" applyFill="1" applyBorder="1">
      <alignment vertical="center" wrapText="1"/>
    </xf>
    <xf numFmtId="0" fontId="46" fillId="0" borderId="29" xfId="0" applyFont="1" applyBorder="1">
      <alignment horizontal="center" vertical="center" wrapText="1"/>
    </xf>
    <xf numFmtId="0" fontId="23" fillId="36" borderId="13" xfId="0" applyFont="1" applyFill="1" applyBorder="1">
      <alignment horizontal="left" vertical="center" wrapText="1"/>
    </xf>
    <xf numFmtId="0" fontId="23" fillId="0" borderId="18" xfId="0" applyFont="1" applyBorder="1">
      <alignment vertical="center" wrapText="1"/>
    </xf>
    <xf numFmtId="0" fontId="0" fillId="36" borderId="15" xfId="0" applyFont="1" applyFill="1" applyBorder="1">
      <alignment horizontal="center" vertical="center" wrapText="1"/>
    </xf>
    <xf numFmtId="0" fontId="0" fillId="36" borderId="16" xfId="0" applyFont="1" applyFill="1" applyBorder="1">
      <alignment horizontal="center" vertical="center" wrapText="1"/>
    </xf>
    <xf numFmtId="0" fontId="0" fillId="36" borderId="14" xfId="0" applyFont="1" applyFill="1" applyBorder="1">
      <alignment horizontal="center" vertical="center" wrapText="1"/>
    </xf>
    <xf numFmtId="0" fontId="23" fillId="36" borderId="18" xfId="0" applyFont="1" applyFill="1" applyBorder="1">
      <alignment horizontal="center" vertical="center" wrapText="1"/>
    </xf>
    <xf numFmtId="49" fontId="49" fillId="40" borderId="18" xfId="0" applyFont="1" applyFill="1" applyBorder="1" applyNumberFormat="1">
      <alignment horizontal="center" vertical="center" textRotation="90" wrapText="1"/>
    </xf>
    <xf numFmtId="0" fontId="23" fillId="0" borderId="37" xfId="0" applyFont="1" applyBorder="1">
      <alignment vertical="center" wrapText="1"/>
    </xf>
    <xf numFmtId="0" fontId="23" fillId="0" borderId="18" xfId="0" applyFont="1" applyBorder="1">
      <alignment horizontal="center" vertical="center" wrapText="1"/>
    </xf>
    <xf numFmtId="0" fontId="55" fillId="0" borderId="18" xfId="0" applyFont="1" applyBorder="1">
      <alignment horizontal="center" vertical="center" wrapText="1"/>
    </xf>
    <xf numFmtId="0" fontId="23" fillId="0" borderId="15" xfId="0" applyFont="1" applyBorder="1">
      <alignment horizontal="center" vertical="center" wrapText="1"/>
    </xf>
    <xf numFmtId="0" fontId="23" fillId="0" borderId="14" xfId="0" applyFont="1" applyBorder="1">
      <alignment horizontal="center" vertical="center" wrapText="1"/>
    </xf>
    <xf numFmtId="0" fontId="23" fillId="0" borderId="15" xfId="0" applyFont="1" applyBorder="1">
      <alignment horizontal="center" vertical="center" wrapText="1"/>
    </xf>
    <xf numFmtId="0" fontId="23" fillId="0" borderId="16" xfId="0" applyFont="1" applyBorder="1">
      <alignment horizontal="center" vertical="center" wrapText="1"/>
    </xf>
    <xf numFmtId="0" fontId="23" fillId="0" borderId="14" xfId="0" applyFont="1" applyBorder="1">
      <alignment horizontal="center" vertical="center" wrapText="1"/>
    </xf>
    <xf numFmtId="0" fontId="23" fillId="36" borderId="37" xfId="0" applyFont="1" applyFill="1" applyBorder="1">
      <alignment horizontal="center" vertical="center" wrapText="1"/>
    </xf>
    <xf numFmtId="49" fontId="49" fillId="40" borderId="37" xfId="0" applyFont="1" applyFill="1" applyBorder="1" applyNumberFormat="1">
      <alignment horizontal="center" vertical="center" textRotation="90" wrapText="1"/>
    </xf>
    <xf numFmtId="0" fontId="23" fillId="0" borderId="24" xfId="0" applyFont="1" applyBorder="1">
      <alignment vertical="center" wrapText="1"/>
    </xf>
    <xf numFmtId="0" fontId="23" fillId="0" borderId="24" xfId="0" applyFont="1" applyBorder="1">
      <alignment horizontal="center" vertical="center" wrapText="1"/>
    </xf>
    <xf numFmtId="0" fontId="55" fillId="0" borderId="24" xfId="0" applyFont="1" applyBorder="1">
      <alignment horizontal="center" vertical="center" wrapText="1"/>
    </xf>
    <xf numFmtId="0" fontId="0" fillId="0" borderId="13" xfId="0" applyFont="1" applyBorder="1">
      <alignment horizontal="center" vertical="center" wrapText="1"/>
    </xf>
    <xf numFmtId="0" fontId="0" fillId="0" borderId="13" xfId="0" applyFont="1" applyBorder="1">
      <alignment horizontal="center" vertical="center" wrapText="1"/>
    </xf>
    <xf numFmtId="0" fontId="0" fillId="0" borderId="15" xfId="0" applyFont="1" applyBorder="1">
      <alignment horizontal="center" vertical="center" wrapText="1"/>
    </xf>
    <xf numFmtId="0" fontId="0" fillId="0" borderId="14" xfId="0" applyFont="1" applyBorder="1">
      <alignment horizontal="center" vertical="center" wrapText="1"/>
    </xf>
    <xf numFmtId="0" fontId="23" fillId="36" borderId="24" xfId="0" applyFont="1" applyFill="1" applyBorder="1">
      <alignment horizontal="center" vertical="center" wrapText="1"/>
    </xf>
    <xf numFmtId="0" fontId="0" fillId="0" borderId="13" xfId="0" applyFont="1" applyBorder="1">
      <alignment horizontal="center" vertical="center" wrapText="1"/>
    </xf>
    <xf numFmtId="49" fontId="49" fillId="40" borderId="24" xfId="0" applyFont="1" applyFill="1" applyBorder="1" applyNumberFormat="1">
      <alignment horizontal="center" vertical="center" textRotation="90" wrapText="1"/>
    </xf>
    <xf numFmtId="49" fontId="79" fillId="0" borderId="0" xfId="0" applyFont="1" applyNumberFormat="1">
      <alignment vertical="center" wrapText="1"/>
    </xf>
    <xf numFmtId="0" fontId="113" fillId="36" borderId="0" xfId="0" applyFont="1" applyFill="1">
      <alignment vertical="center" wrapText="1"/>
    </xf>
    <xf numFmtId="0" fontId="114" fillId="36" borderId="0" xfId="0" applyFont="1" applyFill="1">
      <alignment vertical="center" wrapText="1"/>
    </xf>
    <xf numFmtId="49" fontId="86" fillId="36" borderId="20" xfId="0" applyFont="1" applyFill="1" applyBorder="1" applyNumberFormat="1">
      <alignment horizontal="left" vertical="center" wrapText="1"/>
    </xf>
    <xf numFmtId="49" fontId="86" fillId="36" borderId="20" xfId="0" applyFont="1" applyFill="1" applyBorder="1" applyNumberFormat="1">
      <alignment horizontal="center" vertical="center" wrapText="1"/>
    </xf>
    <xf numFmtId="0" fontId="56" fillId="36" borderId="20" xfId="0" applyFont="1" applyFill="1" applyBorder="1">
      <alignment horizontal="center" vertical="center" wrapText="1"/>
    </xf>
    <xf numFmtId="0" fontId="86" fillId="36" borderId="20" xfId="0" applyFont="1" applyFill="1" applyBorder="1">
      <alignment horizontal="center" vertical="center" wrapText="1"/>
    </xf>
    <xf numFmtId="0" fontId="86" fillId="36" borderId="20" xfId="0" applyFont="1" applyFill="1" applyBorder="1">
      <alignment horizontal="center" vertical="center" wrapText="1"/>
    </xf>
    <xf numFmtId="0" fontId="86" fillId="36" borderId="20" xfId="0" applyFont="1" applyFill="1" applyBorder="1">
      <alignment horizontal="center" vertical="center" wrapText="1"/>
    </xf>
    <xf numFmtId="0" fontId="23" fillId="36" borderId="13" xfId="0" applyFont="1" applyFill="1" applyBorder="1">
      <alignment horizontal="left" vertical="center" wrapText="1"/>
    </xf>
    <xf numFmtId="0" fontId="23" fillId="0" borderId="0" xfId="0" applyFont="1">
      <alignment horizontal="center" vertical="center" wrapText="1"/>
    </xf>
    <xf numFmtId="0" fontId="56" fillId="0" borderId="0" xfId="0" applyFont="1">
      <alignment horizontal="center" vertical="center" wrapText="1"/>
    </xf>
    <xf numFmtId="250" fontId="0" fillId="41" borderId="18" xfId="0" applyFont="1" applyFill="1" applyBorder="1" applyNumberFormat="1">
      <alignment horizontal="center" vertical="center" wrapText="1"/>
      <protection locked="0"/>
    </xf>
    <xf numFmtId="4" fontId="129" fillId="0" borderId="18" xfId="0" applyFont="1" applyBorder="1" applyNumberFormat="1">
      <alignment horizontal="right" vertical="center" wrapText="1"/>
    </xf>
    <xf numFmtId="49" fontId="23" fillId="0" borderId="13" xfId="0" applyFont="1" applyBorder="1" applyNumberFormat="1">
      <alignment horizontal="left" vertical="center" wrapText="1"/>
    </xf>
    <xf numFmtId="49" fontId="0" fillId="41" borderId="24" xfId="0" applyFont="1" applyFill="1" applyBorder="1" applyNumberFormat="1">
      <alignment horizontal="center" vertical="center" wrapText="1"/>
      <protection locked="0"/>
    </xf>
    <xf numFmtId="4" fontId="129" fillId="0" borderId="24" xfId="0" applyFont="1" applyBorder="1" applyNumberFormat="1">
      <alignment horizontal="right" vertical="center" wrapText="1"/>
    </xf>
    <xf numFmtId="0" fontId="56" fillId="0" borderId="0" xfId="0" applyFont="1">
      <alignment vertical="center" wrapText="1"/>
    </xf>
    <xf numFmtId="0" fontId="56" fillId="0" borderId="0" xfId="0" applyFont="1">
      <alignment horizontal="center" vertical="center"/>
    </xf>
    <xf numFmtId="0" fontId="56" fillId="0" borderId="0" xfId="0" applyFont="1">
      <alignment vertical="center" wrapText="1"/>
    </xf>
    <xf numFmtId="49" fontId="56" fillId="0" borderId="0" xfId="0" applyFont="1" applyNumberFormat="1">
      <alignment vertical="top"/>
    </xf>
    <xf numFmtId="49" fontId="114" fillId="0" borderId="0" xfId="0" applyFont="1" applyNumberFormat="1">
      <alignment vertical="top"/>
    </xf>
    <xf numFmtId="0" fontId="23" fillId="0" borderId="0" xfId="0" applyFont="1">
      <alignment horizontal="right" vertical="top" wrapText="1"/>
    </xf>
    <xf numFmtId="0" fontId="23" fillId="0" borderId="0" xfId="0" applyFont="1">
      <alignment horizontal="left" vertical="top" wrapText="1"/>
    </xf>
    <xf numFmtId="49" fontId="23" fillId="0" borderId="0" xfId="0" applyFont="1" applyNumberFormat="1">
      <alignment vertical="center" wrapText="1"/>
    </xf>
    <xf numFmtId="0" fontId="55" fillId="0" borderId="0" xfId="0" applyFont="1">
      <alignment horizontal="center" vertical="center" wrapText="1"/>
    </xf>
    <xf numFmtId="49" fontId="55" fillId="0" borderId="0" xfId="0" applyFont="1" applyNumberFormat="1">
      <alignment vertical="center" wrapText="1"/>
    </xf>
    <xf numFmtId="49" fontId="23" fillId="0" borderId="0" xfId="0" applyFont="1" applyNumberFormat="1">
      <alignment vertical="center" wrapText="1"/>
    </xf>
    <xf numFmtId="0" fontId="48" fillId="0" borderId="0" xfId="0" applyFont="1">
      <alignment vertical="center" wrapText="1"/>
    </xf>
    <xf numFmtId="0" fontId="23" fillId="0" borderId="0" xfId="0" applyFont="1">
      <alignment horizontal="left" vertical="center" wrapText="1"/>
    </xf>
    <xf numFmtId="0" fontId="23" fillId="36" borderId="13" xfId="0" applyFont="1" applyFill="1" applyBorder="1">
      <alignment horizontal="left" vertical="center" wrapText="1"/>
    </xf>
    <xf numFmtId="0" fontId="23" fillId="0" borderId="0" xfId="0" applyFont="1">
      <alignment horizontal="center" vertical="center" wrapText="1"/>
    </xf>
    <xf numFmtId="0" fontId="56" fillId="0" borderId="0" xfId="0" applyFont="1">
      <alignment horizontal="center" vertical="center" wrapText="1"/>
    </xf>
    <xf numFmtId="49" fontId="23" fillId="0" borderId="13" xfId="0" applyFont="1" applyBorder="1" applyNumberFormat="1">
      <alignment horizontal="left" vertical="center" wrapText="1"/>
    </xf>
    <xf numFmtId="0" fontId="23" fillId="0" borderId="0" xfId="0" applyFont="1">
      <alignment horizontal="right" vertical="center" wrapText="1"/>
    </xf>
    <xf numFmtId="0" fontId="0" fillId="0" borderId="13" xfId="0" applyFont="1" applyBorder="1">
      <alignment horizontal="center" vertical="center" wrapText="1"/>
    </xf>
    <xf numFmtId="0" fontId="86" fillId="36" borderId="20" xfId="0" applyFont="1" applyFill="1" applyBorder="1">
      <alignment horizontal="center" vertical="center" wrapText="1"/>
    </xf>
    <xf numFmtId="49" fontId="23" fillId="0" borderId="0" xfId="0" applyFont="1" applyNumberFormat="1">
      <alignment vertical="center" wrapText="1"/>
    </xf>
    <xf numFmtId="247" fontId="129" fillId="0" borderId="13" xfId="0" applyFont="1" applyBorder="1" applyNumberFormat="1">
      <alignment horizontal="right" vertical="center" wrapText="1"/>
    </xf>
    <xf numFmtId="0" fontId="0" fillId="36" borderId="20" xfId="0" applyFont="1" applyFill="1" applyBorder="1">
      <alignment horizontal="center" vertical="center" wrapText="1"/>
    </xf>
    <xf numFmtId="0" fontId="56" fillId="0" borderId="18" xfId="0" applyFont="1" applyBorder="1">
      <alignment horizontal="center" vertical="center" wrapText="1"/>
    </xf>
    <xf numFmtId="0" fontId="23" fillId="0" borderId="38" xfId="0" applyFont="1" applyBorder="1">
      <alignment horizontal="center" vertical="center" wrapText="1"/>
    </xf>
    <xf numFmtId="0" fontId="56" fillId="0" borderId="13" xfId="0" applyFont="1" applyBorder="1">
      <alignment vertical="center" wrapText="1"/>
    </xf>
    <xf numFmtId="0" fontId="23" fillId="0" borderId="0" xfId="0" applyFont="1">
      <alignment vertical="center"/>
    </xf>
    <xf numFmtId="0" fontId="56" fillId="0" borderId="24" xfId="0" applyFont="1" applyBorder="1">
      <alignment horizontal="center" vertical="center" wrapText="1"/>
    </xf>
    <xf numFmtId="0" fontId="23" fillId="0" borderId="28" xfId="0" applyFont="1" applyBorder="1">
      <alignment horizontal="center" vertical="center" wrapText="1"/>
    </xf>
    <xf numFmtId="0" fontId="56" fillId="0" borderId="13" xfId="0" applyFont="1" applyBorder="1">
      <alignment horizontal="center" vertical="center" wrapText="1"/>
    </xf>
    <xf numFmtId="0" fontId="0" fillId="0" borderId="14" xfId="0" applyFont="1" applyBorder="1">
      <alignment horizontal="center" vertical="center" wrapText="1"/>
    </xf>
    <xf numFmtId="0" fontId="86" fillId="36" borderId="0" xfId="0" applyFont="1" applyFill="1">
      <alignment horizontal="center" vertical="center" wrapText="1"/>
    </xf>
    <xf numFmtId="0" fontId="56" fillId="0" borderId="13" xfId="0" applyFont="1" applyBorder="1">
      <alignment horizontal="left" vertical="center" wrapText="1" indent="4"/>
    </xf>
    <xf numFmtId="0" fontId="56" fillId="0" borderId="13" xfId="0" applyFont="1" applyBorder="1">
      <alignment horizontal="left" vertical="center" wrapText="1" indent="6"/>
    </xf>
    <xf numFmtId="0" fontId="56" fillId="0" borderId="15" xfId="0" applyFont="1" applyBorder="1">
      <alignment horizontal="left" vertical="center" wrapText="1"/>
    </xf>
    <xf numFmtId="0" fontId="56" fillId="0" borderId="16" xfId="0" applyFont="1" applyBorder="1">
      <alignment horizontal="left" vertical="center" wrapText="1"/>
    </xf>
    <xf numFmtId="0" fontId="56" fillId="0" borderId="14" xfId="0" applyFont="1" applyBorder="1">
      <alignment horizontal="left" vertical="center" wrapText="1"/>
    </xf>
    <xf numFmtId="0" fontId="56" fillId="0" borderId="13" xfId="0" applyFont="1" applyBorder="1">
      <alignment vertical="top" wrapText="1"/>
    </xf>
    <xf numFmtId="49" fontId="103" fillId="0" borderId="15" xfId="0" applyFont="1" applyBorder="1" applyNumberFormat="1">
      <alignment horizontal="left" vertical="center"/>
    </xf>
    <xf numFmtId="49" fontId="56" fillId="0" borderId="16" xfId="0" applyFont="1" applyBorder="1" applyNumberFormat="1">
      <alignment horizontal="left" vertical="center" indent="4"/>
    </xf>
    <xf numFmtId="49" fontId="56" fillId="0" borderId="16" xfId="0" applyFont="1" applyBorder="1" applyNumberFormat="1">
      <alignment horizontal="center" vertical="center" wrapText="1"/>
    </xf>
    <xf numFmtId="49" fontId="56" fillId="0" borderId="14" xfId="0" applyFont="1" applyBorder="1" applyNumberFormat="1">
      <alignment horizontal="center" vertical="center" wrapText="1"/>
    </xf>
    <xf numFmtId="49" fontId="56" fillId="0" borderId="0" xfId="0" applyFont="1" applyNumberFormat="1">
      <alignment vertical="center" wrapText="1"/>
    </xf>
    <xf numFmtId="0" fontId="0" fillId="0" borderId="0" xfId="0" applyFont="1">
      <alignment horizontal="left" vertical="top" wrapText="1"/>
    </xf>
    <xf numFmtId="0" fontId="23" fillId="0" borderId="13" xfId="0" applyFont="1" applyBorder="1">
      <alignment horizontal="center" vertical="center"/>
    </xf>
    <xf numFmtId="0" fontId="23" fillId="0" borderId="0" xfId="0" applyFont="1">
      <alignment horizontal="center" vertical="center"/>
    </xf>
    <xf numFmtId="0" fontId="23" fillId="0" borderId="0" xfId="0" applyFont="1">
      <alignment horizontal="left" vertical="center" wrapText="1"/>
    </xf>
    <xf numFmtId="0" fontId="23" fillId="0" borderId="15" xfId="0" applyFont="1" applyBorder="1">
      <alignment horizontal="center" vertical="center"/>
    </xf>
    <xf numFmtId="0" fontId="23" fillId="0" borderId="13" xfId="0" applyFont="1" applyBorder="1">
      <alignment horizontal="center" vertical="center" wrapText="1"/>
    </xf>
    <xf numFmtId="0" fontId="23" fillId="42" borderId="20" xfId="0" applyFont="1" applyFill="1" applyBorder="1">
      <alignment horizontal="left" vertical="center" wrapText="1"/>
    </xf>
    <xf numFmtId="0" fontId="23" fillId="42" borderId="21" xfId="0" applyFont="1" applyFill="1" applyBorder="1">
      <alignment horizontal="left" vertical="center" wrapText="1"/>
    </xf>
    <xf numFmtId="0" fontId="23" fillId="0" borderId="15" xfId="0" applyFont="1" applyBorder="1">
      <alignment horizontal="center" vertical="center" wrapText="1"/>
    </xf>
    <xf numFmtId="0" fontId="23" fillId="0" borderId="0" xfId="0" applyFont="1">
      <alignment horizontal="center" vertical="center" wrapText="1"/>
    </xf>
    <xf numFmtId="247" fontId="129" fillId="33" borderId="15" xfId="0" applyFont="1" applyFill="1" applyBorder="1" applyNumberFormat="1">
      <alignment horizontal="right" vertical="center" wrapText="1"/>
      <protection locked="0"/>
    </xf>
    <xf numFmtId="4" fontId="129" fillId="33" borderId="14" xfId="0" applyFont="1" applyFill="1" applyBorder="1" applyNumberFormat="1">
      <alignment horizontal="right" vertical="center" wrapText="1"/>
      <protection locked="0"/>
    </xf>
    <xf numFmtId="0" fontId="54" fillId="0" borderId="18" xfId="0" applyFont="1" applyBorder="1">
      <alignment vertical="top" wrapText="1"/>
    </xf>
    <xf numFmtId="0" fontId="23" fillId="33" borderId="13" xfId="0" applyFont="1" applyFill="1" applyBorder="1">
      <alignment horizontal="left" vertical="center" wrapText="1" indent="7"/>
      <protection locked="0"/>
    </xf>
    <xf numFmtId="49" fontId="0" fillId="41" borderId="13" xfId="0" applyFont="1" applyFill="1" applyBorder="1" applyNumberFormat="1">
      <alignment horizontal="center" vertical="center" wrapText="1"/>
      <protection locked="0"/>
    </xf>
    <xf numFmtId="4" fontId="131" fillId="0" borderId="15" xfId="0" applyFont="1" applyBorder="1" applyNumberFormat="1">
      <alignment horizontal="center" vertical="center" wrapText="1"/>
    </xf>
    <xf numFmtId="4" fontId="129" fillId="0" borderId="14" xfId="0" applyFont="1" applyBorder="1" applyNumberFormat="1">
      <alignment horizontal="right" vertical="center" wrapText="1"/>
    </xf>
    <xf numFmtId="0" fontId="23" fillId="40" borderId="16" xfId="0" applyFont="1" applyFill="1" applyBorder="1">
      <alignment horizontal="left" vertical="center" wrapText="1" indent="6"/>
    </xf>
    <xf numFmtId="4" fontId="129" fillId="40" borderId="16" xfId="0" applyFont="1" applyFill="1" applyBorder="1" applyNumberFormat="1">
      <alignment horizontal="right" vertical="center" wrapText="1"/>
    </xf>
    <xf numFmtId="4" fontId="131" fillId="40" borderId="16" xfId="0" applyFont="1" applyFill="1" applyBorder="1" applyNumberFormat="1">
      <alignment horizontal="center" vertical="center" wrapText="1"/>
    </xf>
    <xf numFmtId="4" fontId="129" fillId="40" borderId="14" xfId="0" applyFont="1" applyFill="1" applyBorder="1" applyNumberFormat="1">
      <alignment horizontal="right" vertical="center" wrapText="1"/>
    </xf>
    <xf numFmtId="49" fontId="23" fillId="40" borderId="29" xfId="0" applyFont="1" applyFill="1" applyBorder="1" applyNumberFormat="1">
      <alignment horizontal="center" vertical="center" wrapText="1"/>
    </xf>
    <xf numFmtId="0" fontId="79" fillId="0" borderId="0" xfId="0" applyFont="1">
      <alignment horizontal="left" vertical="center" indent="1"/>
    </xf>
    <xf numFmtId="0" fontId="79" fillId="0" borderId="0" xfId="0" applyFont="1">
      <alignment horizontal="center" vertical="center"/>
    </xf>
    <xf numFmtId="0" fontId="79" fillId="0" borderId="0" xfId="0" applyFont="1">
      <alignment horizontal="left" vertical="center" wrapText="1"/>
    </xf>
    <xf numFmtId="0" fontId="79" fillId="0" borderId="0" xfId="0" applyFont="1">
      <alignment vertical="center" wrapText="1"/>
    </xf>
    <xf numFmtId="49" fontId="79" fillId="0" borderId="0" xfId="0" applyFont="1" applyNumberFormat="1">
      <alignment horizontal="left" vertical="center"/>
    </xf>
    <xf numFmtId="0" fontId="23" fillId="0" borderId="0" xfId="0" applyFont="1">
      <alignment horizontal="center" vertical="center" wrapText="1"/>
    </xf>
    <xf numFmtId="49" fontId="23" fillId="0" borderId="13" xfId="0" applyFont="1" applyBorder="1" applyNumberFormat="1">
      <alignment vertical="center" wrapText="1"/>
    </xf>
    <xf numFmtId="0" fontId="23" fillId="0" borderId="0" xfId="0" applyFont="1">
      <alignment vertical="center"/>
    </xf>
    <xf numFmtId="0" fontId="23" fillId="0" borderId="0" xfId="0" applyFont="1">
      <alignment horizontal="center" vertical="center"/>
    </xf>
    <xf numFmtId="0" fontId="23" fillId="0" borderId="13" xfId="0" applyFont="1" applyBorder="1">
      <alignment horizontal="center" vertical="center" wrapText="1"/>
    </xf>
    <xf numFmtId="0" fontId="23" fillId="0" borderId="38" xfId="0" applyFont="1" applyBorder="1">
      <alignment horizontal="center" vertical="center" wrapText="1"/>
    </xf>
    <xf numFmtId="0" fontId="23" fillId="0" borderId="20" xfId="0" applyFont="1" applyBorder="1">
      <alignment horizontal="center" vertical="center" wrapText="1"/>
    </xf>
    <xf numFmtId="0" fontId="23" fillId="0" borderId="21" xfId="0" applyFont="1" applyBorder="1">
      <alignment horizontal="center" vertical="center" wrapText="1"/>
    </xf>
    <xf numFmtId="0" fontId="23" fillId="0" borderId="23" xfId="0" applyFont="1" applyBorder="1">
      <alignment horizontal="center" vertical="center" wrapText="1"/>
    </xf>
    <xf numFmtId="0" fontId="0" fillId="0" borderId="18" xfId="0" applyFont="1" applyBorder="1">
      <alignment horizontal="center" vertical="center" wrapText="1"/>
    </xf>
    <xf numFmtId="0" fontId="0" fillId="0" borderId="15" xfId="0" applyFont="1" applyBorder="1">
      <alignment horizontal="center" vertical="center" wrapText="1"/>
    </xf>
    <xf numFmtId="0" fontId="0" fillId="0" borderId="16" xfId="0" applyFont="1" applyBorder="1">
      <alignment horizontal="center" vertical="center" wrapText="1"/>
    </xf>
    <xf numFmtId="0" fontId="0" fillId="0" borderId="14" xfId="0" applyFont="1" applyBorder="1">
      <alignment horizontal="center" vertical="center" wrapText="1"/>
    </xf>
    <xf numFmtId="0" fontId="23" fillId="0" borderId="28" xfId="0" applyFont="1" applyBorder="1">
      <alignment horizontal="center" vertical="center" wrapText="1"/>
    </xf>
    <xf numFmtId="0" fontId="23" fillId="0" borderId="29" xfId="0" applyFont="1" applyBorder="1">
      <alignment horizontal="center" vertical="center" wrapText="1"/>
    </xf>
    <xf numFmtId="0" fontId="23" fillId="0" borderId="31" xfId="0" applyFont="1" applyBorder="1">
      <alignment horizontal="center" vertical="center" wrapText="1"/>
    </xf>
    <xf numFmtId="0" fontId="0" fillId="0" borderId="37" xfId="0" applyFont="1" applyBorder="1">
      <alignment horizontal="center" vertical="center" wrapText="1"/>
    </xf>
    <xf numFmtId="0" fontId="0" fillId="0" borderId="18" xfId="0" applyFont="1" applyBorder="1">
      <alignment horizontal="center" vertical="center" wrapText="1"/>
    </xf>
    <xf numFmtId="0" fontId="0" fillId="0" borderId="38" xfId="0" applyFont="1" applyBorder="1">
      <alignment horizontal="center" vertical="center" wrapText="1"/>
    </xf>
    <xf numFmtId="0" fontId="0" fillId="0" borderId="21" xfId="0" applyFont="1" applyBorder="1">
      <alignment horizontal="center" vertical="center" wrapText="1"/>
    </xf>
    <xf numFmtId="0" fontId="0" fillId="0" borderId="24" xfId="0" applyFont="1" applyBorder="1">
      <alignment horizontal="center" vertical="center" wrapText="1"/>
    </xf>
    <xf numFmtId="0" fontId="0" fillId="0" borderId="24" xfId="0" applyFont="1" applyBorder="1">
      <alignment horizontal="center" vertical="center" wrapText="1"/>
    </xf>
    <xf numFmtId="0" fontId="0" fillId="0" borderId="28" xfId="0" applyFont="1" applyBorder="1">
      <alignment horizontal="center" vertical="center" wrapText="1"/>
    </xf>
    <xf numFmtId="0" fontId="0" fillId="0" borderId="31" xfId="0" applyFont="1" applyBorder="1">
      <alignment horizontal="center" vertical="center" wrapText="1"/>
    </xf>
    <xf numFmtId="0" fontId="23" fillId="0" borderId="13" xfId="0" applyFont="1" applyBorder="1">
      <alignment horizontal="center" vertical="center"/>
    </xf>
    <xf numFmtId="0" fontId="79" fillId="0" borderId="0" xfId="0" applyFont="1">
      <alignment horizontal="left" vertical="center" indent="1"/>
    </xf>
    <xf numFmtId="0" fontId="23" fillId="0" borderId="15" xfId="0" applyFont="1" applyBorder="1">
      <alignment horizontal="center" vertical="center"/>
    </xf>
    <xf numFmtId="0" fontId="79" fillId="0" borderId="0" xfId="0" applyFont="1">
      <alignment horizontal="center" vertical="center"/>
    </xf>
    <xf numFmtId="0" fontId="23" fillId="0" borderId="0" xfId="0" applyFont="1">
      <alignment horizontal="center" vertical="center" wrapText="1"/>
    </xf>
    <xf numFmtId="49" fontId="55" fillId="0" borderId="0" xfId="0" applyFont="1" applyNumberFormat="1">
      <alignment vertical="center" wrapText="1"/>
    </xf>
    <xf numFmtId="0" fontId="55" fillId="0" borderId="0" xfId="0" applyFont="1">
      <alignment horizontal="center" vertical="center" wrapText="1"/>
    </xf>
    <xf numFmtId="0" fontId="62" fillId="36" borderId="0" xfId="0" applyFont="1" applyFill="1">
      <alignment horizontal="center" vertical="center" wrapText="1"/>
    </xf>
    <xf numFmtId="0" fontId="62" fillId="0" borderId="0" xfId="0" applyFont="1">
      <alignment vertical="center" wrapText="1"/>
    </xf>
    <xf numFmtId="0" fontId="56" fillId="0" borderId="13" xfId="0" applyFont="1" applyBorder="1">
      <alignment horizontal="left" vertical="center" wrapText="1" indent="5"/>
    </xf>
    <xf numFmtId="0" fontId="56" fillId="0" borderId="25" xfId="0" applyFont="1" applyBorder="1">
      <alignment horizontal="center" vertical="top" wrapText="1"/>
    </xf>
    <xf numFmtId="0" fontId="23" fillId="36" borderId="18" xfId="0" applyFont="1" applyFill="1" applyBorder="1">
      <alignment horizontal="left" vertical="center" wrapText="1"/>
    </xf>
    <xf numFmtId="49" fontId="23" fillId="41" borderId="18" xfId="0" applyFont="1" applyFill="1" applyBorder="1" applyNumberFormat="1">
      <alignment horizontal="left" vertical="center" wrapText="1" indent="6"/>
      <protection locked="0"/>
    </xf>
    <xf numFmtId="0" fontId="46" fillId="0" borderId="13" xfId="0" applyFont="1" applyBorder="1">
      <alignment horizontal="center" vertical="center" wrapText="1"/>
    </xf>
    <xf numFmtId="49" fontId="23" fillId="36" borderId="13" xfId="0" applyFont="1" applyFill="1" applyBorder="1" applyNumberFormat="1">
      <alignment horizontal="center" vertical="center" wrapText="1"/>
    </xf>
    <xf numFmtId="49" fontId="23" fillId="42" borderId="13" xfId="0" applyFont="1" applyFill="1" applyBorder="1" applyNumberFormat="1">
      <alignment horizontal="left" vertical="center" wrapText="1" indent="1"/>
    </xf>
    <xf numFmtId="0" fontId="23" fillId="0" borderId="13" xfId="0" applyFont="1" applyBorder="1">
      <alignment horizontal="left" vertical="center" wrapText="1" indent="4"/>
    </xf>
    <xf numFmtId="49" fontId="23" fillId="36" borderId="13" xfId="0" applyFont="1" applyFill="1" applyBorder="1" applyNumberFormat="1">
      <alignment horizontal="center" vertical="center" wrapText="1"/>
    </xf>
    <xf numFmtId="0" fontId="23" fillId="42" borderId="13" xfId="0" applyFont="1" applyFill="1" applyBorder="1">
      <alignment horizontal="left" vertical="center" wrapText="1" indent="1"/>
    </xf>
    <xf numFmtId="49" fontId="23" fillId="42" borderId="13" xfId="0" applyFont="1" applyFill="1" applyBorder="1" applyNumberFormat="1">
      <alignment horizontal="center" vertical="center" wrapText="1"/>
    </xf>
    <xf numFmtId="0" fontId="23" fillId="36" borderId="37" xfId="0" applyFont="1" applyFill="1" applyBorder="1">
      <alignment horizontal="left" vertical="center" wrapText="1"/>
    </xf>
    <xf numFmtId="49" fontId="23" fillId="41" borderId="37" xfId="0" applyFont="1" applyFill="1" applyBorder="1" applyNumberFormat="1">
      <alignment horizontal="left" vertical="center" wrapText="1" indent="6"/>
      <protection locked="0"/>
    </xf>
    <xf numFmtId="247" fontId="129" fillId="40" borderId="14" xfId="0" applyFont="1" applyFill="1" applyBorder="1" applyNumberFormat="1">
      <alignment horizontal="right" vertical="center" wrapText="1"/>
    </xf>
    <xf numFmtId="49" fontId="49" fillId="40" borderId="15" xfId="0" applyFont="1" applyFill="1" applyBorder="1" applyNumberFormat="1">
      <alignment horizontal="left" vertical="center"/>
    </xf>
    <xf numFmtId="247" fontId="129" fillId="40" borderId="16" xfId="0" applyFont="1" applyFill="1" applyBorder="1" applyNumberFormat="1">
      <alignment horizontal="right" vertical="center" wrapText="1"/>
    </xf>
    <xf numFmtId="4" fontId="129" fillId="0" borderId="37" xfId="0" applyFont="1" applyBorder="1" applyNumberFormat="1">
      <alignment horizontal="right" vertical="center" wrapText="1"/>
    </xf>
    <xf numFmtId="49" fontId="49" fillId="40" borderId="15" xfId="0" applyFont="1" applyFill="1" applyBorder="1" applyNumberFormat="1">
      <alignment horizontal="left" vertical="center" indent="1"/>
    </xf>
    <xf numFmtId="0" fontId="23" fillId="36" borderId="24" xfId="0" applyFont="1" applyFill="1" applyBorder="1">
      <alignment horizontal="left" vertical="center" wrapText="1"/>
    </xf>
    <xf numFmtId="49" fontId="23" fillId="41" borderId="24" xfId="0" applyFont="1" applyFill="1" applyBorder="1" applyNumberFormat="1">
      <alignment horizontal="left" vertical="center" wrapText="1" indent="6"/>
      <protection locked="0"/>
    </xf>
    <xf numFmtId="4" fontId="131" fillId="40" borderId="14" xfId="0" applyFont="1" applyFill="1" applyBorder="1" applyNumberFormat="1">
      <alignment horizontal="center" vertical="center" wrapText="1"/>
    </xf>
    <xf numFmtId="49" fontId="49" fillId="40" borderId="15" xfId="0" applyFont="1" applyFill="1" applyBorder="1" applyNumberFormat="1">
      <alignment vertical="center" wrapText="1"/>
    </xf>
    <xf numFmtId="49" fontId="49" fillId="40" borderId="16" xfId="0" applyFont="1" applyFill="1" applyBorder="1" applyNumberFormat="1">
      <alignment vertical="center" wrapText="1"/>
    </xf>
    <xf numFmtId="49" fontId="56" fillId="0" borderId="25" xfId="0" applyFont="1" applyBorder="1" applyNumberFormat="1">
      <alignment vertical="top"/>
    </xf>
    <xf numFmtId="0" fontId="118" fillId="0" borderId="0" xfId="0" applyFont="1">
      <alignment horizontal="center" vertical="center" wrapText="1"/>
    </xf>
    <xf numFmtId="49" fontId="56" fillId="0" borderId="0" xfId="0" applyFont="1" applyNumberFormat="1">
      <alignment horizontal="center" vertical="center" wrapText="1"/>
    </xf>
    <xf numFmtId="49" fontId="56" fillId="0" borderId="0" xfId="0" applyFont="1" applyNumberFormat="1">
      <alignment horizontal="left" vertical="center" wrapText="1" indent="1"/>
    </xf>
    <xf numFmtId="0" fontId="56" fillId="0" borderId="0" xfId="0" applyFont="1">
      <alignment horizontal="left" vertical="center" wrapText="1" indent="4"/>
    </xf>
    <xf numFmtId="0" fontId="56" fillId="0" borderId="25" xfId="0" applyFont="1" applyBorder="1">
      <alignment horizontal="left" vertical="center" wrapText="1" indent="1"/>
    </xf>
    <xf numFmtId="4" fontId="131" fillId="0" borderId="13" xfId="0" applyFont="1" applyBorder="1" applyNumberFormat="1">
      <alignment horizontal="right" vertical="center" wrapText="1"/>
    </xf>
    <xf numFmtId="247" fontId="131" fillId="0" borderId="13" xfId="0" applyFont="1" applyBorder="1" applyNumberFormat="1">
      <alignment horizontal="right" vertical="center" wrapText="1"/>
    </xf>
    <xf numFmtId="250" fontId="56" fillId="0" borderId="13" xfId="0" applyFont="1" applyBorder="1" applyNumberFormat="1">
      <alignment horizontal="center" vertical="center" wrapText="1"/>
    </xf>
    <xf numFmtId="49" fontId="56" fillId="0" borderId="13" xfId="0" applyFont="1" applyBorder="1" applyNumberFormat="1">
      <alignment horizontal="center" vertical="center" wrapText="1"/>
    </xf>
    <xf numFmtId="0" fontId="55" fillId="0" borderId="0" xfId="0" applyFont="1">
      <alignment horizontal="left" vertical="center"/>
    </xf>
    <xf numFmtId="49" fontId="55" fillId="0" borderId="0" xfId="0" applyFont="1" applyNumberFormat="1">
      <alignment horizontal="left" vertical="center"/>
    </xf>
    <xf numFmtId="0" fontId="55" fillId="0" borderId="0" xfId="0" applyFont="1">
      <alignment horizontal="left" vertical="center"/>
    </xf>
    <xf numFmtId="0" fontId="75" fillId="0" borderId="0" xfId="0" applyFont="1">
      <alignment horizontal="left" vertical="center"/>
    </xf>
    <xf numFmtId="0" fontId="55" fillId="0" borderId="0" xfId="0" applyFont="1">
      <alignment horizontal="left" vertical="center"/>
    </xf>
    <xf numFmtId="0" fontId="56" fillId="0" borderId="0" xfId="0" applyFont="1">
      <alignment horizontal="left" vertical="center"/>
    </xf>
    <xf numFmtId="0" fontId="75" fillId="36" borderId="0" xfId="0" applyFont="1" applyFill="1">
      <alignment vertical="center" wrapText="1"/>
    </xf>
    <xf numFmtId="0" fontId="0" fillId="36" borderId="38" xfId="0" applyFont="1" applyFill="1" applyBorder="1">
      <alignment horizontal="center" vertical="center" wrapText="1"/>
    </xf>
    <xf numFmtId="0" fontId="0" fillId="36" borderId="21" xfId="0" applyFont="1" applyFill="1" applyBorder="1">
      <alignment horizontal="center" vertical="center" wrapText="1"/>
    </xf>
    <xf numFmtId="0" fontId="0" fillId="36" borderId="23" xfId="0" applyFont="1" applyFill="1" applyBorder="1">
      <alignment horizontal="center" vertical="center" wrapText="1"/>
    </xf>
    <xf numFmtId="0" fontId="0" fillId="36" borderId="0" xfId="0" applyFont="1" applyFill="1">
      <alignment horizontal="center" vertical="center" wrapText="1"/>
    </xf>
    <xf numFmtId="0" fontId="0" fillId="36" borderId="25" xfId="0" applyFont="1" applyFill="1" applyBorder="1">
      <alignment horizontal="center" vertical="center" wrapText="1"/>
    </xf>
    <xf numFmtId="0" fontId="23" fillId="36" borderId="13" xfId="0" applyFont="1" applyFill="1" applyBorder="1">
      <alignment horizontal="center" vertical="center" wrapText="1"/>
    </xf>
    <xf numFmtId="0" fontId="0" fillId="36" borderId="28" xfId="0" applyFont="1" applyFill="1" applyBorder="1">
      <alignment horizontal="center" vertical="center" wrapText="1"/>
    </xf>
    <xf numFmtId="0" fontId="0" fillId="36" borderId="29" xfId="0" applyFont="1" applyFill="1" applyBorder="1">
      <alignment horizontal="center" vertical="center" wrapText="1"/>
    </xf>
    <xf numFmtId="0" fontId="0" fillId="36" borderId="31" xfId="0" applyFont="1" applyFill="1" applyBorder="1">
      <alignment horizontal="center" vertical="center" wrapText="1"/>
    </xf>
    <xf numFmtId="49" fontId="23" fillId="0" borderId="13" xfId="0" applyFont="1" applyBorder="1" applyNumberFormat="1">
      <alignment horizontal="left" vertical="center" wrapText="1" indent="1"/>
    </xf>
    <xf numFmtId="0" fontId="23" fillId="0" borderId="13" xfId="0" applyFont="1" applyBorder="1">
      <alignment horizontal="left" vertical="center" wrapText="1" indent="1"/>
    </xf>
    <xf numFmtId="49" fontId="23" fillId="40" borderId="15" xfId="0" applyFont="1" applyFill="1" applyBorder="1" applyNumberFormat="1">
      <alignment horizontal="center" vertical="center" wrapText="1"/>
    </xf>
    <xf numFmtId="49" fontId="79" fillId="0" borderId="25" xfId="0" applyFont="1" applyBorder="1" applyNumberFormat="1">
      <alignment vertical="top"/>
    </xf>
    <xf numFmtId="0" fontId="23" fillId="0" borderId="0" xfId="0" applyFont="1">
      <alignment horizontal="left" vertical="top" wrapText="1"/>
    </xf>
    <xf numFmtId="0" fontId="75" fillId="0" borderId="0" xfId="0" applyFont="1">
      <alignment vertical="center" wrapText="1"/>
    </xf>
    <xf numFmtId="0" fontId="0" fillId="0" borderId="0" xfId="0" applyFont="1">
      <alignment horizontal="left" vertical="center"/>
    </xf>
    <xf numFmtId="0" fontId="0" fillId="36" borderId="13" xfId="0" applyFont="1" applyFill="1" applyBorder="1">
      <alignment horizontal="right" vertical="center" wrapText="1" indent="1"/>
    </xf>
    <xf numFmtId="0" fontId="0" fillId="0" borderId="15" xfId="0" applyFont="1" applyBorder="1">
      <alignment vertical="center"/>
    </xf>
    <xf numFmtId="0" fontId="23" fillId="0" borderId="0" xfId="0" applyFont="1">
      <alignment horizontal="left" vertical="center" wrapText="1"/>
    </xf>
    <xf numFmtId="0" fontId="23" fillId="0" borderId="0" xfId="0" applyFont="1">
      <alignment horizontal="right" vertical="center" wrapText="1"/>
    </xf>
    <xf numFmtId="0" fontId="23" fillId="0" borderId="0" xfId="0" applyFont="1">
      <alignment horizontal="right" vertical="center" wrapText="1"/>
    </xf>
    <xf numFmtId="0" fontId="0" fillId="0" borderId="13" xfId="0" applyFont="1" applyBorder="1">
      <alignment horizontal="center" vertical="center" wrapText="1"/>
    </xf>
    <xf numFmtId="0" fontId="86" fillId="36" borderId="20" xfId="0" applyFont="1" applyFill="1" applyBorder="1">
      <alignment horizontal="center" vertical="center" wrapText="1"/>
    </xf>
    <xf numFmtId="0" fontId="23" fillId="36" borderId="13" xfId="0" applyFont="1" applyFill="1" applyBorder="1">
      <alignment horizontal="left" vertical="center" wrapText="1"/>
    </xf>
    <xf numFmtId="4" fontId="129" fillId="38" borderId="13" xfId="0" applyFont="1" applyFill="1" applyBorder="1" applyNumberFormat="1">
      <alignment horizontal="left" vertical="center" wrapText="1"/>
    </xf>
    <xf numFmtId="0" fontId="23" fillId="0" borderId="0" xfId="0" applyFont="1">
      <alignment horizontal="center" vertical="center" wrapText="1"/>
    </xf>
    <xf numFmtId="0" fontId="55" fillId="0" borderId="0" xfId="0" applyFont="1">
      <alignment horizontal="center" vertical="center" wrapText="1"/>
    </xf>
    <xf numFmtId="0" fontId="56" fillId="0" borderId="0" xfId="0" applyFont="1">
      <alignment horizontal="center" vertical="center" wrapText="1"/>
    </xf>
    <xf numFmtId="0" fontId="23" fillId="42" borderId="13" xfId="0" applyFont="1" applyFill="1" applyBorder="1">
      <alignment horizontal="left" vertical="center" wrapText="1"/>
      <protection locked="0"/>
    </xf>
    <xf numFmtId="0" fontId="55" fillId="0" borderId="0" xfId="0" applyFont="1">
      <alignment horizontal="center" vertical="center" wrapText="1"/>
    </xf>
    <xf numFmtId="0" fontId="23" fillId="42" borderId="15" xfId="0" applyFont="1" applyFill="1" applyBorder="1">
      <alignment horizontal="left" vertical="center" wrapText="1"/>
      <protection locked="0"/>
    </xf>
    <xf numFmtId="0" fontId="23" fillId="42" borderId="16" xfId="0" applyFont="1" applyFill="1" applyBorder="1">
      <alignment horizontal="left" vertical="center" wrapText="1"/>
      <protection locked="0"/>
    </xf>
    <xf numFmtId="0" fontId="23" fillId="42" borderId="14" xfId="0" applyFont="1" applyFill="1" applyBorder="1">
      <alignment horizontal="left" vertical="center" wrapText="1"/>
      <protection locked="0"/>
    </xf>
    <xf numFmtId="0" fontId="23" fillId="42" borderId="13" xfId="0" applyFont="1" applyFill="1" applyBorder="1">
      <alignment horizontal="left" vertical="center" wrapText="1" indent="6"/>
      <protection locked="0"/>
    </xf>
    <xf numFmtId="250" fontId="0" fillId="41" borderId="13" xfId="0" applyFont="1" applyFill="1" applyBorder="1" applyNumberFormat="1">
      <alignment horizontal="center" vertical="center" wrapText="1"/>
      <protection locked="0"/>
    </xf>
    <xf numFmtId="49" fontId="23" fillId="0" borderId="13" xfId="0" applyFont="1" applyBorder="1" applyNumberFormat="1">
      <alignment horizontal="left" vertical="center" wrapText="1"/>
    </xf>
    <xf numFmtId="49" fontId="107" fillId="40" borderId="15" xfId="0" applyFont="1" applyFill="1" applyBorder="1" applyNumberFormat="1">
      <alignment horizontal="left" vertical="center"/>
    </xf>
    <xf numFmtId="49" fontId="116" fillId="40" borderId="16" xfId="0" applyFont="1" applyFill="1" applyBorder="1" applyNumberFormat="1">
      <alignment horizontal="left" vertical="center" indent="3"/>
    </xf>
    <xf numFmtId="49" fontId="79" fillId="40" borderId="16" xfId="0" applyFont="1" applyFill="1" applyBorder="1" applyNumberFormat="1">
      <alignment horizontal="center" vertical="center" wrapText="1"/>
    </xf>
    <xf numFmtId="49" fontId="73" fillId="40" borderId="16" xfId="0" applyFont="1" applyFill="1" applyBorder="1" applyNumberFormat="1">
      <alignment horizontal="center" vertical="center" wrapText="1"/>
    </xf>
    <xf numFmtId="49" fontId="73" fillId="40" borderId="14" xfId="0" applyFont="1" applyFill="1" applyBorder="1" applyNumberFormat="1">
      <alignment horizontal="center" vertical="center" wrapText="1"/>
    </xf>
    <xf numFmtId="49" fontId="55" fillId="0" borderId="0" xfId="0" applyFont="1" applyNumberFormat="1">
      <alignment horizontal="left" vertical="center"/>
    </xf>
    <xf numFmtId="49" fontId="41" fillId="0" borderId="0" xfId="0" applyFont="1" applyNumberFormat="1">
      <alignment vertical="top"/>
    </xf>
    <xf numFmtId="49" fontId="116" fillId="40" borderId="16" xfId="0" applyFont="1" applyFill="1" applyBorder="1" applyNumberFormat="1">
      <alignment horizontal="left" vertical="center" indent="2"/>
    </xf>
    <xf numFmtId="49" fontId="116" fillId="40" borderId="16" xfId="0" applyFont="1" applyFill="1" applyBorder="1" applyNumberFormat="1">
      <alignment horizontal="left" vertical="center" indent="1"/>
    </xf>
    <xf numFmtId="49" fontId="55" fillId="0" borderId="0" xfId="0" applyFont="1" applyNumberFormat="1">
      <alignment horizontal="left" vertical="center"/>
    </xf>
    <xf numFmtId="49" fontId="55" fillId="0" borderId="0" xfId="0" applyFont="1" applyNumberFormat="1">
      <alignment horizontal="left" vertical="top"/>
    </xf>
    <xf numFmtId="49" fontId="73" fillId="40" borderId="15" xfId="0" applyFont="1" applyFill="1" applyBorder="1" applyNumberFormat="1">
      <alignment horizontal="left" vertical="top"/>
    </xf>
    <xf numFmtId="49" fontId="116" fillId="40" borderId="16" xfId="0" applyFont="1" applyFill="1" applyBorder="1" applyNumberFormat="1">
      <alignment horizontal="left" vertical="center"/>
    </xf>
    <xf numFmtId="49" fontId="56" fillId="0" borderId="0" xfId="0" applyFont="1" applyNumberFormat="1">
      <alignment vertical="top"/>
    </xf>
    <xf numFmtId="0" fontId="23" fillId="0" borderId="0" xfId="0" applyFont="1">
      <alignment horizontal="left" vertical="top" wrapText="1"/>
    </xf>
    <xf numFmtId="49" fontId="23" fillId="0" borderId="0" xfId="0" applyFont="1" applyNumberFormat="1">
      <alignment vertical="center" wrapText="1"/>
    </xf>
    <xf numFmtId="49" fontId="23" fillId="0" borderId="0" xfId="0" applyFont="1" applyNumberFormat="1">
      <alignment vertical="center" wrapText="1"/>
    </xf>
    <xf numFmtId="0" fontId="23" fillId="0" borderId="0" xfId="0" applyFont="1">
      <alignment horizontal="center" vertical="center" wrapText="1"/>
    </xf>
    <xf numFmtId="0" fontId="23" fillId="0" borderId="0" xfId="0" applyFont="1">
      <alignment horizontal="center" vertical="center" wrapText="1"/>
    </xf>
    <xf numFmtId="49" fontId="23" fillId="0" borderId="0" xfId="0" applyFont="1" applyNumberFormat="1">
      <alignment horizontal="left" vertical="center"/>
    </xf>
    <xf numFmtId="49" fontId="23" fillId="0" borderId="0" xfId="0" applyFont="1" applyNumberFormat="1">
      <alignment horizontal="left" vertical="center"/>
    </xf>
    <xf numFmtId="49" fontId="23" fillId="0" borderId="0" xfId="0" applyFont="1" applyNumberFormat="1">
      <alignment horizontal="left" vertical="top"/>
    </xf>
    <xf numFmtId="0" fontId="22" fillId="0" borderId="16" xfId="0" applyFont="1" applyBorder="1">
      <alignment horizontal="left" vertical="center" wrapText="1" indent="1"/>
    </xf>
    <xf numFmtId="0" fontId="22" fillId="0" borderId="0" xfId="0" applyFont="1">
      <alignment horizontal="center" vertical="center" wrapText="1"/>
    </xf>
    <xf numFmtId="0" fontId="0" fillId="0" borderId="0" xfId="0" applyFont="1">
      <alignment horizontal="center" vertical="center"/>
    </xf>
    <xf numFmtId="0" fontId="23" fillId="38" borderId="15" xfId="0" applyFont="1" applyFill="1" applyBorder="1">
      <alignment horizontal="left" vertical="center" wrapText="1" indent="1"/>
    </xf>
    <xf numFmtId="0" fontId="23" fillId="38" borderId="16" xfId="0" applyFont="1" applyFill="1" applyBorder="1">
      <alignment horizontal="left" vertical="center" wrapText="1" indent="1"/>
    </xf>
    <xf numFmtId="0" fontId="23" fillId="38" borderId="14" xfId="0" applyFont="1" applyFill="1" applyBorder="1">
      <alignment horizontal="left" vertical="center" wrapText="1" indent="1"/>
    </xf>
    <xf numFmtId="0" fontId="78" fillId="0" borderId="0" xfId="0" applyFont="1">
      <alignment horizontal="left" vertical="center" wrapText="1"/>
    </xf>
    <xf numFmtId="0" fontId="0" fillId="0" borderId="0" xfId="0" applyFont="1">
      <alignment vertical="center"/>
    </xf>
    <xf numFmtId="0" fontId="56" fillId="0" borderId="0" xfId="0" applyFont="1">
      <alignment vertical="center"/>
    </xf>
    <xf numFmtId="0" fontId="0" fillId="0" borderId="0" xfId="0" applyFont="1">
      <alignment horizontal="right" vertical="center" wrapText="1" indent="1"/>
    </xf>
    <xf numFmtId="0" fontId="23" fillId="0" borderId="0" xfId="0" applyFont="1">
      <alignment horizontal="left" vertical="center" wrapText="1" indent="1"/>
    </xf>
    <xf numFmtId="0" fontId="88" fillId="0" borderId="0" xfId="0" applyFont="1">
      <alignment vertical="center" wrapText="1"/>
    </xf>
    <xf numFmtId="0" fontId="88" fillId="0" borderId="0" xfId="0" applyFont="1">
      <alignment horizontal="center" vertical="center" wrapText="1"/>
    </xf>
    <xf numFmtId="0" fontId="23" fillId="36" borderId="13" xfId="0" applyFont="1" applyFill="1" applyBorder="1">
      <alignment horizontal="center" vertical="center" wrapText="1"/>
    </xf>
    <xf numFmtId="0" fontId="0" fillId="36" borderId="13" xfId="0" applyFont="1" applyFill="1" applyBorder="1">
      <alignment horizontal="center" vertical="center" wrapText="1"/>
    </xf>
    <xf numFmtId="49" fontId="49" fillId="40" borderId="13" xfId="0" applyFont="1" applyFill="1" applyBorder="1" applyNumberFormat="1">
      <alignment horizontal="center" vertical="center" textRotation="90" wrapText="1"/>
    </xf>
    <xf numFmtId="0" fontId="23" fillId="0" borderId="13" xfId="0" applyFont="1" applyBorder="1">
      <alignment horizontal="center" vertical="center" wrapText="1"/>
    </xf>
    <xf numFmtId="0" fontId="0" fillId="0" borderId="13" xfId="0" applyFont="1" applyBorder="1">
      <alignment horizontal="center" vertical="center" wrapText="1"/>
    </xf>
    <xf numFmtId="0" fontId="45" fillId="36" borderId="0" xfId="0" applyFont="1" applyFill="1">
      <alignment horizontal="center" vertical="center" wrapText="1"/>
    </xf>
    <xf numFmtId="0" fontId="45" fillId="36" borderId="0" xfId="0" applyFont="1" applyFill="1">
      <alignment horizontal="center" vertical="center" wrapText="1"/>
    </xf>
    <xf numFmtId="49" fontId="56" fillId="0" borderId="0" xfId="0" applyFont="1" applyNumberFormat="1">
      <alignment vertical="center" wrapText="1"/>
    </xf>
    <xf numFmtId="0" fontId="23" fillId="0" borderId="13" xfId="0" applyFont="1" applyBorder="1">
      <alignment vertical="center" wrapText="1"/>
    </xf>
    <xf numFmtId="0" fontId="23" fillId="38" borderId="13" xfId="0" applyFont="1" applyFill="1" applyBorder="1">
      <alignment horizontal="left" vertical="center" wrapText="1"/>
    </xf>
    <xf numFmtId="49" fontId="56" fillId="0" borderId="0" xfId="0" applyFont="1" applyNumberFormat="1">
      <alignment vertical="center"/>
    </xf>
    <xf numFmtId="0" fontId="41" fillId="0" borderId="0" xfId="0" applyFont="1">
      <alignment horizontal="center" vertical="center" wrapText="1"/>
    </xf>
    <xf numFmtId="0" fontId="46" fillId="36" borderId="0" xfId="0" applyFont="1" applyFill="1">
      <alignment horizontal="center" vertical="center" wrapText="1"/>
    </xf>
    <xf numFmtId="0" fontId="41" fillId="0" borderId="0" xfId="0" applyFont="1">
      <alignment vertical="center" wrapText="1"/>
    </xf>
    <xf numFmtId="0" fontId="46" fillId="36" borderId="0" xfId="0" applyFont="1" applyFill="1">
      <alignment vertical="center" wrapText="1"/>
    </xf>
    <xf numFmtId="0" fontId="46" fillId="0" borderId="0" xfId="0" applyFont="1">
      <alignment horizontal="center" vertical="center" wrapText="1"/>
    </xf>
    <xf numFmtId="49" fontId="23" fillId="41" borderId="13" xfId="0" applyFont="1" applyFill="1" applyBorder="1" applyNumberFormat="1">
      <alignment horizontal="left" vertical="center" wrapText="1" indent="4"/>
      <protection locked="0"/>
    </xf>
    <xf numFmtId="49" fontId="23" fillId="0" borderId="13" xfId="0" applyFont="1" applyBorder="1" applyNumberFormat="1">
      <alignment horizontal="center" vertical="center" wrapText="1"/>
    </xf>
    <xf numFmtId="4" fontId="0" fillId="41" borderId="13" xfId="0" applyFont="1" applyFill="1" applyBorder="1" applyNumberFormat="1">
      <alignment horizontal="right" vertical="center" wrapText="1"/>
      <protection locked="0"/>
    </xf>
    <xf numFmtId="247" fontId="0" fillId="41" borderId="13" xfId="0" applyFont="1" applyFill="1" applyBorder="1" applyNumberFormat="1">
      <alignment horizontal="right" vertical="center"/>
      <protection locked="0"/>
    </xf>
    <xf numFmtId="49" fontId="23" fillId="42" borderId="13" xfId="0" applyFont="1" applyFill="1" applyBorder="1" applyNumberFormat="1">
      <alignment horizontal="center" vertical="center" wrapText="1"/>
    </xf>
    <xf numFmtId="49" fontId="0" fillId="36" borderId="13" xfId="0" applyFont="1" applyFill="1" applyBorder="1" applyNumberFormat="1">
      <alignment horizontal="center" vertical="center" wrapText="1"/>
    </xf>
    <xf numFmtId="4" fontId="0" fillId="36" borderId="15" xfId="0" applyFont="1" applyFill="1" applyBorder="1" applyNumberFormat="1">
      <alignment horizontal="right" vertical="center"/>
    </xf>
    <xf numFmtId="0" fontId="23" fillId="0" borderId="13" xfId="0" applyFont="1" applyBorder="1">
      <alignment horizontal="left" vertical="center" wrapText="1"/>
    </xf>
    <xf numFmtId="49" fontId="0" fillId="0" borderId="13" xfId="0" applyFont="1" applyBorder="1" applyNumberFormat="1">
      <alignment vertical="center" wrapText="1"/>
    </xf>
    <xf numFmtId="49" fontId="23" fillId="0" borderId="13" xfId="0" applyFont="1" applyBorder="1" applyNumberFormat="1">
      <alignment vertical="center" wrapText="1"/>
    </xf>
    <xf numFmtId="0" fontId="23" fillId="0" borderId="15" xfId="0" applyFont="1" applyBorder="1">
      <alignment horizontal="left" vertical="center" wrapText="1" indent="6"/>
    </xf>
    <xf numFmtId="49" fontId="76" fillId="40" borderId="15" xfId="0" applyFont="1" applyFill="1" applyBorder="1" applyNumberFormat="1">
      <alignment horizontal="center" vertical="center"/>
    </xf>
    <xf numFmtId="49" fontId="49" fillId="40" borderId="16" xfId="0" applyFont="1" applyFill="1" applyBorder="1" applyNumberFormat="1">
      <alignment horizontal="left" vertical="center" indent="2"/>
    </xf>
    <xf numFmtId="49" fontId="76" fillId="40" borderId="16" xfId="0" applyFont="1" applyFill="1" applyBorder="1" applyNumberFormat="1">
      <alignment horizontal="left" vertical="center"/>
    </xf>
    <xf numFmtId="49" fontId="0" fillId="40" borderId="16" xfId="0" applyFont="1" applyFill="1" applyBorder="1" applyNumberFormat="1">
      <alignment horizontal="center" vertical="center" wrapText="1"/>
    </xf>
    <xf numFmtId="49" fontId="23" fillId="0" borderId="0" xfId="0" applyFont="1" applyNumberFormat="1">
      <alignment vertical="top"/>
    </xf>
    <xf numFmtId="49" fontId="49" fillId="40" borderId="16" xfId="0" applyFont="1" applyFill="1" applyBorder="1" applyNumberFormat="1">
      <alignment horizontal="left" vertical="center" indent="3"/>
    </xf>
    <xf numFmtId="49" fontId="23" fillId="40" borderId="31" xfId="0" applyFont="1" applyFill="1" applyBorder="1" applyNumberFormat="1">
      <alignment horizontal="center" vertical="center" wrapText="1"/>
    </xf>
    <xf numFmtId="49" fontId="23" fillId="0" borderId="0" xfId="0" applyFont="1" applyNumberFormat="1">
      <alignment vertical="center"/>
    </xf>
    <xf numFmtId="49" fontId="41" fillId="0" borderId="0" xfId="0" applyFont="1" applyNumberFormat="1">
      <alignment vertical="top"/>
    </xf>
    <xf numFmtId="0" fontId="23" fillId="0" borderId="0" xfId="0" applyFont="1">
      <alignment vertical="top" wrapText="1"/>
    </xf>
    <xf numFmtId="0" fontId="56" fillId="0" borderId="0" xfId="0" applyFont="1">
      <alignment vertical="top" wrapText="1"/>
    </xf>
    <xf numFmtId="0" fontId="23" fillId="0" borderId="0" xfId="0" applyFont="1">
      <alignment vertical="top" wrapText="1"/>
    </xf>
    <xf numFmtId="49" fontId="0" fillId="0" borderId="0" xfId="0" applyFont="1" applyNumberFormat="1">
      <alignment vertical="center" wrapText="1"/>
    </xf>
    <xf numFmtId="49" fontId="56" fillId="0" borderId="0" xfId="0" applyFont="1" applyNumberFormat="1">
      <alignment vertical="center" wrapText="1"/>
    </xf>
    <xf numFmtId="49" fontId="55" fillId="0" borderId="0" xfId="0" applyFont="1" applyNumberFormat="1">
      <alignment vertical="top"/>
    </xf>
    <xf numFmtId="49" fontId="128" fillId="0" borderId="0" xfId="0" applyFont="1" applyNumberFormat="1">
      <alignment horizontal="center" vertical="center" wrapText="1"/>
    </xf>
    <xf numFmtId="0" fontId="132" fillId="41" borderId="13" xfId="0" applyFont="1" applyFill="1" applyBorder="1">
      <alignment horizontal="left" vertical="center" wrapText="1" indent="1"/>
      <protection locked="0"/>
    </xf>
    <xf numFmtId="0" fontId="48" fillId="0" borderId="0" xfId="0" applyFont="1">
      <alignment vertical="center" wrapText="1"/>
    </xf>
    <xf numFmtId="0" fontId="132" fillId="0" borderId="13" xfId="0" applyFont="1" applyBorder="1">
      <alignment horizontal="left" vertical="center" wrapText="1" indent="1"/>
    </xf>
    <xf numFmtId="0" fontId="132" fillId="41" borderId="13" xfId="0" applyFont="1" applyFill="1" applyBorder="1">
      <alignment horizontal="left" vertical="center" wrapText="1"/>
      <protection locked="0"/>
    </xf>
    <xf numFmtId="0" fontId="132" fillId="0" borderId="13" xfId="0" applyFont="1" applyBorder="1">
      <alignment horizontal="left" vertical="center" wrapText="1" indent="2"/>
    </xf>
    <xf numFmtId="49" fontId="23" fillId="42" borderId="13" xfId="0" applyFont="1" applyFill="1" applyBorder="1" applyNumberFormat="1">
      <alignment horizontal="left" vertical="center" wrapText="1"/>
    </xf>
    <xf numFmtId="0" fontId="0" fillId="0" borderId="13" xfId="0" applyFont="1" applyBorder="1">
      <alignment horizontal="left" vertical="center" wrapText="1"/>
    </xf>
    <xf numFmtId="0" fontId="23" fillId="0" borderId="13" xfId="0" applyFont="1" applyBorder="1">
      <alignment vertical="top" wrapText="1"/>
    </xf>
    <xf numFmtId="250" fontId="0" fillId="41" borderId="13" xfId="0" applyFont="1" applyFill="1" applyBorder="1" applyNumberFormat="1">
      <alignment horizontal="left" vertical="center" wrapText="1"/>
      <protection locked="0"/>
    </xf>
    <xf numFmtId="0" fontId="23" fillId="0" borderId="13" xfId="0" applyFont="1" applyBorder="1">
      <alignment horizontal="left" vertical="top" wrapText="1"/>
    </xf>
    <xf numFmtId="0" fontId="0" fillId="0" borderId="13" xfId="0" applyFont="1" applyBorder="1">
      <alignment horizontal="left" vertical="center" wrapText="1"/>
    </xf>
    <xf numFmtId="0" fontId="23" fillId="0" borderId="13" xfId="0" applyFont="1" applyBorder="1">
      <alignment horizontal="left" vertical="center" wrapText="1"/>
    </xf>
    <xf numFmtId="0" fontId="0" fillId="0" borderId="13" xfId="0" applyFont="1" applyBorder="1">
      <alignment horizontal="left" vertical="center" wrapText="1"/>
    </xf>
    <xf numFmtId="0" fontId="23" fillId="0" borderId="13" xfId="0" applyFont="1" applyBorder="1">
      <alignment vertical="top" wrapText="1"/>
    </xf>
    <xf numFmtId="49" fontId="49" fillId="40" borderId="16" xfId="0" applyFont="1" applyFill="1" applyBorder="1" applyNumberFormat="1">
      <alignment horizontal="left" vertical="center" indent="2"/>
    </xf>
    <xf numFmtId="0" fontId="0" fillId="0" borderId="13" xfId="0" applyFont="1" applyBorder="1">
      <alignment horizontal="left" vertical="center" wrapText="1" indent="1"/>
    </xf>
    <xf numFmtId="49" fontId="49" fillId="40" borderId="16" xfId="0" applyFont="1" applyFill="1" applyBorder="1" applyNumberFormat="1">
      <alignment horizontal="left" vertical="center" indent="3"/>
    </xf>
    <xf numFmtId="0" fontId="23" fillId="0" borderId="13" xfId="0" applyFont="1" applyBorder="1">
      <alignment horizontal="left" vertical="top" wrapText="1"/>
    </xf>
    <xf numFmtId="49" fontId="23" fillId="42" borderId="13" xfId="0" applyFont="1" applyFill="1" applyBorder="1" applyNumberFormat="1">
      <alignment horizontal="left" vertical="center" wrapText="1"/>
    </xf>
    <xf numFmtId="49" fontId="23" fillId="0" borderId="0" xfId="0" applyFont="1" applyNumberFormat="1">
      <alignment vertical="top"/>
    </xf>
    <xf numFmtId="49" fontId="56" fillId="0" borderId="0" xfId="0" applyFont="1" applyNumberFormat="1">
      <alignment vertical="top"/>
    </xf>
    <xf numFmtId="0" fontId="23" fillId="0" borderId="0" xfId="0" applyFont="1">
      <alignment horizontal="right" vertical="top" wrapText="1"/>
    </xf>
    <xf numFmtId="49" fontId="23" fillId="0" borderId="0" xfId="0" applyFont="1" applyNumberFormat="1">
      <alignment vertical="top"/>
    </xf>
    <xf numFmtId="49" fontId="132" fillId="41" borderId="13" xfId="0" applyFont="1" applyFill="1" applyBorder="1" applyNumberFormat="1">
      <alignment horizontal="left" vertical="center" wrapText="1" indent="1"/>
      <protection locked="0"/>
    </xf>
    <xf numFmtId="0" fontId="23" fillId="0" borderId="0" xfId="0" applyFont="1">
      <alignment vertical="center" wrapText="1"/>
    </xf>
    <xf numFmtId="0" fontId="70" fillId="0" borderId="0" xfId="0" applyFont="1">
      <alignment vertical="center" wrapText="1"/>
    </xf>
    <xf numFmtId="0" fontId="23" fillId="36" borderId="13" xfId="0" applyFont="1" applyFill="1" applyBorder="1">
      <alignment horizontal="center" vertical="center" wrapText="1"/>
    </xf>
    <xf numFmtId="0" fontId="0" fillId="0" borderId="13" xfId="0" applyFont="1" applyBorder="1">
      <alignment horizontal="left" vertical="center" wrapText="1"/>
    </xf>
    <xf numFmtId="0" fontId="46" fillId="36" borderId="0" xfId="0" applyFont="1" applyFill="1">
      <alignment horizontal="center" vertical="center" wrapText="1"/>
    </xf>
    <xf numFmtId="49" fontId="49" fillId="40" borderId="16" xfId="0" applyFont="1" applyFill="1" applyBorder="1" applyNumberFormat="1">
      <alignment horizontal="left" vertical="center"/>
    </xf>
    <xf numFmtId="0" fontId="23" fillId="0" borderId="20" xfId="0" applyFont="1" applyBorder="1">
      <alignment vertical="center" wrapText="1"/>
    </xf>
    <xf numFmtId="49" fontId="49" fillId="0" borderId="20" xfId="0" applyFont="1" applyBorder="1" applyNumberFormat="1">
      <alignment horizontal="left" vertical="center"/>
    </xf>
    <xf numFmtId="49" fontId="49" fillId="0" borderId="20" xfId="0" applyFont="1" applyBorder="1" applyNumberFormat="1">
      <alignment horizontal="left" vertical="center" indent="2"/>
    </xf>
    <xf numFmtId="49" fontId="53" fillId="0" borderId="20" xfId="0" applyFont="1" applyBorder="1" applyNumberFormat="1">
      <alignment horizontal="center" vertical="top"/>
    </xf>
    <xf numFmtId="0" fontId="23" fillId="0" borderId="20" xfId="0" applyFont="1" applyBorder="1">
      <alignment horizontal="left" vertical="top" wrapText="1"/>
    </xf>
    <xf numFmtId="0" fontId="23" fillId="0" borderId="0" xfId="0" applyFont="1">
      <alignment horizontal="left" vertical="top" wrapText="1"/>
    </xf>
    <xf numFmtId="49" fontId="23" fillId="0" borderId="0" xfId="0" applyFont="1" applyNumberFormat="1">
      <alignment vertical="center" wrapText="1"/>
    </xf>
    <xf numFmtId="0" fontId="23" fillId="0" borderId="0" xfId="0" applyFont="1">
      <alignment vertical="center" wrapText="1"/>
    </xf>
    <xf numFmtId="0" fontId="56" fillId="0" borderId="0" xfId="0" applyFont="1">
      <alignment vertical="center"/>
    </xf>
    <xf numFmtId="0" fontId="55" fillId="0" borderId="0" xfId="0" applyFont="1">
      <alignment horizontal="center" vertical="center" wrapText="1"/>
    </xf>
    <xf numFmtId="0" fontId="55" fillId="0" borderId="0" xfId="0" applyFont="1">
      <alignment vertical="center" wrapText="1"/>
    </xf>
    <xf numFmtId="0" fontId="23" fillId="0" borderId="0" xfId="0" applyFont="1">
      <alignment vertical="center" wrapText="1"/>
    </xf>
    <xf numFmtId="49" fontId="23" fillId="0" borderId="0" xfId="0" applyFont="1" applyNumberFormat="1">
      <alignment horizontal="center" vertical="center" wrapText="1"/>
    </xf>
    <xf numFmtId="49" fontId="23" fillId="0" borderId="0" xfId="0" applyFont="1" applyNumberFormat="1">
      <alignment horizontal="left" vertical="center" wrapText="1"/>
    </xf>
    <xf numFmtId="4" fontId="23" fillId="0" borderId="0" xfId="0" applyFont="1" applyNumberFormat="1">
      <alignment horizontal="right" vertical="center" wrapText="1"/>
    </xf>
    <xf numFmtId="4" fontId="23" fillId="0" borderId="0" xfId="0" applyFont="1" applyNumberFormat="1">
      <alignment horizontal="right" vertical="center" wrapText="1"/>
    </xf>
    <xf numFmtId="0" fontId="89" fillId="0" borderId="0" xfId="0" applyFont="1">
      <alignment vertical="center" wrapText="1"/>
    </xf>
    <xf numFmtId="0" fontId="23" fillId="0" borderId="0" xfId="0" applyFont="1">
      <alignment vertical="center" wrapText="1"/>
    </xf>
    <xf numFmtId="0" fontId="23" fillId="0" borderId="18" xfId="0" applyFont="1" applyBorder="1">
      <alignment horizontal="left" vertical="center" wrapText="1" indent="1"/>
    </xf>
    <xf numFmtId="0" fontId="23" fillId="0" borderId="24" xfId="0" applyFont="1" applyBorder="1">
      <alignment horizontal="left" vertical="center" wrapText="1" indent="1"/>
    </xf>
    <xf numFmtId="0" fontId="76" fillId="36" borderId="0" xfId="0" applyFont="1" applyFill="1">
      <alignment horizontal="right" vertical="center"/>
    </xf>
    <xf numFmtId="0" fontId="89" fillId="0" borderId="0" xfId="0" applyFont="1">
      <alignment vertical="center" wrapText="1"/>
    </xf>
    <xf numFmtId="0" fontId="23" fillId="0" borderId="15" xfId="0" applyFont="1" applyBorder="1">
      <alignment vertical="center" wrapText="1"/>
    </xf>
    <xf numFmtId="0" fontId="23" fillId="0" borderId="16" xfId="0" applyFont="1" applyBorder="1">
      <alignment horizontal="right" vertical="center" wrapText="1" indent="1"/>
    </xf>
    <xf numFmtId="0" fontId="23" fillId="0" borderId="14" xfId="0" applyFont="1" applyBorder="1">
      <alignment horizontal="right" vertical="center" wrapText="1" indent="1"/>
    </xf>
    <xf numFmtId="0" fontId="23" fillId="38" borderId="15" xfId="0" applyFont="1" applyFill="1" applyBorder="1">
      <alignment horizontal="left" vertical="top" wrapText="1" indent="1"/>
    </xf>
    <xf numFmtId="0" fontId="23" fillId="38" borderId="14" xfId="0" applyFont="1" applyFill="1" applyBorder="1">
      <alignment horizontal="left" vertical="top" wrapText="1" indent="1"/>
    </xf>
    <xf numFmtId="0" fontId="23" fillId="38" borderId="15" xfId="0" applyFont="1" applyFill="1" applyBorder="1">
      <alignment horizontal="left" vertical="top" wrapText="1" indent="1"/>
    </xf>
    <xf numFmtId="0" fontId="23" fillId="38" borderId="14" xfId="0" applyFont="1" applyFill="1" applyBorder="1">
      <alignment horizontal="left" vertical="top" wrapText="1" indent="1"/>
    </xf>
    <xf numFmtId="0" fontId="23" fillId="0" borderId="37" xfId="0" applyFont="1" applyBorder="1">
      <alignment horizontal="center" vertical="center" wrapText="1"/>
    </xf>
    <xf numFmtId="0" fontId="23" fillId="0" borderId="15" xfId="0" applyFont="1" applyBorder="1">
      <alignment horizontal="right" vertical="center" wrapText="1"/>
    </xf>
    <xf numFmtId="0" fontId="23" fillId="0" borderId="16" xfId="0" applyFont="1" applyBorder="1">
      <alignment horizontal="right" vertical="center" wrapText="1"/>
    </xf>
    <xf numFmtId="0" fontId="23" fillId="0" borderId="16" xfId="0" applyFont="1" applyBorder="1">
      <alignment horizontal="right" vertical="center" wrapText="1" indent="1"/>
    </xf>
    <xf numFmtId="0" fontId="23" fillId="0" borderId="16" xfId="0" applyFont="1" applyBorder="1">
      <alignment horizontal="right" vertical="center" wrapText="1" indent="1"/>
    </xf>
    <xf numFmtId="0" fontId="23" fillId="0" borderId="13" xfId="0" applyFont="1" applyBorder="1">
      <alignment horizontal="center" vertical="center" wrapText="1"/>
    </xf>
    <xf numFmtId="0" fontId="23" fillId="0" borderId="13" xfId="0" applyFont="1" applyBorder="1">
      <alignment horizontal="center" vertical="center" wrapText="1"/>
    </xf>
    <xf numFmtId="0" fontId="23" fillId="0" borderId="15" xfId="0" applyFont="1" applyBorder="1">
      <alignment horizontal="center" vertical="center" wrapText="1"/>
    </xf>
    <xf numFmtId="0" fontId="23" fillId="0" borderId="15" xfId="0" applyFont="1" applyBorder="1">
      <alignment horizontal="center" vertical="center" wrapText="1"/>
    </xf>
    <xf numFmtId="0" fontId="23" fillId="0" borderId="13" xfId="0" applyFont="1" applyBorder="1">
      <alignment horizontal="center" vertical="center" wrapText="1"/>
    </xf>
    <xf numFmtId="0" fontId="45" fillId="0" borderId="0" xfId="0" applyFont="1">
      <alignment horizontal="center" vertical="center" wrapText="1"/>
    </xf>
    <xf numFmtId="0" fontId="45" fillId="0" borderId="0" xfId="0" applyFont="1">
      <alignment horizontal="center" vertical="center" wrapText="1"/>
    </xf>
    <xf numFmtId="0" fontId="23" fillId="0" borderId="13" xfId="0" applyFont="1" applyBorder="1">
      <alignment horizontal="center" vertical="center" wrapText="1"/>
    </xf>
    <xf numFmtId="0" fontId="23" fillId="0" borderId="13" xfId="0" applyFont="1" applyBorder="1">
      <alignment horizontal="left" vertical="center" wrapText="1"/>
    </xf>
    <xf numFmtId="3" fontId="23" fillId="0" borderId="15" xfId="0" applyFont="1" applyBorder="1" applyNumberFormat="1">
      <alignment vertical="center" wrapText="1"/>
    </xf>
    <xf numFmtId="3" fontId="23" fillId="0" borderId="15" xfId="0" applyFont="1" applyBorder="1" applyNumberFormat="1">
      <alignment vertical="center" wrapText="1"/>
    </xf>
    <xf numFmtId="0" fontId="23" fillId="0" borderId="13" xfId="0" applyFont="1" applyBorder="1">
      <alignment horizontal="left" vertical="center" wrapText="1"/>
    </xf>
    <xf numFmtId="0" fontId="23" fillId="0" borderId="13" xfId="0" applyFont="1" applyBorder="1">
      <alignment horizontal="center" vertical="center" wrapText="1"/>
    </xf>
    <xf numFmtId="0" fontId="23" fillId="0" borderId="18" xfId="0" applyFont="1" applyBorder="1">
      <alignment horizontal="center" vertical="center" wrapText="1"/>
    </xf>
    <xf numFmtId="0" fontId="23" fillId="0" borderId="18" xfId="0" applyFont="1" applyBorder="1">
      <alignment horizontal="center" vertical="center" wrapText="1"/>
    </xf>
    <xf numFmtId="0" fontId="23" fillId="0" borderId="13" xfId="0" applyFont="1" applyBorder="1">
      <alignment horizontal="center" vertical="center" wrapText="1"/>
    </xf>
    <xf numFmtId="0" fontId="23" fillId="0" borderId="18" xfId="0" applyFont="1" applyBorder="1">
      <alignment horizontal="center" vertical="center" wrapText="1"/>
    </xf>
    <xf numFmtId="49" fontId="23" fillId="0" borderId="13" xfId="0" applyFont="1" applyBorder="1" applyNumberFormat="1">
      <alignment horizontal="center" vertical="center" wrapText="1"/>
    </xf>
    <xf numFmtId="0" fontId="23" fillId="0" borderId="13" xfId="0" applyFont="1" applyBorder="1">
      <alignment horizontal="left" vertical="center" wrapText="1" indent="1"/>
    </xf>
    <xf numFmtId="3" fontId="23" fillId="33" borderId="15" xfId="0" applyFont="1" applyFill="1" applyBorder="1" applyNumberFormat="1">
      <alignment horizontal="right" vertical="center" wrapText="1"/>
      <protection locked="0"/>
    </xf>
    <xf numFmtId="49" fontId="23" fillId="33" borderId="13" xfId="0" applyFont="1" applyFill="1" applyBorder="1" applyNumberFormat="1">
      <alignment horizontal="left" vertical="center" wrapText="1"/>
      <protection locked="0"/>
    </xf>
    <xf numFmtId="49" fontId="29" fillId="33" borderId="13" xfId="0" applyFont="1" applyFill="1" applyBorder="1" applyNumberFormat="1">
      <alignment horizontal="left" vertical="center" wrapText="1"/>
      <protection locked="0"/>
    </xf>
    <xf numFmtId="3" fontId="23" fillId="33" borderId="15" xfId="0" applyFont="1" applyFill="1" applyBorder="1" applyNumberFormat="1">
      <alignment horizontal="right" vertical="center" wrapText="1"/>
      <protection locked="0"/>
    </xf>
    <xf numFmtId="49" fontId="23" fillId="33" borderId="13" xfId="0" applyFont="1" applyFill="1" applyBorder="1" applyNumberFormat="1">
      <alignment horizontal="left" vertical="center" wrapText="1"/>
      <protection locked="0"/>
    </xf>
    <xf numFmtId="0" fontId="23" fillId="0" borderId="14" xfId="0" applyFont="1" applyBorder="1">
      <alignment vertical="center" wrapText="1"/>
    </xf>
    <xf numFmtId="4" fontId="23" fillId="33" borderId="15" xfId="0" applyFont="1" applyFill="1" applyBorder="1" applyNumberFormat="1">
      <alignment horizontal="right" vertical="center" wrapText="1"/>
      <protection locked="0"/>
    </xf>
    <xf numFmtId="4" fontId="23" fillId="33" borderId="15" xfId="0" applyFont="1" applyFill="1" applyBorder="1" applyNumberFormat="1">
      <alignment horizontal="right" vertical="center" wrapText="1"/>
      <protection locked="0"/>
    </xf>
    <xf numFmtId="4" fontId="23" fillId="0" borderId="15" xfId="0" applyFont="1" applyBorder="1" applyNumberFormat="1">
      <alignment horizontal="right" vertical="center" wrapText="1"/>
    </xf>
    <xf numFmtId="4" fontId="23" fillId="0" borderId="28" xfId="0" applyFont="1" applyBorder="1" applyNumberFormat="1">
      <alignment horizontal="right" vertical="center" wrapText="1"/>
    </xf>
    <xf numFmtId="4" fontId="23" fillId="0" borderId="15" xfId="0" applyFont="1" applyBorder="1" applyNumberFormat="1">
      <alignment horizontal="right" vertical="center" wrapText="1"/>
    </xf>
    <xf numFmtId="4" fontId="23" fillId="0" borderId="28" xfId="0" applyFont="1" applyBorder="1" applyNumberFormat="1">
      <alignment horizontal="right" vertical="center" wrapText="1"/>
    </xf>
    <xf numFmtId="0" fontId="29" fillId="0" borderId="0" xfId="0" applyFont="1">
      <alignment vertical="center" wrapText="1"/>
    </xf>
    <xf numFmtId="0" fontId="45" fillId="0" borderId="0" xfId="0" applyFont="1">
      <alignment horizontal="center" vertical="center" wrapText="1"/>
    </xf>
    <xf numFmtId="0" fontId="89" fillId="0" borderId="0" xfId="0" applyFont="1">
      <alignment vertical="center" wrapText="1"/>
    </xf>
    <xf numFmtId="49" fontId="23" fillId="41" borderId="13" xfId="0" applyFont="1" applyFill="1" applyBorder="1" applyNumberFormat="1">
      <alignment horizontal="left" vertical="center" wrapText="1"/>
      <protection locked="0"/>
    </xf>
    <xf numFmtId="0" fontId="23" fillId="0" borderId="13" xfId="0" applyFont="1" applyBorder="1">
      <alignment horizontal="center" vertical="center" wrapText="1"/>
    </xf>
    <xf numFmtId="0" fontId="23" fillId="0" borderId="20" xfId="0" applyFont="1" applyBorder="1">
      <alignment horizontal="left" vertical="center" wrapText="1" indent="1"/>
    </xf>
    <xf numFmtId="0" fontId="23" fillId="0" borderId="20" xfId="0" applyFont="1" applyBorder="1">
      <alignment horizontal="left" vertical="center" wrapText="1" indent="1"/>
    </xf>
    <xf numFmtId="0" fontId="23" fillId="0" borderId="29" xfId="0" applyFont="1" applyBorder="1">
      <alignment horizontal="left" vertical="center" wrapText="1" indent="1"/>
    </xf>
    <xf numFmtId="0" fontId="23" fillId="0" borderId="29" xfId="0" applyFont="1" applyBorder="1">
      <alignment horizontal="left" vertical="center" wrapText="1" indent="1"/>
    </xf>
    <xf numFmtId="0" fontId="23" fillId="0" borderId="0" xfId="0" applyFont="1">
      <alignment horizontal="left" vertical="center" wrapText="1"/>
    </xf>
    <xf numFmtId="0" fontId="23" fillId="0" borderId="0" xfId="0" applyFont="1">
      <alignment horizontal="left" vertical="center" wrapText="1"/>
    </xf>
    <xf numFmtId="0" fontId="23" fillId="38" borderId="15" xfId="0" applyFont="1" applyFill="1" applyBorder="1">
      <alignment horizontal="left" vertical="top" wrapText="1" indent="1"/>
    </xf>
    <xf numFmtId="0" fontId="23" fillId="0" borderId="13" xfId="0" applyFont="1" applyBorder="1">
      <alignment horizontal="center" vertical="center" wrapText="1"/>
    </xf>
    <xf numFmtId="0" fontId="23" fillId="0" borderId="13" xfId="0" applyFont="1" applyBorder="1">
      <alignment horizontal="center" vertical="center" wrapText="1"/>
    </xf>
    <xf numFmtId="0" fontId="23" fillId="0" borderId="15" xfId="0" applyFont="1" applyBorder="1">
      <alignment horizontal="center" vertical="center" wrapText="1"/>
    </xf>
    <xf numFmtId="3" fontId="23" fillId="41" borderId="15" xfId="0" applyFont="1" applyFill="1" applyBorder="1" applyNumberFormat="1">
      <alignment vertical="center" wrapText="1"/>
      <protection locked="0"/>
    </xf>
    <xf numFmtId="3" fontId="23" fillId="41" borderId="15" xfId="0" applyFont="1" applyFill="1" applyBorder="1" applyNumberFormat="1">
      <alignment vertical="center" wrapText="1"/>
      <protection locked="0"/>
    </xf>
    <xf numFmtId="49" fontId="23" fillId="33" borderId="15" xfId="0" applyFont="1" applyFill="1" applyBorder="1" applyNumberFormat="1">
      <alignment horizontal="left" vertical="center" wrapText="1"/>
      <protection locked="0"/>
    </xf>
    <xf numFmtId="49" fontId="23" fillId="33" borderId="15" xfId="0" applyFont="1" applyFill="1" applyBorder="1" applyNumberFormat="1">
      <alignment horizontal="left" vertical="center" wrapText="1"/>
      <protection locked="0"/>
    </xf>
    <xf numFmtId="0" fontId="23" fillId="0" borderId="13" xfId="0" applyFont="1" applyBorder="1">
      <alignment horizontal="left" vertical="top" wrapText="1"/>
    </xf>
    <xf numFmtId="4" fontId="23" fillId="38" borderId="15" xfId="0" applyFont="1" applyFill="1" applyBorder="1" applyNumberFormat="1">
      <alignment horizontal="right" vertical="center" wrapText="1"/>
    </xf>
    <xf numFmtId="4" fontId="23" fillId="38" borderId="15" xfId="0" applyFont="1" applyFill="1" applyBorder="1" applyNumberFormat="1">
      <alignment horizontal="right" vertical="center" wrapText="1"/>
    </xf>
    <xf numFmtId="0" fontId="55" fillId="0" borderId="13" xfId="0" applyFont="1" applyBorder="1">
      <alignment vertical="top" wrapText="1"/>
    </xf>
    <xf numFmtId="49" fontId="23" fillId="41" borderId="13" xfId="0" applyFont="1" applyFill="1" applyBorder="1" applyNumberFormat="1">
      <alignment horizontal="left" vertical="center" wrapText="1" indent="1"/>
      <protection locked="0"/>
    </xf>
    <xf numFmtId="0" fontId="23" fillId="0" borderId="18" xfId="0" applyFont="1" applyBorder="1">
      <alignment horizontal="left" vertical="top"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0" borderId="24" xfId="0" applyFont="1" applyBorder="1">
      <alignment horizontal="left" vertical="top" wrapText="1"/>
    </xf>
    <xf numFmtId="49" fontId="23" fillId="0" borderId="0" xfId="0" applyFont="1" applyNumberFormat="1">
      <alignment vertical="center" wrapText="1"/>
    </xf>
    <xf numFmtId="0" fontId="46" fillId="0" borderId="25" xfId="0" applyFont="1" applyBorder="1">
      <alignment horizontal="center" vertical="center" wrapText="1"/>
    </xf>
    <xf numFmtId="0" fontId="0" fillId="0" borderId="15" xfId="0" applyFont="1" applyBorder="1">
      <alignment horizontal="center" vertical="center"/>
    </xf>
    <xf numFmtId="49" fontId="0" fillId="0" borderId="13" xfId="0" applyFont="1" applyBorder="1" applyNumberFormat="1">
      <alignment horizontal="left" vertical="center" wrapText="1" indent="1"/>
    </xf>
    <xf numFmtId="0" fontId="23" fillId="0" borderId="14" xfId="0" applyFont="1" applyBorder="1">
      <alignment horizontal="center" vertical="center" wrapText="1"/>
    </xf>
    <xf numFmtId="49" fontId="29" fillId="33" borderId="13" xfId="0" applyFont="1" applyFill="1" applyBorder="1" applyNumberFormat="1">
      <alignment horizontal="left" vertical="center" wrapText="1"/>
      <protection locked="0"/>
    </xf>
    <xf numFmtId="49" fontId="29" fillId="33" borderId="13" xfId="0" applyFont="1" applyFill="1" applyBorder="1" applyNumberFormat="1">
      <alignment horizontal="left" vertical="center" wrapText="1"/>
      <protection locked="0"/>
    </xf>
    <xf numFmtId="250" fontId="0" fillId="33" borderId="13" xfId="0" applyFont="1" applyFill="1" applyBorder="1" applyNumberFormat="1">
      <alignment horizontal="left" vertical="center" wrapText="1" indent="1"/>
      <protection locked="0"/>
    </xf>
    <xf numFmtId="250" fontId="0" fillId="33" borderId="13" xfId="0" applyFont="1" applyFill="1" applyBorder="1" applyNumberFormat="1">
      <alignment horizontal="left" vertical="center" wrapText="1" indent="1"/>
      <protection locked="0"/>
    </xf>
    <xf numFmtId="49" fontId="23" fillId="41" borderId="15" xfId="0" applyFont="1" applyFill="1" applyBorder="1" applyNumberFormat="1">
      <alignment horizontal="left" vertical="center" wrapText="1"/>
      <protection locked="0"/>
    </xf>
    <xf numFmtId="49" fontId="23" fillId="41" borderId="15" xfId="0" applyFont="1" applyFill="1" applyBorder="1" applyNumberFormat="1">
      <alignment horizontal="left" vertical="center" wrapText="1"/>
      <protection locked="0"/>
    </xf>
    <xf numFmtId="250" fontId="0" fillId="41" borderId="13" xfId="0" applyFont="1" applyFill="1" applyBorder="1" applyNumberFormat="1">
      <alignment horizontal="left" vertical="center" wrapText="1" indent="1"/>
      <protection locked="0"/>
    </xf>
    <xf numFmtId="0" fontId="23" fillId="0" borderId="25" xfId="0" applyFont="1" applyBorder="1">
      <alignment horizontal="center" vertical="center" wrapText="1"/>
    </xf>
    <xf numFmtId="0" fontId="23" fillId="0" borderId="14" xfId="0" applyFont="1" applyBorder="1">
      <alignment horizontal="right" vertical="center" wrapText="1" indent="1"/>
    </xf>
    <xf numFmtId="0" fontId="23" fillId="0" borderId="15" xfId="0" applyFont="1" applyBorder="1">
      <alignment horizontal="center" vertical="center" wrapText="1"/>
    </xf>
    <xf numFmtId="49" fontId="0" fillId="0" borderId="15" xfId="0" applyFont="1" applyBorder="1" applyNumberFormat="1">
      <alignment horizontal="center" vertical="center"/>
    </xf>
    <xf numFmtId="49" fontId="0" fillId="0" borderId="13" xfId="0" applyFont="1" applyBorder="1" applyNumberFormat="1">
      <alignment vertical="center" wrapText="1"/>
    </xf>
    <xf numFmtId="0" fontId="23" fillId="0" borderId="14" xfId="0" applyFont="1" applyBorder="1">
      <alignment horizontal="center" vertical="center" wrapText="1"/>
    </xf>
    <xf numFmtId="0" fontId="23" fillId="0" borderId="14" xfId="0" applyFont="1" applyBorder="1">
      <alignment horizontal="center"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55" fillId="40" borderId="14" xfId="0" applyFont="1" applyFill="1" applyBorder="1">
      <alignment vertical="center" wrapText="1"/>
    </xf>
    <xf numFmtId="0" fontId="23" fillId="0" borderId="0" xfId="0" applyFont="1">
      <alignment horizontal="left" vertical="center" wrapText="1"/>
    </xf>
    <xf numFmtId="0" fontId="23" fillId="0" borderId="14" xfId="0" applyFont="1" applyBorder="1">
      <alignment horizontal="center"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16" xfId="0" applyFont="1" applyFill="1" applyBorder="1">
      <alignment vertical="center" wrapText="1"/>
    </xf>
    <xf numFmtId="0" fontId="23" fillId="40" borderId="20" xfId="0" applyFont="1" applyFill="1" applyBorder="1">
      <alignment vertical="center" wrapText="1"/>
    </xf>
    <xf numFmtId="0" fontId="23" fillId="40" borderId="16" xfId="0" applyFont="1" applyFill="1" applyBorder="1">
      <alignment vertical="center" wrapText="1"/>
    </xf>
    <xf numFmtId="0" fontId="23" fillId="40" borderId="20" xfId="0" applyFont="1" applyFill="1" applyBorder="1">
      <alignment vertical="center" wrapText="1"/>
    </xf>
    <xf numFmtId="0" fontId="23" fillId="40" borderId="16" xfId="0" applyFont="1" applyFill="1" applyBorder="1">
      <alignment vertical="center" wrapText="1"/>
    </xf>
    <xf numFmtId="0" fontId="23" fillId="40" borderId="20" xfId="0" applyFont="1" applyFill="1" applyBorder="1">
      <alignment vertical="center" wrapText="1"/>
    </xf>
    <xf numFmtId="0" fontId="23" fillId="40" borderId="16" xfId="0" applyFont="1" applyFill="1" applyBorder="1">
      <alignment vertical="center" wrapText="1"/>
    </xf>
    <xf numFmtId="0" fontId="23" fillId="40" borderId="20" xfId="0" applyFont="1" applyFill="1" applyBorder="1">
      <alignment vertical="center" wrapText="1"/>
    </xf>
    <xf numFmtId="0" fontId="23" fillId="40" borderId="16" xfId="0" applyFont="1" applyFill="1" applyBorder="1">
      <alignment vertical="center" wrapText="1"/>
    </xf>
    <xf numFmtId="0" fontId="23" fillId="40" borderId="20" xfId="0" applyFont="1" applyFill="1" applyBorder="1">
      <alignment vertical="center" wrapText="1"/>
    </xf>
    <xf numFmtId="0" fontId="23" fillId="40" borderId="16" xfId="0" applyFont="1" applyFill="1" applyBorder="1">
      <alignment vertical="center" wrapText="1"/>
    </xf>
    <xf numFmtId="0" fontId="23" fillId="40" borderId="20" xfId="0" applyFont="1" applyFill="1" applyBorder="1">
      <alignment vertical="center" wrapText="1"/>
    </xf>
    <xf numFmtId="0" fontId="23" fillId="40" borderId="16" xfId="0" applyFont="1" applyFill="1" applyBorder="1">
      <alignment vertical="center" wrapText="1"/>
    </xf>
    <xf numFmtId="0" fontId="23" fillId="40" borderId="20" xfId="0" applyFont="1" applyFill="1" applyBorder="1">
      <alignment vertical="center" wrapText="1"/>
    </xf>
    <xf numFmtId="0" fontId="23" fillId="40" borderId="16" xfId="0" applyFont="1" applyFill="1" applyBorder="1">
      <alignment vertical="center" wrapText="1"/>
    </xf>
    <xf numFmtId="0" fontId="23" fillId="40" borderId="20" xfId="0" applyFont="1" applyFill="1" applyBorder="1">
      <alignment vertical="center" wrapText="1"/>
    </xf>
    <xf numFmtId="0" fontId="23" fillId="40" borderId="16" xfId="0" applyFont="1" applyFill="1" applyBorder="1">
      <alignment vertical="center" wrapText="1"/>
    </xf>
    <xf numFmtId="0" fontId="23" fillId="40" borderId="20" xfId="0" applyFont="1" applyFill="1" applyBorder="1">
      <alignment vertical="center" wrapText="1"/>
    </xf>
    <xf numFmtId="0" fontId="23" fillId="40" borderId="16" xfId="0" applyFont="1" applyFill="1" applyBorder="1">
      <alignment vertical="center" wrapText="1"/>
    </xf>
    <xf numFmtId="0" fontId="23" fillId="40" borderId="20" xfId="0" applyFont="1" applyFill="1" applyBorder="1">
      <alignment vertical="center" wrapText="1"/>
    </xf>
    <xf numFmtId="0" fontId="23" fillId="40" borderId="16" xfId="0" applyFont="1" applyFill="1" applyBorder="1">
      <alignment vertical="center" wrapText="1"/>
    </xf>
    <xf numFmtId="0" fontId="23" fillId="40" borderId="20" xfId="0" applyFont="1" applyFill="1" applyBorder="1">
      <alignment vertical="center" wrapText="1"/>
    </xf>
    <xf numFmtId="0" fontId="23" fillId="40" borderId="16" xfId="0" applyFont="1" applyFill="1" applyBorder="1">
      <alignment vertical="center" wrapText="1"/>
    </xf>
    <xf numFmtId="0" fontId="23" fillId="40" borderId="20" xfId="0" applyFont="1" applyFill="1" applyBorder="1">
      <alignment vertical="center" wrapText="1"/>
    </xf>
    <xf numFmtId="0" fontId="23" fillId="40" borderId="16" xfId="0" applyFont="1" applyFill="1" applyBorder="1">
      <alignment vertical="center" wrapText="1"/>
    </xf>
    <xf numFmtId="0" fontId="23" fillId="40" borderId="20" xfId="0" applyFont="1" applyFill="1" applyBorder="1">
      <alignment vertical="center" wrapText="1"/>
    </xf>
    <xf numFmtId="0" fontId="23" fillId="40" borderId="16" xfId="0" applyFont="1" applyFill="1" applyBorder="1">
      <alignment vertical="center" wrapText="1"/>
    </xf>
    <xf numFmtId="0" fontId="23" fillId="40" borderId="20" xfId="0" applyFont="1" applyFill="1" applyBorder="1">
      <alignment vertical="center" wrapText="1"/>
    </xf>
    <xf numFmtId="0" fontId="23" fillId="40" borderId="16" xfId="0" applyFont="1" applyFill="1" applyBorder="1">
      <alignment vertical="center" wrapText="1"/>
    </xf>
    <xf numFmtId="0" fontId="23" fillId="40" borderId="20" xfId="0" applyFont="1" applyFill="1" applyBorder="1">
      <alignment vertical="center" wrapText="1"/>
    </xf>
    <xf numFmtId="0" fontId="23" fillId="40" borderId="16" xfId="0" applyFont="1" applyFill="1" applyBorder="1">
      <alignment vertical="center" wrapText="1"/>
    </xf>
    <xf numFmtId="0" fontId="23" fillId="40" borderId="20" xfId="0" applyFont="1" applyFill="1" applyBorder="1">
      <alignment vertical="center" wrapText="1"/>
    </xf>
    <xf numFmtId="0" fontId="23" fillId="40" borderId="16" xfId="0" applyFont="1" applyFill="1" applyBorder="1">
      <alignment vertical="center" wrapText="1"/>
    </xf>
    <xf numFmtId="0" fontId="23" fillId="40" borderId="20" xfId="0" applyFont="1" applyFill="1" applyBorder="1">
      <alignment vertical="center" wrapText="1"/>
    </xf>
    <xf numFmtId="0" fontId="23" fillId="40" borderId="16" xfId="0" applyFont="1" applyFill="1" applyBorder="1">
      <alignment vertical="center" wrapText="1"/>
    </xf>
    <xf numFmtId="0" fontId="23" fillId="40" borderId="20" xfId="0" applyFont="1" applyFill="1" applyBorder="1">
      <alignment vertical="center" wrapText="1"/>
    </xf>
    <xf numFmtId="0" fontId="23" fillId="40" borderId="16" xfId="0" applyFont="1" applyFill="1" applyBorder="1">
      <alignment vertical="center" wrapText="1"/>
    </xf>
    <xf numFmtId="0" fontId="23" fillId="40" borderId="20" xfId="0" applyFont="1" applyFill="1" applyBorder="1">
      <alignment vertical="center" wrapText="1"/>
    </xf>
    <xf numFmtId="0" fontId="23" fillId="40" borderId="16" xfId="0" applyFont="1" applyFill="1" applyBorder="1">
      <alignment vertical="center" wrapText="1"/>
    </xf>
    <xf numFmtId="0" fontId="23" fillId="40" borderId="20" xfId="0" applyFont="1" applyFill="1" applyBorder="1">
      <alignment vertical="center" wrapText="1"/>
    </xf>
    <xf numFmtId="0" fontId="23" fillId="40" borderId="16" xfId="0" applyFont="1" applyFill="1" applyBorder="1">
      <alignment vertical="center" wrapText="1"/>
    </xf>
    <xf numFmtId="0" fontId="23" fillId="40" borderId="20" xfId="0" applyFont="1" applyFill="1" applyBorder="1">
      <alignment vertical="center" wrapText="1"/>
    </xf>
    <xf numFmtId="0" fontId="23" fillId="40" borderId="16" xfId="0" applyFont="1" applyFill="1" applyBorder="1">
      <alignment vertical="center" wrapText="1"/>
    </xf>
    <xf numFmtId="0" fontId="23" fillId="40" borderId="20" xfId="0" applyFont="1" applyFill="1" applyBorder="1">
      <alignment vertical="center" wrapText="1"/>
    </xf>
    <xf numFmtId="0" fontId="23" fillId="40" borderId="16" xfId="0" applyFont="1" applyFill="1" applyBorder="1">
      <alignment vertical="center" wrapText="1"/>
    </xf>
    <xf numFmtId="0" fontId="23" fillId="40" borderId="20" xfId="0" applyFont="1" applyFill="1" applyBorder="1">
      <alignment vertical="center" wrapText="1"/>
    </xf>
    <xf numFmtId="0" fontId="23" fillId="40" borderId="16" xfId="0" applyFont="1" applyFill="1" applyBorder="1">
      <alignment vertical="center" wrapText="1"/>
    </xf>
    <xf numFmtId="0" fontId="23" fillId="40" borderId="20" xfId="0" applyFont="1" applyFill="1" applyBorder="1">
      <alignment vertical="center" wrapText="1"/>
    </xf>
    <xf numFmtId="0" fontId="23" fillId="40" borderId="16" xfId="0" applyFont="1" applyFill="1" applyBorder="1">
      <alignment vertical="center" wrapText="1"/>
    </xf>
    <xf numFmtId="0" fontId="23" fillId="40" borderId="20" xfId="0" applyFont="1" applyFill="1" applyBorder="1">
      <alignment vertical="center" wrapText="1"/>
    </xf>
    <xf numFmtId="0" fontId="23" fillId="40" borderId="16" xfId="0" applyFont="1" applyFill="1" applyBorder="1">
      <alignment vertical="center" wrapText="1"/>
    </xf>
    <xf numFmtId="0" fontId="23" fillId="40" borderId="20" xfId="0" applyFont="1" applyFill="1" applyBorder="1">
      <alignment vertical="center" wrapText="1"/>
    </xf>
    <xf numFmtId="0" fontId="23" fillId="40" borderId="16" xfId="0" applyFont="1" applyFill="1" applyBorder="1">
      <alignment vertical="center" wrapText="1"/>
    </xf>
    <xf numFmtId="0" fontId="23" fillId="0" borderId="16" xfId="0" applyFont="1" applyBorder="1">
      <alignment horizontal="center" vertical="center" wrapText="1"/>
    </xf>
    <xf numFmtId="49" fontId="23" fillId="42" borderId="13" xfId="0" applyFont="1" applyFill="1" applyBorder="1" applyNumberFormat="1">
      <alignment horizontal="center" vertical="center" wrapText="1"/>
    </xf>
    <xf numFmtId="49" fontId="23" fillId="42" borderId="13" xfId="0" applyFont="1" applyFill="1" applyBorder="1" applyNumberFormat="1">
      <alignment horizontal="center" vertical="center" wrapText="1"/>
    </xf>
    <xf numFmtId="49" fontId="23" fillId="42" borderId="13" xfId="0" applyFont="1" applyFill="1" applyBorder="1" applyNumberFormat="1">
      <alignment horizontal="center"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0" borderId="13" xfId="0" applyFont="1" applyBorder="1">
      <alignment horizontal="center" vertical="center" wrapText="1"/>
    </xf>
    <xf numFmtId="0" fontId="23" fillId="40" borderId="29" xfId="0" applyFont="1" applyFill="1" applyBorder="1">
      <alignment vertical="center" wrapText="1"/>
    </xf>
    <xf numFmtId="0" fontId="23" fillId="40" borderId="16" xfId="0" applyFont="1" applyFill="1" applyBorder="1">
      <alignment vertical="center" wrapText="1"/>
    </xf>
    <xf numFmtId="0" fontId="23" fillId="40" borderId="29" xfId="0" applyFont="1" applyFill="1" applyBorder="1">
      <alignment vertical="center" wrapText="1"/>
    </xf>
    <xf numFmtId="0" fontId="23" fillId="40" borderId="16" xfId="0" applyFont="1" applyFill="1" applyBorder="1">
      <alignment vertical="center" wrapText="1"/>
    </xf>
    <xf numFmtId="0" fontId="23" fillId="40" borderId="29" xfId="0" applyFont="1" applyFill="1" applyBorder="1">
      <alignment vertical="center" wrapText="1"/>
    </xf>
    <xf numFmtId="0" fontId="23" fillId="40" borderId="16" xfId="0" applyFont="1" applyFill="1" applyBorder="1">
      <alignment vertical="center" wrapText="1"/>
    </xf>
    <xf numFmtId="0" fontId="23" fillId="40" borderId="29" xfId="0" applyFont="1" applyFill="1" applyBorder="1">
      <alignment vertical="center" wrapText="1"/>
    </xf>
    <xf numFmtId="0" fontId="23" fillId="40" borderId="16" xfId="0" applyFont="1" applyFill="1" applyBorder="1">
      <alignment vertical="center" wrapText="1"/>
    </xf>
    <xf numFmtId="0" fontId="23" fillId="40" borderId="29" xfId="0" applyFont="1" applyFill="1" applyBorder="1">
      <alignment vertical="center" wrapText="1"/>
    </xf>
    <xf numFmtId="0" fontId="23" fillId="40" borderId="16" xfId="0" applyFont="1" applyFill="1" applyBorder="1">
      <alignment vertical="center" wrapText="1"/>
    </xf>
    <xf numFmtId="0" fontId="23" fillId="40" borderId="29" xfId="0" applyFont="1" applyFill="1" applyBorder="1">
      <alignment vertical="center" wrapText="1"/>
    </xf>
    <xf numFmtId="0" fontId="23" fillId="40" borderId="16" xfId="0" applyFont="1" applyFill="1" applyBorder="1">
      <alignment vertical="center" wrapText="1"/>
    </xf>
    <xf numFmtId="0" fontId="23" fillId="40" borderId="29" xfId="0" applyFont="1" applyFill="1" applyBorder="1">
      <alignment vertical="center" wrapText="1"/>
    </xf>
    <xf numFmtId="0" fontId="23" fillId="40" borderId="16" xfId="0" applyFont="1" applyFill="1" applyBorder="1">
      <alignment vertical="center" wrapText="1"/>
    </xf>
    <xf numFmtId="0" fontId="23" fillId="40" borderId="29" xfId="0" applyFont="1" applyFill="1" applyBorder="1">
      <alignment vertical="center" wrapText="1"/>
    </xf>
    <xf numFmtId="0" fontId="23" fillId="40" borderId="16" xfId="0" applyFont="1" applyFill="1" applyBorder="1">
      <alignment vertical="center" wrapText="1"/>
    </xf>
    <xf numFmtId="0" fontId="23" fillId="40" borderId="29" xfId="0" applyFont="1" applyFill="1" applyBorder="1">
      <alignment vertical="center" wrapText="1"/>
    </xf>
    <xf numFmtId="0" fontId="23" fillId="40" borderId="16" xfId="0" applyFont="1" applyFill="1" applyBorder="1">
      <alignment vertical="center" wrapText="1"/>
    </xf>
    <xf numFmtId="0" fontId="23" fillId="40" borderId="29" xfId="0" applyFont="1" applyFill="1" applyBorder="1">
      <alignment vertical="center" wrapText="1"/>
    </xf>
    <xf numFmtId="0" fontId="23" fillId="40" borderId="16" xfId="0" applyFont="1" applyFill="1" applyBorder="1">
      <alignment vertical="center" wrapText="1"/>
    </xf>
    <xf numFmtId="0" fontId="23" fillId="40" borderId="29" xfId="0" applyFont="1" applyFill="1" applyBorder="1">
      <alignment vertical="center" wrapText="1"/>
    </xf>
    <xf numFmtId="0" fontId="23" fillId="40" borderId="16" xfId="0" applyFont="1" applyFill="1" applyBorder="1">
      <alignment vertical="center" wrapText="1"/>
    </xf>
    <xf numFmtId="0" fontId="23" fillId="40" borderId="29" xfId="0" applyFont="1" applyFill="1" applyBorder="1">
      <alignment vertical="center" wrapText="1"/>
    </xf>
    <xf numFmtId="0" fontId="23" fillId="40" borderId="16" xfId="0" applyFont="1" applyFill="1" applyBorder="1">
      <alignment vertical="center" wrapText="1"/>
    </xf>
    <xf numFmtId="0" fontId="23" fillId="40" borderId="29" xfId="0" applyFont="1" applyFill="1" applyBorder="1">
      <alignment vertical="center" wrapText="1"/>
    </xf>
    <xf numFmtId="0" fontId="23" fillId="40" borderId="16" xfId="0" applyFont="1" applyFill="1" applyBorder="1">
      <alignment vertical="center" wrapText="1"/>
    </xf>
    <xf numFmtId="0" fontId="23" fillId="40" borderId="29" xfId="0" applyFont="1" applyFill="1" applyBorder="1">
      <alignment vertical="center" wrapText="1"/>
    </xf>
    <xf numFmtId="0" fontId="23" fillId="40" borderId="16" xfId="0" applyFont="1" applyFill="1" applyBorder="1">
      <alignment vertical="center" wrapText="1"/>
    </xf>
    <xf numFmtId="0" fontId="23" fillId="40" borderId="29" xfId="0" applyFont="1" applyFill="1" applyBorder="1">
      <alignment vertical="center" wrapText="1"/>
    </xf>
    <xf numFmtId="0" fontId="23" fillId="40" borderId="16" xfId="0" applyFont="1" applyFill="1" applyBorder="1">
      <alignment vertical="center" wrapText="1"/>
    </xf>
    <xf numFmtId="0" fontId="23" fillId="40" borderId="29" xfId="0" applyFont="1" applyFill="1" applyBorder="1">
      <alignment vertical="center" wrapText="1"/>
    </xf>
    <xf numFmtId="0" fontId="23" fillId="40" borderId="16" xfId="0" applyFont="1" applyFill="1" applyBorder="1">
      <alignment vertical="center" wrapText="1"/>
    </xf>
    <xf numFmtId="0" fontId="23" fillId="40" borderId="29" xfId="0" applyFont="1" applyFill="1" applyBorder="1">
      <alignment vertical="center" wrapText="1"/>
    </xf>
    <xf numFmtId="0" fontId="23" fillId="40" borderId="16" xfId="0" applyFont="1" applyFill="1" applyBorder="1">
      <alignment vertical="center" wrapText="1"/>
    </xf>
    <xf numFmtId="0" fontId="23" fillId="40" borderId="29" xfId="0" applyFont="1" applyFill="1" applyBorder="1">
      <alignment vertical="center" wrapText="1"/>
    </xf>
    <xf numFmtId="0" fontId="23" fillId="40" borderId="16" xfId="0" applyFont="1" applyFill="1" applyBorder="1">
      <alignment vertical="center" wrapText="1"/>
    </xf>
    <xf numFmtId="0" fontId="23" fillId="40" borderId="29" xfId="0" applyFont="1" applyFill="1" applyBorder="1">
      <alignment vertical="center" wrapText="1"/>
    </xf>
    <xf numFmtId="0" fontId="23" fillId="40" borderId="16" xfId="0" applyFont="1" applyFill="1" applyBorder="1">
      <alignment vertical="center" wrapText="1"/>
    </xf>
    <xf numFmtId="0" fontId="23" fillId="40" borderId="29" xfId="0" applyFont="1" applyFill="1" applyBorder="1">
      <alignment vertical="center" wrapText="1"/>
    </xf>
    <xf numFmtId="0" fontId="23" fillId="40" borderId="16" xfId="0" applyFont="1" applyFill="1" applyBorder="1">
      <alignment vertical="center" wrapText="1"/>
    </xf>
    <xf numFmtId="0" fontId="23" fillId="40" borderId="29" xfId="0" applyFont="1" applyFill="1" applyBorder="1">
      <alignment vertical="center" wrapText="1"/>
    </xf>
    <xf numFmtId="0" fontId="23" fillId="40" borderId="16" xfId="0" applyFont="1" applyFill="1" applyBorder="1">
      <alignment vertical="center" wrapText="1"/>
    </xf>
    <xf numFmtId="0" fontId="23" fillId="40" borderId="29" xfId="0" applyFont="1" applyFill="1" applyBorder="1">
      <alignment vertical="center" wrapText="1"/>
    </xf>
    <xf numFmtId="0" fontId="23" fillId="40" borderId="16" xfId="0" applyFont="1" applyFill="1" applyBorder="1">
      <alignment vertical="center" wrapText="1"/>
    </xf>
    <xf numFmtId="0" fontId="23" fillId="40" borderId="29" xfId="0" applyFont="1" applyFill="1" applyBorder="1">
      <alignment vertical="center" wrapText="1"/>
    </xf>
    <xf numFmtId="0" fontId="23" fillId="40" borderId="16" xfId="0" applyFont="1" applyFill="1" applyBorder="1">
      <alignment vertical="center" wrapText="1"/>
    </xf>
    <xf numFmtId="0" fontId="23" fillId="40" borderId="29" xfId="0" applyFont="1" applyFill="1" applyBorder="1">
      <alignment vertical="center" wrapText="1"/>
    </xf>
    <xf numFmtId="0" fontId="23" fillId="40" borderId="16" xfId="0" applyFont="1" applyFill="1" applyBorder="1">
      <alignment vertical="center" wrapText="1"/>
    </xf>
    <xf numFmtId="0" fontId="23" fillId="40" borderId="29" xfId="0" applyFont="1" applyFill="1" applyBorder="1">
      <alignment vertical="center" wrapText="1"/>
    </xf>
    <xf numFmtId="0" fontId="23" fillId="40" borderId="16" xfId="0" applyFont="1" applyFill="1" applyBorder="1">
      <alignment vertical="center" wrapText="1"/>
    </xf>
    <xf numFmtId="0" fontId="23" fillId="40" borderId="29" xfId="0" applyFont="1" applyFill="1" applyBorder="1">
      <alignment vertical="center" wrapText="1"/>
    </xf>
    <xf numFmtId="0" fontId="23" fillId="40" borderId="16" xfId="0" applyFont="1" applyFill="1" applyBorder="1">
      <alignment vertical="center" wrapText="1"/>
    </xf>
    <xf numFmtId="0" fontId="23" fillId="40" borderId="29" xfId="0" applyFont="1" applyFill="1" applyBorder="1">
      <alignment vertical="center" wrapText="1"/>
    </xf>
    <xf numFmtId="0" fontId="23" fillId="40" borderId="16" xfId="0" applyFont="1" applyFill="1" applyBorder="1">
      <alignment vertical="center" wrapText="1"/>
    </xf>
    <xf numFmtId="0" fontId="23" fillId="40" borderId="29" xfId="0" applyFont="1" applyFill="1" applyBorder="1">
      <alignment vertical="center" wrapText="1"/>
    </xf>
    <xf numFmtId="0" fontId="23" fillId="0" borderId="0" xfId="0" applyFont="1">
      <alignment horizontal="left" vertical="center" wrapText="1" indent="1"/>
    </xf>
    <xf numFmtId="0" fontId="22" fillId="0" borderId="0" xfId="0" applyFont="1">
      <alignment vertical="center" wrapText="1"/>
    </xf>
    <xf numFmtId="0" fontId="0" fillId="36" borderId="15" xfId="0" applyFont="1" applyFill="1" applyBorder="1">
      <alignment horizontal="right" vertical="center" wrapText="1" indent="1"/>
    </xf>
    <xf numFmtId="0" fontId="78" fillId="0" borderId="0" xfId="0" applyFont="1">
      <alignment vertical="center" wrapText="1"/>
    </xf>
    <xf numFmtId="0" fontId="0" fillId="0" borderId="18" xfId="0" applyFont="1" applyBorder="1">
      <alignment horizontal="center" vertical="center" wrapText="1"/>
    </xf>
    <xf numFmtId="0" fontId="23" fillId="36" borderId="15" xfId="0" applyFont="1" applyFill="1" applyBorder="1">
      <alignment horizontal="center" vertical="center" wrapText="1"/>
    </xf>
    <xf numFmtId="0" fontId="23" fillId="36" borderId="16" xfId="0" applyFont="1" applyFill="1" applyBorder="1">
      <alignment horizontal="center" vertical="center" wrapText="1"/>
    </xf>
    <xf numFmtId="0" fontId="23" fillId="36" borderId="14" xfId="0" applyFont="1" applyFill="1" applyBorder="1">
      <alignment horizontal="center" vertical="center" wrapText="1"/>
    </xf>
    <xf numFmtId="0" fontId="0" fillId="0" borderId="24" xfId="0" applyFont="1" applyBorder="1">
      <alignment horizontal="center" vertical="center" wrapText="1"/>
    </xf>
    <xf numFmtId="0" fontId="0" fillId="0" borderId="15" xfId="0" applyFont="1" applyBorder="1">
      <alignment horizontal="center" vertical="center" wrapText="1"/>
    </xf>
    <xf numFmtId="0" fontId="0" fillId="0" borderId="14" xfId="0" applyFont="1" applyBorder="1">
      <alignment horizontal="center" vertical="center" wrapText="1"/>
    </xf>
    <xf numFmtId="49" fontId="45" fillId="36" borderId="0" xfId="0" applyFont="1" applyFill="1" applyNumberFormat="1">
      <alignment horizontal="center" vertical="center" wrapText="1"/>
    </xf>
    <xf numFmtId="49" fontId="45" fillId="36" borderId="16" xfId="0" applyFont="1" applyFill="1" applyBorder="1" applyNumberFormat="1">
      <alignment horizontal="center" vertical="center" wrapText="1"/>
    </xf>
    <xf numFmtId="49" fontId="0" fillId="36" borderId="15" xfId="0" applyFont="1" applyFill="1" applyBorder="1" applyNumberFormat="1">
      <alignment horizontal="center" vertical="center" wrapText="1"/>
    </xf>
    <xf numFmtId="49" fontId="0" fillId="36" borderId="18" xfId="0" applyFont="1" applyFill="1" applyBorder="1" applyNumberFormat="1">
      <alignment horizontal="center" vertical="center" wrapText="1"/>
    </xf>
    <xf numFmtId="0" fontId="0" fillId="0" borderId="37" xfId="0" applyFont="1" applyBorder="1">
      <alignment horizontal="left" vertical="center" wrapText="1"/>
    </xf>
    <xf numFmtId="0" fontId="0" fillId="0" borderId="37" xfId="0" applyFont="1" applyBorder="1">
      <alignment horizontal="left" vertical="center" wrapText="1"/>
    </xf>
    <xf numFmtId="0" fontId="0" fillId="0" borderId="24" xfId="0" applyFont="1" applyBorder="1">
      <alignment horizontal="left" vertical="center" wrapText="1"/>
    </xf>
    <xf numFmtId="0" fontId="23" fillId="0" borderId="24" xfId="0" applyFont="1" applyBorder="1">
      <alignment horizontal="left" vertical="center" wrapText="1"/>
    </xf>
    <xf numFmtId="0" fontId="48" fillId="36" borderId="25" xfId="0" applyFont="1" applyFill="1" applyBorder="1">
      <alignment horizontal="center" vertical="top" wrapText="1"/>
    </xf>
    <xf numFmtId="49" fontId="0" fillId="36" borderId="13" xfId="0" applyFont="1" applyFill="1" applyBorder="1" applyNumberFormat="1">
      <alignment horizontal="center" vertical="center" wrapText="1"/>
    </xf>
    <xf numFmtId="0" fontId="132" fillId="38" borderId="13" xfId="0" applyFont="1" applyFill="1" applyBorder="1">
      <alignment horizontal="left" vertical="center" wrapText="1" indent="1"/>
    </xf>
    <xf numFmtId="0" fontId="0" fillId="38" borderId="13" xfId="0" applyFont="1" applyFill="1" applyBorder="1">
      <alignment horizontal="left" vertical="center" wrapText="1" indent="1"/>
    </xf>
    <xf numFmtId="250" fontId="0" fillId="41" borderId="14" xfId="0" applyFont="1" applyFill="1" applyBorder="1" applyNumberFormat="1">
      <alignment horizontal="left" vertical="center" wrapText="1"/>
      <protection locked="0"/>
    </xf>
    <xf numFmtId="0" fontId="23" fillId="40" borderId="28" xfId="0" applyFont="1" applyFill="1" applyBorder="1">
      <alignment vertical="center" wrapText="1"/>
    </xf>
    <xf numFmtId="49" fontId="49" fillId="40" borderId="29" xfId="0" applyFont="1" applyFill="1" applyBorder="1" applyNumberFormat="1">
      <alignment horizontal="left" vertical="center" indent="1"/>
    </xf>
    <xf numFmtId="49" fontId="49" fillId="40" borderId="29" xfId="0" applyFont="1" applyFill="1" applyBorder="1" applyNumberFormat="1">
      <alignment horizontal="left" vertical="center" indent="2"/>
    </xf>
    <xf numFmtId="0" fontId="23" fillId="0" borderId="13" xfId="0" applyFont="1" applyBorder="1">
      <alignment vertical="top" wrapText="1"/>
    </xf>
    <xf numFmtId="4" fontId="132" fillId="41" borderId="13" xfId="0" applyFont="1" applyFill="1" applyBorder="1" applyNumberFormat="1">
      <alignment horizontal="right" vertical="center" wrapText="1"/>
      <protection locked="0"/>
    </xf>
    <xf numFmtId="49" fontId="0" fillId="36" borderId="18" xfId="0" applyFont="1" applyFill="1" applyBorder="1" applyNumberFormat="1">
      <alignment horizontal="center" vertical="center" wrapText="1"/>
    </xf>
    <xf numFmtId="49" fontId="0" fillId="36" borderId="24" xfId="0" applyFont="1" applyFill="1" applyBorder="1" applyNumberFormat="1">
      <alignment horizontal="center" vertical="center" wrapText="1"/>
    </xf>
    <xf numFmtId="49" fontId="23" fillId="0" borderId="20" xfId="0" applyFont="1" applyBorder="1" applyNumberFormat="1">
      <alignment vertical="top"/>
    </xf>
    <xf numFmtId="0" fontId="22" fillId="0" borderId="0" xfId="0" applyFont="1">
      <alignment horizontal="right" vertical="top" wrapText="1"/>
    </xf>
    <xf numFmtId="0" fontId="23" fillId="36" borderId="13" xfId="0" applyFont="1" applyFill="1" applyBorder="1">
      <alignment horizontal="left" vertical="center" wrapText="1"/>
    </xf>
    <xf numFmtId="0" fontId="23" fillId="0" borderId="0" xfId="0" applyFont="1">
      <alignment horizontal="center" vertical="center" wrapText="1"/>
    </xf>
    <xf numFmtId="0" fontId="56" fillId="0" borderId="0" xfId="0" applyFont="1">
      <alignment horizontal="center" vertical="center" wrapText="1"/>
    </xf>
    <xf numFmtId="0" fontId="23" fillId="33" borderId="15" xfId="0" applyFont="1" applyFill="1" applyBorder="1">
      <alignment horizontal="left" vertical="center" wrapText="1"/>
      <protection locked="0"/>
    </xf>
    <xf numFmtId="0" fontId="23" fillId="33" borderId="16" xfId="0" applyFont="1" applyFill="1" applyBorder="1">
      <alignment horizontal="left" vertical="center" wrapText="1"/>
      <protection locked="0"/>
    </xf>
    <xf numFmtId="0" fontId="23" fillId="33" borderId="14" xfId="0" applyFont="1" applyFill="1" applyBorder="1">
      <alignment horizontal="left" vertical="center" wrapText="1"/>
      <protection locked="0"/>
    </xf>
    <xf numFmtId="49" fontId="23" fillId="33" borderId="15" xfId="0" applyFont="1" applyFill="1" applyBorder="1" applyNumberFormat="1">
      <alignment horizontal="left" vertical="center" wrapText="1"/>
      <protection locked="0"/>
    </xf>
    <xf numFmtId="49" fontId="23" fillId="33" borderId="16" xfId="0" applyFont="1" applyFill="1" applyBorder="1" applyNumberFormat="1">
      <alignment horizontal="left" vertical="center" wrapText="1"/>
      <protection locked="0"/>
    </xf>
    <xf numFmtId="49" fontId="23" fillId="33" borderId="14" xfId="0" applyFont="1" applyFill="1" applyBorder="1" applyNumberFormat="1">
      <alignment horizontal="left" vertical="center" wrapText="1"/>
      <protection locked="0"/>
    </xf>
    <xf numFmtId="49" fontId="23" fillId="33" borderId="13" xfId="0" applyFont="1" applyFill="1" applyBorder="1" applyNumberFormat="1">
      <alignment horizontal="left" vertical="center" wrapText="1" indent="6"/>
      <protection locked="0"/>
    </xf>
    <xf numFmtId="4" fontId="129" fillId="0" borderId="38" xfId="0" applyFont="1" applyBorder="1" applyNumberFormat="1">
      <alignment horizontal="right" vertical="center" wrapText="1"/>
    </xf>
    <xf numFmtId="0" fontId="54" fillId="0" borderId="13" xfId="0" applyFont="1" applyBorder="1">
      <alignment horizontal="left" vertical="top" wrapText="1"/>
    </xf>
    <xf numFmtId="49" fontId="23" fillId="0" borderId="13" xfId="0" applyFont="1" applyBorder="1" applyNumberFormat="1">
      <alignment horizontal="left" vertical="center" wrapText="1"/>
    </xf>
    <xf numFmtId="4" fontId="129" fillId="0" borderId="28" xfId="0" applyFont="1" applyBorder="1" applyNumberFormat="1">
      <alignment horizontal="right" vertical="center" wrapText="1"/>
    </xf>
    <xf numFmtId="49" fontId="0" fillId="40" borderId="31" xfId="0" applyFont="1" applyFill="1" applyBorder="1" applyNumberFormat="1">
      <alignment horizontal="center" vertical="center" wrapText="1"/>
    </xf>
    <xf numFmtId="0" fontId="56" fillId="0" borderId="0" xfId="0" applyFont="1">
      <alignment horizontal="center" vertical="center"/>
    </xf>
    <xf numFmtId="0" fontId="55" fillId="0" borderId="0" xfId="0" applyFont="1">
      <alignment horizontal="center" vertical="center" wrapText="1"/>
    </xf>
    <xf numFmtId="0" fontId="117" fillId="0" borderId="0" xfId="0" applyFont="1">
      <alignment vertical="center" wrapText="1"/>
    </xf>
    <xf numFmtId="0" fontId="23" fillId="0" borderId="0" xfId="0" applyFont="1">
      <alignment horizontal="right" vertical="center" wrapText="1"/>
    </xf>
    <xf numFmtId="0" fontId="23" fillId="0" borderId="18" xfId="0" applyFont="1" applyBorder="1">
      <alignment horizontal="center" vertical="center" wrapText="1"/>
    </xf>
    <xf numFmtId="0" fontId="0" fillId="0" borderId="13" xfId="0" applyFont="1" applyBorder="1">
      <alignment horizontal="center" vertical="center" wrapText="1"/>
    </xf>
    <xf numFmtId="0" fontId="86" fillId="36" borderId="20" xfId="0" applyFont="1" applyFill="1" applyBorder="1">
      <alignment horizontal="center" vertical="center" wrapText="1"/>
    </xf>
    <xf numFmtId="0" fontId="23" fillId="36" borderId="13" xfId="0" applyFont="1" applyFill="1" applyBorder="1">
      <alignment horizontal="left" vertical="center" wrapText="1"/>
    </xf>
    <xf numFmtId="0" fontId="23" fillId="0" borderId="0" xfId="0" applyFont="1">
      <alignment horizontal="center" vertical="center" wrapText="1"/>
    </xf>
    <xf numFmtId="0" fontId="56" fillId="0" borderId="0" xfId="0" applyFont="1">
      <alignment horizontal="center" vertical="center" wrapText="1"/>
    </xf>
    <xf numFmtId="49" fontId="23" fillId="0" borderId="13" xfId="0" applyFont="1" applyBorder="1" applyNumberFormat="1">
      <alignment horizontal="left" vertical="center" wrapText="1"/>
    </xf>
    <xf numFmtId="0" fontId="55" fillId="0" borderId="0" xfId="0" applyFont="1">
      <alignment horizontal="center" vertical="center" wrapText="1"/>
    </xf>
    <xf numFmtId="49" fontId="23" fillId="0" borderId="0" xfId="0" applyFont="1" applyNumberFormat="1">
      <alignment vertical="center" wrapText="1"/>
    </xf>
    <xf numFmtId="0" fontId="23" fillId="36" borderId="13" xfId="0" applyFont="1" applyFill="1" applyBorder="1">
      <alignment horizontal="left" vertical="center" wrapText="1"/>
    </xf>
    <xf numFmtId="0" fontId="23" fillId="0" borderId="0" xfId="0" applyFont="1">
      <alignment horizontal="center" vertical="center" wrapText="1"/>
    </xf>
    <xf numFmtId="0" fontId="56" fillId="0" borderId="0" xfId="0" applyFont="1">
      <alignment horizontal="center" vertical="center" wrapText="1"/>
    </xf>
    <xf numFmtId="49" fontId="23" fillId="0" borderId="13" xfId="0" applyFont="1" applyBorder="1" applyNumberFormat="1">
      <alignment horizontal="left" vertical="center" wrapText="1"/>
    </xf>
    <xf numFmtId="0" fontId="56" fillId="0" borderId="0" xfId="0" applyFont="1">
      <alignment horizontal="center" vertical="center"/>
    </xf>
    <xf numFmtId="0" fontId="55" fillId="0" borderId="0" xfId="0" applyFont="1">
      <alignment horizontal="center" vertical="center" wrapText="1"/>
    </xf>
    <xf numFmtId="0" fontId="23" fillId="0" borderId="0" xfId="0" applyFont="1">
      <alignment horizontal="right" vertical="center" wrapText="1"/>
    </xf>
    <xf numFmtId="0" fontId="23" fillId="0" borderId="18" xfId="0" applyFont="1" applyBorder="1">
      <alignment horizontal="center" vertical="center" wrapText="1"/>
    </xf>
    <xf numFmtId="0" fontId="0" fillId="0" borderId="13" xfId="0" applyFont="1" applyBorder="1">
      <alignment horizontal="center" vertical="center" wrapText="1"/>
    </xf>
    <xf numFmtId="0" fontId="86" fillId="36" borderId="20" xfId="0" applyFont="1" applyFill="1" applyBorder="1">
      <alignment horizontal="center" vertical="center" wrapText="1"/>
    </xf>
    <xf numFmtId="0" fontId="55" fillId="0" borderId="0" xfId="0" applyFont="1">
      <alignment horizontal="center" vertical="center" wrapText="1"/>
    </xf>
    <xf numFmtId="49" fontId="23" fillId="0" borderId="0" xfId="0" applyFont="1" applyNumberFormat="1">
      <alignment vertical="center" wrapText="1"/>
    </xf>
    <xf numFmtId="0" fontId="23" fillId="36" borderId="13" xfId="0" applyFont="1" applyFill="1" applyBorder="1">
      <alignment horizontal="left" vertical="center" wrapText="1"/>
    </xf>
    <xf numFmtId="0" fontId="118" fillId="0" borderId="0" xfId="0" applyFont="1">
      <alignment vertical="center" wrapText="1"/>
    </xf>
    <xf numFmtId="0" fontId="118" fillId="36" borderId="0" xfId="0" applyFont="1" applyFill="1">
      <alignment horizontal="center" vertical="center" wrapText="1"/>
    </xf>
    <xf numFmtId="0" fontId="56" fillId="36" borderId="13" xfId="0" applyFont="1" applyFill="1" applyBorder="1">
      <alignment horizontal="left" vertical="center" wrapText="1" indent="3"/>
    </xf>
    <xf numFmtId="0" fontId="56" fillId="0" borderId="0" xfId="0" applyFont="1">
      <alignment horizontal="center" vertical="center" wrapText="1"/>
    </xf>
    <xf numFmtId="49" fontId="23" fillId="33" borderId="18" xfId="0" applyFont="1" applyFill="1" applyBorder="1" applyNumberFormat="1">
      <alignment horizontal="left" vertical="center" wrapText="1" indent="6"/>
      <protection locked="0"/>
    </xf>
    <xf numFmtId="4" fontId="23" fillId="41" borderId="13" xfId="0" applyFont="1" applyFill="1" applyBorder="1" applyNumberFormat="1">
      <alignment horizontal="left" vertical="center" wrapText="1" indent="1"/>
      <protection locked="0"/>
    </xf>
    <xf numFmtId="49" fontId="23" fillId="42" borderId="13" xfId="0" applyFont="1" applyFill="1" applyBorder="1" applyNumberFormat="1">
      <alignment horizontal="left" vertical="center" wrapText="1" indent="1"/>
      <protection locked="0"/>
    </xf>
    <xf numFmtId="0" fontId="23" fillId="0" borderId="38" xfId="0" applyFont="1" applyBorder="1">
      <alignment horizontal="center" vertical="center" wrapText="1"/>
    </xf>
    <xf numFmtId="4" fontId="23" fillId="41" borderId="13" xfId="0" applyFont="1" applyFill="1" applyBorder="1" applyNumberFormat="1">
      <alignment horizontal="center" vertical="center" wrapText="1"/>
      <protection locked="0"/>
    </xf>
    <xf numFmtId="49" fontId="23" fillId="42" borderId="21" xfId="0" applyFont="1" applyFill="1" applyBorder="1" applyNumberFormat="1">
      <alignment horizontal="center" vertical="center" wrapText="1"/>
    </xf>
    <xf numFmtId="49" fontId="23" fillId="36" borderId="13" xfId="0" applyFont="1" applyFill="1" applyBorder="1" applyNumberFormat="1">
      <alignment horizontal="center" vertical="center" wrapText="1"/>
    </xf>
    <xf numFmtId="49" fontId="23" fillId="41" borderId="13" xfId="0" applyFont="1" applyFill="1" applyBorder="1" applyNumberFormat="1">
      <alignment horizontal="left" vertical="center" wrapText="1" indent="1"/>
      <protection locked="0"/>
    </xf>
    <xf numFmtId="49" fontId="23" fillId="33" borderId="37" xfId="0" applyFont="1" applyFill="1" applyBorder="1" applyNumberFormat="1">
      <alignment horizontal="left" vertical="center" wrapText="1" indent="6"/>
      <protection locked="0"/>
    </xf>
    <xf numFmtId="0" fontId="23" fillId="0" borderId="28" xfId="0" applyFont="1" applyBorder="1">
      <alignment horizontal="center" vertical="center" wrapText="1"/>
    </xf>
    <xf numFmtId="49" fontId="23" fillId="42" borderId="31" xfId="0" applyFont="1" applyFill="1" applyBorder="1" applyNumberFormat="1">
      <alignment horizontal="center" vertical="center" wrapText="1"/>
    </xf>
    <xf numFmtId="49" fontId="49" fillId="40" borderId="29" xfId="0" applyFont="1" applyFill="1" applyBorder="1" applyNumberFormat="1">
      <alignment horizontal="left" vertical="center"/>
    </xf>
    <xf numFmtId="49" fontId="23" fillId="33" borderId="24" xfId="0" applyFont="1" applyFill="1" applyBorder="1" applyNumberFormat="1">
      <alignment horizontal="left" vertical="center" wrapText="1" indent="6"/>
      <protection locked="0"/>
    </xf>
    <xf numFmtId="0" fontId="56" fillId="0" borderId="0" xfId="0" applyFont="1">
      <alignment horizontal="center" vertical="center"/>
    </xf>
    <xf numFmtId="0" fontId="56" fillId="0" borderId="0" xfId="0" applyFont="1">
      <alignment horizontal="left" vertical="center" wrapText="1" indent="1"/>
    </xf>
    <xf numFmtId="0" fontId="23" fillId="36" borderId="13" xfId="0" applyFont="1" applyFill="1" applyBorder="1">
      <alignment horizontal="center" vertical="center" wrapText="1"/>
    </xf>
    <xf numFmtId="0" fontId="56" fillId="0" borderId="20" xfId="0" applyFont="1" applyBorder="1">
      <alignment horizontal="left" vertical="center" wrapText="1"/>
    </xf>
    <xf numFmtId="0" fontId="23" fillId="0" borderId="0" xfId="0" applyFont="1">
      <alignment horizontal="left" vertical="top" wrapText="1"/>
    </xf>
    <xf numFmtId="0" fontId="55" fillId="0" borderId="0" xfId="0" applyFont="1">
      <alignment horizontal="center" vertical="center" wrapText="1"/>
    </xf>
    <xf numFmtId="49" fontId="23" fillId="0" borderId="0" xfId="0" applyFont="1" applyNumberFormat="1">
      <alignment horizontal="center" vertical="center" wrapText="1"/>
    </xf>
    <xf numFmtId="0" fontId="23" fillId="0" borderId="30" xfId="0" applyFont="1" applyBorder="1">
      <alignment horizontal="center" vertical="center" wrapText="1"/>
    </xf>
    <xf numFmtId="0" fontId="23" fillId="41" borderId="13" xfId="0" applyFont="1" applyFill="1" applyBorder="1">
      <alignment horizontal="left" vertical="center" wrapText="1" indent="2"/>
      <protection locked="0"/>
    </xf>
    <xf numFmtId="0" fontId="23" fillId="0" borderId="13" xfId="0" applyFont="1" applyBorder="1">
      <alignment horizontal="center" vertical="center" wrapText="1"/>
    </xf>
    <xf numFmtId="0" fontId="90" fillId="0" borderId="0" xfId="0" applyFont="1">
      <alignment vertical="center" wrapText="1"/>
    </xf>
    <xf numFmtId="0" fontId="56" fillId="0" borderId="0" xfId="0" applyFont="1">
      <alignment vertical="center" wrapText="1"/>
    </xf>
    <xf numFmtId="0" fontId="56" fillId="0" borderId="30" xfId="0" applyFont="1" applyBorder="1">
      <alignment horizontal="center" vertical="center" wrapText="1"/>
    </xf>
    <xf numFmtId="0" fontId="56" fillId="0" borderId="13" xfId="0" applyFont="1" applyBorder="1">
      <alignment horizontal="left" vertical="center" wrapText="1" indent="2"/>
    </xf>
    <xf numFmtId="0" fontId="56" fillId="0" borderId="13" xfId="0" applyFont="1" applyBorder="1">
      <alignment horizontal="center" vertical="center" wrapText="1"/>
    </xf>
    <xf numFmtId="0" fontId="56" fillId="0" borderId="13" xfId="0" applyFont="1" applyBorder="1">
      <alignment horizontal="center" vertical="center" wrapText="1"/>
    </xf>
    <xf numFmtId="0" fontId="23" fillId="0" borderId="13" xfId="0" applyFont="1" applyBorder="1">
      <alignment horizontal="left" vertical="center" wrapText="1" indent="3"/>
    </xf>
    <xf numFmtId="49" fontId="23" fillId="41" borderId="13" xfId="0" applyFont="1" applyFill="1" applyBorder="1" applyNumberFormat="1">
      <alignment horizontal="center" vertical="center" wrapText="1"/>
      <protection locked="0"/>
    </xf>
    <xf numFmtId="4" fontId="23" fillId="33" borderId="13" xfId="0" applyFont="1" applyFill="1" applyBorder="1" applyNumberFormat="1">
      <alignment horizontal="right" vertical="center" wrapText="1"/>
      <protection locked="0"/>
    </xf>
    <xf numFmtId="4" fontId="23" fillId="33" borderId="13" xfId="0" applyFont="1" applyFill="1" applyBorder="1" applyNumberFormat="1">
      <alignment horizontal="right" vertical="center" wrapText="1"/>
      <protection locked="0"/>
    </xf>
    <xf numFmtId="0" fontId="23" fillId="33" borderId="13" xfId="0" applyFont="1" applyFill="1" applyBorder="1">
      <alignment horizontal="left" vertical="center" wrapText="1"/>
      <protection locked="0"/>
    </xf>
    <xf numFmtId="0" fontId="23" fillId="33" borderId="13" xfId="0" applyFont="1" applyFill="1" applyBorder="1">
      <alignment horizontal="left" vertical="center" wrapText="1"/>
      <protection locked="0"/>
    </xf>
    <xf numFmtId="49" fontId="97" fillId="0" borderId="0" xfId="0" applyFont="1" applyNumberFormat="1">
      <alignment horizontal="center" vertical="center" wrapText="1"/>
    </xf>
    <xf numFmtId="49" fontId="23" fillId="0" borderId="0" xfId="0" applyFont="1" applyNumberFormat="1">
      <alignment horizontal="center" vertical="top" wrapText="1"/>
    </xf>
    <xf numFmtId="0" fontId="23" fillId="0" borderId="13" xfId="0" applyFont="1" applyBorder="1">
      <alignment horizontal="center" vertical="center" wrapText="1"/>
    </xf>
    <xf numFmtId="0" fontId="60" fillId="0" borderId="0" xfId="0" applyFont="1">
      <alignment vertical="center" wrapText="1"/>
    </xf>
    <xf numFmtId="0" fontId="23" fillId="0" borderId="14" xfId="0" applyFont="1" applyBorder="1">
      <alignment horizontal="center" vertical="center" wrapText="1"/>
    </xf>
    <xf numFmtId="248" fontId="23" fillId="33" borderId="13" xfId="0" applyFont="1" applyFill="1" applyBorder="1" applyNumberFormat="1">
      <alignment horizontal="right" vertical="center" wrapText="1"/>
      <protection locked="0"/>
    </xf>
    <xf numFmtId="248" fontId="23" fillId="33" borderId="13" xfId="0" applyFont="1" applyFill="1" applyBorder="1" applyNumberFormat="1">
      <alignment horizontal="right" vertical="center" wrapText="1"/>
      <protection locked="0"/>
    </xf>
    <xf numFmtId="0" fontId="41" fillId="0" borderId="0" xfId="0" applyFont="1">
      <alignment vertical="center" wrapText="1"/>
    </xf>
    <xf numFmtId="0" fontId="41" fillId="0" borderId="0" xfId="0" applyFont="1">
      <alignment vertical="center" wrapText="1"/>
    </xf>
    <xf numFmtId="0" fontId="23" fillId="0" borderId="18" xfId="0" applyFont="1" applyBorder="1">
      <alignment horizontal="left" vertical="center" wrapText="1" indent="1"/>
    </xf>
    <xf numFmtId="0" fontId="23" fillId="0" borderId="24" xfId="0" applyFont="1" applyBorder="1">
      <alignment horizontal="left" vertical="center" wrapText="1" indent="1"/>
    </xf>
    <xf numFmtId="0" fontId="23" fillId="0" borderId="0" xfId="0" applyFont="1">
      <alignment horizontal="left" vertical="center" wrapText="1" indent="3"/>
    </xf>
    <xf numFmtId="0" fontId="23" fillId="0" borderId="0" xfId="0" applyFont="1">
      <alignment horizontal="left" vertical="center" wrapText="1" indent="3"/>
    </xf>
    <xf numFmtId="0" fontId="56" fillId="0" borderId="0" xfId="0" applyFont="1">
      <alignment vertical="center" wrapText="1"/>
    </xf>
    <xf numFmtId="0" fontId="103" fillId="36" borderId="0" xfId="0" applyFont="1" applyFill="1">
      <alignment horizontal="right" vertical="center"/>
    </xf>
    <xf numFmtId="0" fontId="103" fillId="36" borderId="0" xfId="0" applyFont="1" applyFill="1">
      <alignment horizontal="right" vertical="center"/>
    </xf>
    <xf numFmtId="0" fontId="23" fillId="38" borderId="15" xfId="0" applyFont="1" applyFill="1" applyBorder="1">
      <alignment horizontal="left" vertical="top" wrapText="1"/>
    </xf>
    <xf numFmtId="0" fontId="23" fillId="38" borderId="15" xfId="0" applyFont="1" applyFill="1" applyBorder="1">
      <alignment horizontal="left" vertical="top" wrapText="1"/>
    </xf>
    <xf numFmtId="0" fontId="23" fillId="0" borderId="16" xfId="0" applyFont="1" applyBorder="1">
      <alignment horizontal="right" vertical="center" wrapText="1" indent="1"/>
    </xf>
    <xf numFmtId="0" fontId="23" fillId="0" borderId="13" xfId="0" applyFont="1" applyBorder="1">
      <alignment horizontal="center" vertical="center" wrapText="1"/>
    </xf>
    <xf numFmtId="0" fontId="23" fillId="0" borderId="13" xfId="0" applyFont="1" applyBorder="1">
      <alignment horizontal="left" vertical="center" wrapText="1"/>
    </xf>
    <xf numFmtId="4" fontId="23" fillId="41" borderId="13" xfId="0" applyFont="1" applyFill="1" applyBorder="1" applyNumberFormat="1">
      <alignment horizontal="right" vertical="center" wrapText="1"/>
      <protection locked="0"/>
    </xf>
    <xf numFmtId="4" fontId="23" fillId="41" borderId="13" xfId="0" applyFont="1" applyFill="1" applyBorder="1" applyNumberFormat="1">
      <alignment horizontal="right" vertical="center" wrapText="1"/>
      <protection locked="0"/>
    </xf>
    <xf numFmtId="4" fontId="23" fillId="38" borderId="13" xfId="0" applyFont="1" applyFill="1" applyBorder="1" applyNumberFormat="1">
      <alignment horizontal="right" vertical="center" wrapText="1"/>
    </xf>
    <xf numFmtId="0" fontId="23" fillId="0" borderId="13" xfId="0" applyFont="1" applyBorder="1">
      <alignment horizontal="left" vertical="center" wrapText="1" indent="1"/>
    </xf>
    <xf numFmtId="49" fontId="97" fillId="47" borderId="0" xfId="0" applyFont="1" applyFill="1" applyNumberFormat="1">
      <alignment horizontal="center" vertical="center" textRotation="90" wrapText="1"/>
    </xf>
    <xf numFmtId="0" fontId="79" fillId="0" borderId="0" xfId="0" applyFont="1">
      <alignment vertical="center" wrapText="1"/>
    </xf>
    <xf numFmtId="0" fontId="79" fillId="0" borderId="0" xfId="0" applyFont="1">
      <alignment horizontal="center" vertical="center" wrapText="1"/>
    </xf>
    <xf numFmtId="49" fontId="79" fillId="0" borderId="0" xfId="0" applyFont="1" applyNumberFormat="1">
      <alignment horizontal="center" vertical="center" wrapText="1"/>
    </xf>
    <xf numFmtId="49" fontId="79" fillId="0" borderId="30" xfId="0" applyFont="1" applyBorder="1" applyNumberFormat="1">
      <alignment horizontal="center" vertical="center" wrapText="1"/>
    </xf>
    <xf numFmtId="0" fontId="79" fillId="0" borderId="13" xfId="0" applyFont="1" applyBorder="1">
      <alignment horizontal="left" vertical="center" wrapText="1" indent="2"/>
    </xf>
    <xf numFmtId="0" fontId="79" fillId="0" borderId="13" xfId="0" applyFont="1" applyBorder="1">
      <alignment horizontal="center" vertical="center" wrapText="1"/>
    </xf>
    <xf numFmtId="49" fontId="79" fillId="0" borderId="13" xfId="0" applyFont="1" applyBorder="1" applyNumberFormat="1">
      <alignment horizontal="left" vertical="center" wrapText="1"/>
    </xf>
    <xf numFmtId="0" fontId="91" fillId="0" borderId="0" xfId="0" applyFont="1">
      <alignment vertical="center" wrapText="1"/>
    </xf>
    <xf numFmtId="0" fontId="69" fillId="0" borderId="0" xfId="0" applyFont="1">
      <alignment vertical="center" wrapText="1"/>
    </xf>
    <xf numFmtId="0" fontId="79" fillId="0" borderId="30" xfId="0" applyFont="1" applyBorder="1">
      <alignment horizontal="center" vertical="center" wrapText="1"/>
    </xf>
    <xf numFmtId="0" fontId="79" fillId="0" borderId="13" xfId="0" applyFont="1" applyBorder="1">
      <alignment horizontal="left" vertical="center" wrapText="1" indent="3"/>
    </xf>
    <xf numFmtId="4" fontId="79" fillId="0" borderId="13" xfId="0" applyFont="1" applyBorder="1" applyNumberFormat="1">
      <alignment horizontal="right" vertical="center" wrapText="1"/>
    </xf>
    <xf numFmtId="4" fontId="79" fillId="0" borderId="13" xfId="0" applyFont="1" applyBorder="1" applyNumberFormat="1">
      <alignment horizontal="right" vertical="center" wrapText="1"/>
    </xf>
    <xf numFmtId="0" fontId="46" fillId="0" borderId="0" xfId="0" applyFont="1">
      <alignment horizontal="center" vertical="center" wrapText="1"/>
    </xf>
    <xf numFmtId="49" fontId="23" fillId="40" borderId="15" xfId="0" applyFont="1" applyFill="1" applyBorder="1" applyNumberFormat="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23" fillId="0" borderId="13" xfId="0" applyFont="1" applyBorder="1">
      <alignment horizontal="left" vertical="center" wrapText="1" indent="2"/>
    </xf>
    <xf numFmtId="14" fontId="23" fillId="0" borderId="0" xfId="0" applyFont="1" applyNumberFormat="1">
      <alignment horizontal="center" vertical="center" wrapText="1"/>
    </xf>
    <xf numFmtId="49" fontId="97" fillId="47" borderId="0" xfId="0" applyFont="1" applyFill="1" applyNumberFormat="1">
      <alignment horizontal="center" vertical="center" wrapText="1"/>
    </xf>
    <xf numFmtId="49" fontId="35" fillId="0" borderId="0" xfId="0" applyFont="1" applyNumberFormat="1">
      <alignment horizontal="center" vertical="center"/>
    </xf>
    <xf numFmtId="248" fontId="23" fillId="41" borderId="13" xfId="0" applyFont="1" applyFill="1" applyBorder="1" applyNumberFormat="1">
      <alignment horizontal="right" vertical="center" wrapText="1"/>
      <protection locked="0"/>
    </xf>
    <xf numFmtId="248" fontId="23" fillId="41" borderId="13" xfId="0" applyFont="1" applyFill="1" applyBorder="1" applyNumberFormat="1">
      <alignment horizontal="right" vertical="center" wrapText="1"/>
      <protection locked="0"/>
    </xf>
    <xf numFmtId="0" fontId="55" fillId="0" borderId="0" xfId="0" applyFont="1">
      <alignment horizontal="left" vertical="center" wrapText="1"/>
    </xf>
    <xf numFmtId="49" fontId="97" fillId="0" borderId="0" xfId="0" applyFont="1" applyNumberFormat="1">
      <alignment horizontal="left" vertical="center" wrapText="1"/>
    </xf>
    <xf numFmtId="0" fontId="56" fillId="0" borderId="0" xfId="0" applyFont="1">
      <alignment horizontal="left" vertical="center" wrapText="1"/>
    </xf>
    <xf numFmtId="0" fontId="60" fillId="0" borderId="0" xfId="0" applyFont="1">
      <alignment horizontal="left" vertical="center" wrapText="1"/>
    </xf>
    <xf numFmtId="0" fontId="41" fillId="0" borderId="0" xfId="0" applyFont="1">
      <alignment horizontal="left" vertical="center" wrapText="1"/>
    </xf>
    <xf numFmtId="49" fontId="23" fillId="42" borderId="13" xfId="0" applyFont="1" applyFill="1" applyBorder="1" applyNumberFormat="1">
      <alignment horizontal="left" vertical="center" wrapText="1"/>
    </xf>
    <xf numFmtId="49" fontId="23" fillId="42" borderId="13" xfId="0" applyFont="1" applyFill="1" applyBorder="1" applyNumberFormat="1">
      <alignment horizontal="left" vertical="center" wrapText="1"/>
    </xf>
    <xf numFmtId="0" fontId="23" fillId="0" borderId="18" xfId="0" applyFont="1" applyBorder="1">
      <alignment horizontal="center" vertical="center" wrapText="1"/>
    </xf>
    <xf numFmtId="4" fontId="23" fillId="38" borderId="18" xfId="0" applyFont="1" applyFill="1" applyBorder="1" applyNumberFormat="1">
      <alignment horizontal="right" vertical="center" wrapText="1"/>
    </xf>
    <xf numFmtId="4" fontId="23" fillId="38" borderId="18" xfId="0" applyFont="1" applyFill="1" applyBorder="1" applyNumberFormat="1">
      <alignment horizontal="right" vertical="center" wrapText="1"/>
    </xf>
    <xf numFmtId="0" fontId="56" fillId="0" borderId="13" xfId="0" applyFont="1" applyBorder="1">
      <alignment horizontal="left" vertical="center" wrapText="1" indent="3"/>
    </xf>
    <xf numFmtId="49" fontId="56" fillId="0" borderId="13" xfId="0" applyFont="1" applyBorder="1" applyNumberFormat="1">
      <alignment vertical="center" wrapText="1"/>
    </xf>
    <xf numFmtId="49" fontId="56" fillId="0" borderId="13" xfId="0" applyFont="1" applyBorder="1" applyNumberFormat="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4" fontId="23" fillId="41" borderId="14" xfId="0" applyFont="1" applyFill="1" applyBorder="1" applyNumberFormat="1">
      <alignment horizontal="right" vertical="center" wrapText="1"/>
      <protection locked="0"/>
    </xf>
    <xf numFmtId="4" fontId="23" fillId="41" borderId="14" xfId="0" applyFont="1" applyFill="1" applyBorder="1" applyNumberFormat="1">
      <alignment horizontal="right" vertical="center" wrapText="1"/>
      <protection locked="0"/>
    </xf>
    <xf numFmtId="49" fontId="29" fillId="33" borderId="14" xfId="0" applyFont="1" applyFill="1" applyBorder="1" applyNumberFormat="1">
      <alignment horizontal="left" vertical="center" wrapText="1"/>
      <protection locked="0"/>
    </xf>
    <xf numFmtId="49" fontId="29" fillId="33" borderId="14" xfId="0" applyFont="1" applyFill="1" applyBorder="1" applyNumberFormat="1">
      <alignment horizontal="left" vertical="center" wrapText="1"/>
      <protection locked="0"/>
    </xf>
    <xf numFmtId="0" fontId="55" fillId="0" borderId="0" xfId="0" applyFont="1">
      <alignment vertical="center" wrapText="1"/>
    </xf>
    <xf numFmtId="0" fontId="56" fillId="0" borderId="0" xfId="0" applyFont="1">
      <alignment vertical="center" wrapText="1"/>
    </xf>
    <xf numFmtId="49" fontId="23" fillId="0" borderId="0" xfId="0" applyFont="1" applyNumberFormat="1">
      <alignment horizontal="center" vertical="center" wrapText="1"/>
    </xf>
    <xf numFmtId="0" fontId="23" fillId="0" borderId="13" xfId="0" applyFont="1" applyBorder="1">
      <alignment horizontal="center" vertical="center" wrapText="1"/>
    </xf>
    <xf numFmtId="248" fontId="23" fillId="41" borderId="14" xfId="0" applyFont="1" applyFill="1" applyBorder="1" applyNumberFormat="1">
      <alignment horizontal="right" vertical="center" wrapText="1"/>
      <protection locked="0"/>
    </xf>
    <xf numFmtId="248" fontId="23" fillId="41" borderId="14" xfId="0" applyFont="1" applyFill="1" applyBorder="1" applyNumberFormat="1">
      <alignment horizontal="right" vertical="center" wrapText="1"/>
      <protection locked="0"/>
    </xf>
    <xf numFmtId="0" fontId="90" fillId="0" borderId="0" xfId="0" applyFont="1">
      <alignment vertical="center" wrapText="1"/>
    </xf>
    <xf numFmtId="0" fontId="60" fillId="0" borderId="0" xfId="0" applyFont="1">
      <alignment vertical="center" wrapText="1"/>
    </xf>
    <xf numFmtId="0" fontId="41" fillId="0" borderId="0" xfId="0" applyFont="1">
      <alignment vertical="center" wrapText="1"/>
    </xf>
    <xf numFmtId="49" fontId="35" fillId="0" borderId="0" xfId="0" applyFont="1" applyNumberFormat="1">
      <alignment horizontal="center" vertical="center"/>
    </xf>
    <xf numFmtId="0" fontId="23" fillId="0" borderId="0" xfId="0" applyFont="1">
      <alignment vertical="center" wrapText="1"/>
    </xf>
    <xf numFmtId="0" fontId="55" fillId="0" borderId="0" xfId="0" applyFont="1">
      <alignment vertical="center" wrapText="1"/>
    </xf>
    <xf numFmtId="248" fontId="23" fillId="38" borderId="14" xfId="0" applyFont="1" applyFill="1" applyBorder="1" applyNumberFormat="1">
      <alignment horizontal="right" vertical="center" wrapText="1"/>
    </xf>
    <xf numFmtId="248" fontId="23" fillId="38" borderId="13" xfId="0" applyFont="1" applyFill="1" applyBorder="1" applyNumberFormat="1">
      <alignment horizontal="right" vertical="center" wrapText="1"/>
    </xf>
    <xf numFmtId="248" fontId="23" fillId="38" borderId="14" xfId="0" applyFont="1" applyFill="1" applyBorder="1" applyNumberFormat="1">
      <alignment horizontal="right" vertical="center" wrapText="1"/>
    </xf>
    <xf numFmtId="49" fontId="97" fillId="47" borderId="0" xfId="0" applyFont="1" applyFill="1" applyNumberFormat="1">
      <alignment horizontal="center" vertical="center" textRotation="90" wrapText="1"/>
    </xf>
    <xf numFmtId="0" fontId="23" fillId="41" borderId="13" xfId="0" applyFont="1" applyFill="1" applyBorder="1">
      <alignment horizontal="center" vertical="center" wrapText="1"/>
      <protection locked="0"/>
    </xf>
    <xf numFmtId="4" fontId="23" fillId="41" borderId="31" xfId="0" applyFont="1" applyFill="1" applyBorder="1" applyNumberFormat="1">
      <alignment horizontal="right" vertical="center" wrapText="1"/>
      <protection locked="0"/>
    </xf>
    <xf numFmtId="4" fontId="23" fillId="41" borderId="24" xfId="0" applyFont="1" applyFill="1" applyBorder="1" applyNumberFormat="1">
      <alignment horizontal="right" vertical="center" wrapText="1"/>
      <protection locked="0"/>
    </xf>
    <xf numFmtId="4" fontId="23" fillId="41" borderId="31" xfId="0" applyFont="1" applyFill="1" applyBorder="1" applyNumberFormat="1">
      <alignment horizontal="right" vertical="center" wrapText="1"/>
      <protection locked="0"/>
    </xf>
    <xf numFmtId="0" fontId="56" fillId="0" borderId="37" xfId="0" applyFont="1" applyBorder="1">
      <alignment horizontal="left" vertical="center" wrapText="1" indent="1"/>
    </xf>
    <xf numFmtId="0" fontId="56" fillId="0" borderId="37" xfId="0" applyFont="1" applyBorder="1">
      <alignment horizontal="center" vertical="center" wrapText="1"/>
    </xf>
    <xf numFmtId="49" fontId="23" fillId="40" borderId="38" xfId="0" applyFont="1" applyFill="1" applyBorder="1" applyNumberFormat="1">
      <alignment vertical="center" wrapText="1"/>
    </xf>
    <xf numFmtId="49" fontId="49" fillId="40" borderId="20" xfId="0" applyFont="1" applyFill="1" applyBorder="1" applyNumberFormat="1">
      <alignment horizontal="left" vertical="center" inden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23" fillId="0" borderId="14" xfId="0" applyFont="1" applyBorder="1">
      <alignment horizontal="center" vertical="center" wrapText="1"/>
    </xf>
    <xf numFmtId="0" fontId="23" fillId="0" borderId="21" xfId="0" applyFont="1" applyBorder="1">
      <alignment horizontal="center" vertical="center" wrapText="1"/>
    </xf>
    <xf numFmtId="248" fontId="23" fillId="41" borderId="18" xfId="0" applyFont="1" applyFill="1" applyBorder="1" applyNumberFormat="1">
      <alignment horizontal="right" vertical="center" wrapText="1"/>
      <protection locked="0"/>
    </xf>
    <xf numFmtId="248" fontId="23" fillId="41" borderId="18" xfId="0" applyFont="1" applyFill="1" applyBorder="1" applyNumberFormat="1">
      <alignment horizontal="right" vertical="center" wrapText="1"/>
      <protection locked="0"/>
    </xf>
    <xf numFmtId="0" fontId="56" fillId="0" borderId="24" xfId="0" applyFont="1" applyBorder="1">
      <alignment horizontal="left" vertical="center" wrapText="1" indent="1"/>
    </xf>
    <xf numFmtId="0" fontId="56" fillId="0" borderId="18" xfId="0" applyFont="1" applyBorder="1">
      <alignment horizontal="center" vertical="center" wrapText="1"/>
    </xf>
    <xf numFmtId="0" fontId="46" fillId="0" borderId="0" xfId="0" applyFont="1">
      <alignment horizontal="center" vertical="center" wrapText="1"/>
    </xf>
    <xf numFmtId="49" fontId="23" fillId="40" borderId="38" xfId="0" applyFont="1" applyFill="1" applyBorder="1" applyNumberFormat="1">
      <alignment vertical="center" wrapText="1"/>
    </xf>
    <xf numFmtId="49" fontId="49" fillId="40" borderId="20" xfId="0" applyFont="1" applyFill="1" applyBorder="1" applyNumberFormat="1">
      <alignment horizontal="left" vertical="center" indent="1"/>
    </xf>
    <xf numFmtId="0" fontId="23" fillId="40" borderId="16"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6" fillId="0" borderId="18" xfId="0" applyFont="1" applyBorder="1">
      <alignment horizontal="left" vertical="center" wrapText="1" inden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23" fillId="0" borderId="0" xfId="0" applyFont="1">
      <alignment horizontal="left" vertical="top" wrapText="1"/>
    </xf>
    <xf numFmtId="0" fontId="23" fillId="0" borderId="0" xfId="0" applyFont="1">
      <alignment vertical="top" wrapText="1"/>
    </xf>
    <xf numFmtId="0" fontId="60" fillId="0" borderId="0" xfId="0" applyFont="1">
      <alignment vertical="center"/>
    </xf>
    <xf numFmtId="0" fontId="79" fillId="0" borderId="0" xfId="0" applyFont="1">
      <alignment vertical="center" wrapText="1"/>
    </xf>
    <xf numFmtId="0" fontId="69" fillId="0" borderId="0" xfId="0" applyFont="1">
      <alignment vertical="center" wrapText="1"/>
    </xf>
    <xf numFmtId="0" fontId="97" fillId="0" borderId="0" xfId="0" applyFont="1">
      <alignment vertical="center" wrapText="1"/>
    </xf>
    <xf numFmtId="49" fontId="97" fillId="0" borderId="0" xfId="0" applyFont="1" applyNumberFormat="1">
      <alignment horizontal="center" vertical="center" wrapText="1"/>
    </xf>
    <xf numFmtId="0" fontId="23" fillId="0" borderId="0" xfId="0" applyFont="1">
      <alignment vertical="center" wrapText="1"/>
    </xf>
    <xf numFmtId="0" fontId="60" fillId="0" borderId="0" xfId="0" applyFont="1">
      <alignment vertical="center" wrapText="1"/>
    </xf>
    <xf numFmtId="0" fontId="23" fillId="0" borderId="20" xfId="0" applyFont="1" applyBorder="1">
      <alignment vertical="center" wrapText="1"/>
    </xf>
    <xf numFmtId="0" fontId="23" fillId="0" borderId="20" xfId="0" applyFont="1" applyBorder="1">
      <alignment horizontal="left" vertical="center" wrapText="1" indent="1"/>
    </xf>
    <xf numFmtId="0" fontId="23" fillId="0" borderId="0" xfId="0" applyFont="1">
      <alignment horizontal="center" vertical="center" wrapText="1"/>
    </xf>
    <xf numFmtId="49" fontId="41" fillId="0" borderId="0" xfId="0" applyFont="1" applyNumberFormat="1">
      <alignment horizontal="center" vertical="center" wrapText="1"/>
    </xf>
    <xf numFmtId="0" fontId="23" fillId="0" borderId="29" xfId="0" applyFont="1" applyBorder="1">
      <alignment vertical="center" wrapText="1"/>
    </xf>
    <xf numFmtId="0" fontId="23" fillId="0" borderId="29" xfId="0" applyFont="1" applyBorder="1">
      <alignment horizontal="left" vertical="center" wrapText="1" indent="1"/>
    </xf>
    <xf numFmtId="0" fontId="56" fillId="0" borderId="0" xfId="0" applyFont="1">
      <alignment vertical="center" wrapText="1"/>
    </xf>
    <xf numFmtId="0" fontId="41" fillId="0" borderId="0" xfId="0" applyFont="1">
      <alignment vertical="center" wrapText="1"/>
    </xf>
    <xf numFmtId="0" fontId="35" fillId="0" borderId="0" xfId="0" applyFont="1">
      <alignment horizontal="center" vertical="center" wrapText="1"/>
    </xf>
    <xf numFmtId="49" fontId="69" fillId="0" borderId="0" xfId="0" applyFont="1" applyNumberFormat="1">
      <alignment horizontal="center" vertical="center" wrapText="1"/>
    </xf>
    <xf numFmtId="0" fontId="79" fillId="0" borderId="0" xfId="0" applyFont="1">
      <alignment horizontal="center" vertical="center" wrapText="1"/>
    </xf>
    <xf numFmtId="0" fontId="106" fillId="0" borderId="0" xfId="0" applyFont="1">
      <alignment horizontal="center" vertical="center" wrapText="1"/>
    </xf>
    <xf numFmtId="0" fontId="107" fillId="36" borderId="0" xfId="0" applyFont="1" applyFill="1">
      <alignment horizontal="right" vertical="center"/>
    </xf>
    <xf numFmtId="0" fontId="69" fillId="0" borderId="0" xfId="0" applyFont="1">
      <alignment vertical="center" wrapText="1"/>
    </xf>
    <xf numFmtId="49" fontId="56" fillId="0" borderId="0" xfId="0" applyFont="1" applyNumberFormat="1">
      <alignment horizontal="center" vertical="center" wrapText="1"/>
    </xf>
    <xf numFmtId="49" fontId="56" fillId="0" borderId="0" xfId="0" applyFont="1" applyNumberFormat="1">
      <alignment horizontal="center" vertical="center" wrapText="1"/>
    </xf>
    <xf numFmtId="49" fontId="41" fillId="0" borderId="0" xfId="0" applyFont="1" applyNumberFormat="1">
      <alignment horizontal="center" vertical="center" wrapText="1"/>
    </xf>
    <xf numFmtId="9" fontId="35" fillId="0" borderId="0" xfId="0" applyFont="1" applyNumberFormat="1">
      <alignment horizontal="center" vertical="center" wrapText="1"/>
    </xf>
    <xf numFmtId="0" fontId="78" fillId="0" borderId="0" xfId="0" applyFont="1">
      <alignment vertical="center" wrapText="1"/>
    </xf>
    <xf numFmtId="0" fontId="56" fillId="0" borderId="0" xfId="0" applyFont="1">
      <alignment vertical="center" wrapText="1"/>
    </xf>
    <xf numFmtId="0" fontId="41" fillId="0" borderId="0" xfId="0" applyFont="1">
      <alignment vertical="center" wrapText="1"/>
    </xf>
    <xf numFmtId="49" fontId="56" fillId="0" borderId="18" xfId="0" applyFont="1" applyBorder="1" applyNumberFormat="1">
      <alignment horizontal="center" vertical="center" wrapText="1"/>
    </xf>
    <xf numFmtId="49" fontId="56" fillId="0" borderId="37" xfId="0" applyFont="1" applyBorder="1" applyNumberFormat="1">
      <alignment horizontal="center" vertical="center" wrapText="1"/>
    </xf>
    <xf numFmtId="0" fontId="56" fillId="0" borderId="0" xfId="0" applyFont="1">
      <alignment horizontal="center" vertical="center" wrapText="1"/>
    </xf>
    <xf numFmtId="0" fontId="23" fillId="0" borderId="24" xfId="0" applyFont="1" applyBorder="1">
      <alignment horizontal="left" vertical="center" wrapText="1"/>
    </xf>
    <xf numFmtId="0" fontId="23" fillId="0" borderId="13" xfId="0" applyFont="1" applyBorder="1">
      <alignment horizontal="left" vertical="center" wrapText="1"/>
    </xf>
    <xf numFmtId="0" fontId="55" fillId="0" borderId="0" xfId="0" applyFont="1">
      <alignment horizontal="center" vertical="top"/>
    </xf>
    <xf numFmtId="0" fontId="56" fillId="0" borderId="0" xfId="0" applyFont="1">
      <alignment horizontal="center" vertical="center" wrapText="1"/>
    </xf>
    <xf numFmtId="49" fontId="56" fillId="0" borderId="24" xfId="0" applyFont="1" applyBorder="1" applyNumberFormat="1">
      <alignment horizontal="center" vertical="center" wrapText="1"/>
    </xf>
    <xf numFmtId="49" fontId="49" fillId="0" borderId="20" xfId="0" applyFont="1" applyBorder="1" applyNumberFormat="1">
      <alignment horizontal="right" vertical="center"/>
    </xf>
    <xf numFmtId="0" fontId="23" fillId="0" borderId="0" xfId="0" applyFont="1">
      <alignment horizontal="right" vertical="center" wrapText="1"/>
    </xf>
    <xf numFmtId="0" fontId="0" fillId="0" borderId="0" xfId="0" applyFont="1">
      <alignment vertical="center"/>
    </xf>
    <xf numFmtId="0" fontId="54" fillId="0" borderId="0" xfId="0" applyFont="1">
      <alignment horizontal="right" vertical="top" wrapText="1"/>
    </xf>
    <xf numFmtId="0" fontId="54" fillId="0" borderId="0" xfId="0" applyFont="1">
      <alignment horizontal="left" vertical="top" wrapText="1"/>
    </xf>
    <xf numFmtId="49" fontId="41" fillId="0" borderId="0" xfId="0" applyFont="1" applyNumberFormat="1">
      <alignment horizontal="center" vertical="center" wrapText="1"/>
    </xf>
    <xf numFmtId="0" fontId="56" fillId="0" borderId="0" xfId="0" applyFont="1">
      <alignment vertical="center" wrapText="1"/>
    </xf>
    <xf numFmtId="0" fontId="41" fillId="0" borderId="0" xfId="0" applyFont="1">
      <alignment vertical="center" wrapText="1"/>
    </xf>
    <xf numFmtId="0" fontId="23" fillId="0" borderId="13" xfId="0" applyFont="1" applyBorder="1">
      <alignment horizontal="center" vertical="center" wrapText="1"/>
    </xf>
    <xf numFmtId="0" fontId="23" fillId="0" borderId="13" xfId="0" applyFont="1" applyBorder="1">
      <alignment horizontal="center" vertical="center" wrapText="1"/>
    </xf>
    <xf numFmtId="0" fontId="23" fillId="38" borderId="15" xfId="0" applyFont="1" applyFill="1" applyBorder="1">
      <alignment horizontal="left" vertical="top" wrapText="1"/>
    </xf>
    <xf numFmtId="0" fontId="56" fillId="0" borderId="15" xfId="0" applyFont="1" applyBorder="1">
      <alignment vertical="center" wrapText="1"/>
    </xf>
    <xf numFmtId="0" fontId="56" fillId="0" borderId="16" xfId="0" applyFont="1" applyBorder="1">
      <alignment horizontal="right" vertical="center" wrapText="1" indent="1"/>
    </xf>
    <xf numFmtId="0" fontId="56" fillId="0" borderId="14" xfId="0" applyFont="1" applyBorder="1">
      <alignment horizontal="right" vertical="center" wrapText="1" indent="1"/>
    </xf>
    <xf numFmtId="0" fontId="56" fillId="0" borderId="15" xfId="0" applyFont="1" applyBorder="1">
      <alignment horizontal="left" vertical="top" wrapText="1"/>
    </xf>
    <xf numFmtId="0" fontId="56" fillId="0" borderId="15" xfId="0" applyFont="1" applyBorder="1">
      <alignment horizontal="left" vertical="top" wrapText="1"/>
    </xf>
    <xf numFmtId="0" fontId="23" fillId="0" borderId="16" xfId="0" applyFont="1" applyBorder="1">
      <alignment horizontal="right" vertical="center" wrapText="1" indent="1"/>
    </xf>
    <xf numFmtId="0" fontId="23" fillId="0" borderId="13" xfId="0" applyFont="1" applyBorder="1">
      <alignment horizontal="center" vertical="center" wrapText="1"/>
    </xf>
    <xf numFmtId="49" fontId="23" fillId="0" borderId="30" xfId="0" applyFont="1" applyBorder="1" applyNumberFormat="1">
      <alignment horizontal="center" vertical="center" wrapText="1"/>
    </xf>
    <xf numFmtId="49" fontId="23" fillId="0" borderId="61" xfId="0" applyFont="1" applyBorder="1" applyNumberFormat="1">
      <alignment horizontal="center" vertical="center" wrapText="1"/>
    </xf>
    <xf numFmtId="49" fontId="23" fillId="0" borderId="62" xfId="0" applyFont="1" applyBorder="1" applyNumberFormat="1">
      <alignment horizontal="center" vertical="center" wrapText="1"/>
    </xf>
    <xf numFmtId="0" fontId="23" fillId="0" borderId="14" xfId="0" applyFont="1" applyBorder="1">
      <alignment horizontal="center" vertical="center" wrapText="1"/>
    </xf>
    <xf numFmtId="4" fontId="23" fillId="41" borderId="18" xfId="0" applyFont="1" applyFill="1" applyBorder="1" applyNumberFormat="1">
      <alignment horizontal="right" vertical="center" wrapText="1"/>
      <protection locked="0"/>
    </xf>
    <xf numFmtId="4" fontId="23" fillId="41" borderId="18" xfId="0" applyFont="1" applyFill="1" applyBorder="1" applyNumberFormat="1">
      <alignment horizontal="right" vertical="center" wrapText="1"/>
      <protection locked="0"/>
    </xf>
    <xf numFmtId="49" fontId="49" fillId="40" borderId="20" xfId="0" applyFont="1" applyFill="1" applyBorder="1" applyNumberFormat="1">
      <alignment horizontal="left" vertical="center" indent="2"/>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23" fillId="0" borderId="0" xfId="0" applyFont="1">
      <alignment horizontal="left" vertical="top" wrapText="1"/>
    </xf>
    <xf numFmtId="0" fontId="23" fillId="0" borderId="13" xfId="0" applyFont="1" applyBorder="1">
      <alignment horizontal="center" vertical="center" wrapText="1"/>
    </xf>
    <xf numFmtId="0" fontId="23" fillId="0" borderId="13" xfId="0" applyFont="1" applyBorder="1">
      <alignment horizontal="center" vertical="center" wrapText="1"/>
    </xf>
    <xf numFmtId="0" fontId="23" fillId="38" borderId="15" xfId="0" applyFont="1" applyFill="1" applyBorder="1">
      <alignment horizontal="left" vertical="top" wrapText="1"/>
    </xf>
    <xf numFmtId="0" fontId="23" fillId="0" borderId="16" xfId="0" applyFont="1" applyBorder="1">
      <alignment horizontal="right" vertical="center" wrapText="1" indent="1"/>
    </xf>
    <xf numFmtId="0" fontId="23" fillId="0" borderId="13" xfId="0" applyFont="1" applyBorder="1">
      <alignment horizontal="center" vertical="center" wrapText="1"/>
    </xf>
    <xf numFmtId="0" fontId="23" fillId="0" borderId="18" xfId="0" applyFont="1" applyBorder="1">
      <alignment horizontal="left" vertical="center" wrapText="1"/>
    </xf>
    <xf numFmtId="49" fontId="0" fillId="0" borderId="13" xfId="0" applyFont="1" applyBorder="1" applyNumberFormat="1">
      <alignment horizontal="left" vertical="center" wrapText="1" indent="1"/>
    </xf>
    <xf numFmtId="49" fontId="0" fillId="0" borderId="13" xfId="0" applyFont="1" applyBorder="1" applyNumberFormat="1">
      <alignment horizontal="left" vertical="center" wrapText="1" indent="2"/>
    </xf>
    <xf numFmtId="49" fontId="23" fillId="0" borderId="60" xfId="0" applyFont="1" applyBorder="1" applyNumberFormat="1">
      <alignment horizontal="center" vertical="center" wrapText="1"/>
    </xf>
    <xf numFmtId="0" fontId="23" fillId="0" borderId="18" xfId="0" applyFont="1" applyBorder="1">
      <alignment horizontal="left" vertical="center" wrapText="1" indent="1"/>
    </xf>
    <xf numFmtId="0" fontId="23" fillId="0" borderId="18" xfId="0" applyFont="1" applyBorder="1">
      <alignment horizontal="center"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49" fontId="0" fillId="0" borderId="13" xfId="0" applyFont="1" applyBorder="1" applyNumberFormat="1">
      <alignment vertical="center" wrapText="1"/>
    </xf>
    <xf numFmtId="49" fontId="55" fillId="0" borderId="0" xfId="0" applyFont="1" applyNumberFormat="1">
      <alignment horizontal="center" vertical="center" wrapText="1"/>
    </xf>
    <xf numFmtId="0" fontId="23" fillId="0" borderId="21" xfId="0" applyFont="1" applyBorder="1">
      <alignment horizontal="left" vertical="center" wrapText="1" indent="1"/>
    </xf>
    <xf numFmtId="0" fontId="23" fillId="0" borderId="18" xfId="0" applyFont="1" applyBorder="1">
      <alignment horizontal="left" vertical="center" wrapText="1" indent="1"/>
    </xf>
    <xf numFmtId="0" fontId="23" fillId="0" borderId="38" xfId="0" applyFont="1" applyBorder="1">
      <alignment horizontal="left" vertical="center" wrapText="1" indent="1"/>
    </xf>
    <xf numFmtId="49" fontId="55" fillId="0" borderId="0" xfId="0" applyFont="1" applyNumberFormat="1">
      <alignment horizontal="center" vertical="center" wrapText="1"/>
    </xf>
    <xf numFmtId="0" fontId="23" fillId="0" borderId="31" xfId="0" applyFont="1" applyBorder="1">
      <alignment horizontal="left" vertical="center" wrapText="1" indent="1"/>
    </xf>
    <xf numFmtId="0" fontId="23" fillId="0" borderId="24" xfId="0" applyFont="1" applyBorder="1">
      <alignment horizontal="left" vertical="center" wrapText="1" indent="1"/>
    </xf>
    <xf numFmtId="0" fontId="23" fillId="0" borderId="28" xfId="0" applyFont="1" applyBorder="1">
      <alignment horizontal="left" vertical="center" wrapText="1" indent="1"/>
    </xf>
    <xf numFmtId="0" fontId="23" fillId="0" borderId="0" xfId="0" applyFont="1">
      <alignment vertical="center" wrapText="1"/>
    </xf>
    <xf numFmtId="0" fontId="56" fillId="0" borderId="29" xfId="0" applyFont="1" applyBorder="1">
      <alignment vertical="center" wrapText="1"/>
    </xf>
    <xf numFmtId="0" fontId="56" fillId="0" borderId="29" xfId="0" applyFont="1" applyBorder="1">
      <alignment vertical="center" wrapText="1"/>
    </xf>
    <xf numFmtId="0" fontId="23" fillId="38" borderId="15" xfId="0" applyFont="1" applyFill="1" applyBorder="1">
      <alignment horizontal="left" vertical="top" wrapText="1"/>
    </xf>
    <xf numFmtId="0" fontId="23" fillId="38" borderId="14" xfId="0" applyFont="1" applyFill="1" applyBorder="1">
      <alignment horizontal="left" vertical="top" wrapText="1"/>
    </xf>
    <xf numFmtId="0" fontId="23" fillId="38" borderId="14" xfId="0" applyFont="1" applyFill="1" applyBorder="1">
      <alignment horizontal="left" vertical="top" wrapText="1"/>
    </xf>
    <xf numFmtId="0" fontId="23" fillId="0" borderId="18" xfId="0" applyFont="1" applyBorder="1">
      <alignment horizontal="center" vertical="center" wrapText="1"/>
    </xf>
    <xf numFmtId="49" fontId="55" fillId="0" borderId="0" xfId="0" applyFont="1" applyNumberFormat="1">
      <alignment horizontal="center" vertical="center" wrapText="1"/>
    </xf>
    <xf numFmtId="0" fontId="23" fillId="0" borderId="37" xfId="0" applyFont="1" applyBorder="1">
      <alignment horizontal="center" vertical="center" wrapText="1"/>
    </xf>
    <xf numFmtId="49" fontId="55" fillId="0" borderId="0" xfId="0" applyFont="1" applyNumberFormat="1">
      <alignment horizontal="center" vertical="center" wrapText="1"/>
    </xf>
    <xf numFmtId="0" fontId="23" fillId="0" borderId="16" xfId="0" applyFont="1" applyBorder="1">
      <alignment horizontal="center" vertical="center" wrapText="1"/>
    </xf>
    <xf numFmtId="0" fontId="23" fillId="0" borderId="0" xfId="0" applyFont="1">
      <alignment horizontal="left" vertical="top" wrapText="1"/>
    </xf>
    <xf numFmtId="0" fontId="23" fillId="0" borderId="0" xfId="0" applyFont="1">
      <alignment vertical="top" wrapText="1"/>
    </xf>
    <xf numFmtId="0" fontId="23" fillId="0" borderId="13" xfId="0" applyFont="1" applyBorder="1">
      <alignment horizontal="center" vertical="center" wrapText="1"/>
    </xf>
    <xf numFmtId="0" fontId="23" fillId="0" borderId="13" xfId="0" applyFont="1" applyBorder="1">
      <alignment horizontal="center" vertical="center" wrapText="1"/>
    </xf>
    <xf numFmtId="0" fontId="23" fillId="0" borderId="24" xfId="0" applyFont="1" applyBorder="1">
      <alignment horizontal="center" vertical="center" wrapText="1"/>
    </xf>
    <xf numFmtId="0" fontId="23" fillId="0" borderId="0" xfId="0" applyFont="1">
      <alignment horizontal="left" vertical="top" wrapText="1"/>
    </xf>
    <xf numFmtId="49" fontId="56" fillId="0" borderId="0" xfId="0" applyFont="1" applyNumberFormat="1">
      <alignment horizontal="center" vertical="center" wrapText="1"/>
    </xf>
    <xf numFmtId="0" fontId="56" fillId="0" borderId="0" xfId="0" applyFont="1">
      <alignment horizontal="center" vertical="center" wrapText="1"/>
    </xf>
    <xf numFmtId="0" fontId="56" fillId="0" borderId="0" xfId="0" applyFont="1">
      <alignment horizontal="center" vertical="center" wrapText="1"/>
    </xf>
    <xf numFmtId="49" fontId="23" fillId="55" borderId="0" xfId="0" applyFont="1" applyFill="1" applyNumberFormat="1">
      <alignment horizontal="center" vertical="center" textRotation="90" wrapText="1"/>
    </xf>
    <xf numFmtId="49" fontId="23" fillId="0" borderId="13" xfId="0" applyFont="1" applyBorder="1" applyNumberFormat="1">
      <alignment horizontal="center" vertical="center" wrapText="1"/>
    </xf>
    <xf numFmtId="4" fontId="23" fillId="0" borderId="13" xfId="0" applyFont="1" applyBorder="1" applyNumberFormat="1">
      <alignment horizontal="center" vertical="center" wrapText="1"/>
    </xf>
    <xf numFmtId="49" fontId="29" fillId="33" borderId="15" xfId="0" applyFont="1" applyFill="1" applyBorder="1" applyNumberFormat="1">
      <alignment horizontal="left" vertical="center" wrapText="1"/>
      <protection locked="0"/>
    </xf>
    <xf numFmtId="49" fontId="29" fillId="33" borderId="15" xfId="0" applyFont="1" applyFill="1" applyBorder="1" applyNumberFormat="1">
      <alignment horizontal="left" vertical="center" wrapText="1"/>
      <protection locked="0"/>
    </xf>
    <xf numFmtId="0" fontId="78" fillId="0" borderId="23" xfId="0" applyFont="1" applyBorder="1">
      <alignment vertical="center" wrapText="1"/>
    </xf>
    <xf numFmtId="49" fontId="29" fillId="33" borderId="15" xfId="0" applyFont="1" applyFill="1" applyBorder="1" applyNumberFormat="1">
      <alignment horizontal="left" vertical="center" wrapText="1"/>
      <protection locked="0"/>
    </xf>
    <xf numFmtId="0" fontId="23" fillId="0" borderId="13" xfId="0" applyFont="1" applyBorder="1">
      <alignment horizontal="center" vertical="center" wrapText="1"/>
    </xf>
    <xf numFmtId="49" fontId="23" fillId="41" borderId="13" xfId="0" applyFont="1" applyFill="1" applyBorder="1" applyNumberFormat="1">
      <alignment horizontal="left" vertical="center" wrapText="1"/>
      <protection locked="0"/>
    </xf>
    <xf numFmtId="49" fontId="23" fillId="41" borderId="13" xfId="0" applyFont="1" applyFill="1" applyBorder="1" applyNumberFormat="1">
      <alignment horizontal="left" vertical="center" wrapText="1"/>
      <protection locked="0"/>
    </xf>
    <xf numFmtId="0" fontId="46" fillId="0" borderId="0" xfId="0" applyFont="1">
      <alignment horizontal="center" vertical="center" wrapText="1"/>
    </xf>
    <xf numFmtId="0" fontId="23" fillId="0" borderId="18" xfId="0" applyFont="1" applyBorder="1">
      <alignment horizontal="center" vertical="center" wrapText="1"/>
    </xf>
    <xf numFmtId="0" fontId="23" fillId="0" borderId="15" xfId="0" applyFont="1" applyBorder="1">
      <alignment horizontal="center" vertical="center" wrapText="1"/>
    </xf>
    <xf numFmtId="0" fontId="23" fillId="0" borderId="13" xfId="0" applyFont="1" applyBorder="1">
      <alignment horizontal="left" vertical="center" wrapText="1" indent="2"/>
    </xf>
    <xf numFmtId="3" fontId="54" fillId="33" borderId="13" xfId="0" applyFont="1" applyFill="1" applyBorder="1" applyNumberFormat="1">
      <alignment horizontal="right" vertical="center"/>
      <protection locked="0"/>
    </xf>
    <xf numFmtId="3" fontId="54" fillId="33" borderId="13" xfId="0" applyFont="1" applyFill="1" applyBorder="1" applyNumberFormat="1">
      <alignment horizontal="right" vertical="center"/>
      <protection locked="0"/>
    </xf>
    <xf numFmtId="0" fontId="54" fillId="0" borderId="0" xfId="0" applyFont="1">
      <alignment vertical="center" wrapText="1"/>
    </xf>
    <xf numFmtId="0" fontId="54" fillId="0" borderId="0" xfId="0" applyFont="1">
      <alignment vertical="center" wrapText="1"/>
    </xf>
    <xf numFmtId="49" fontId="55" fillId="0" borderId="0" xfId="0" applyFont="1" applyNumberFormat="1">
      <alignment horizontal="center" vertical="center" wrapText="1"/>
    </xf>
    <xf numFmtId="0" fontId="23" fillId="0" borderId="0" xfId="0" applyFont="1">
      <alignment vertical="top" wrapText="1"/>
    </xf>
    <xf numFmtId="0" fontId="23" fillId="0" borderId="0" xfId="0" applyFont="1">
      <alignment vertical="top"/>
    </xf>
    <xf numFmtId="49" fontId="29" fillId="0" borderId="13" xfId="0" applyFont="1" applyBorder="1" applyNumberFormat="1">
      <alignment horizontal="left" vertical="center" wrapText="1"/>
    </xf>
    <xf numFmtId="49" fontId="29" fillId="0" borderId="13" xfId="0" applyFont="1" applyBorder="1" applyNumberFormat="1">
      <alignment horizontal="left" vertical="center" wrapText="1"/>
    </xf>
    <xf numFmtId="49" fontId="23" fillId="0" borderId="33" xfId="0" applyFont="1" applyBorder="1" applyNumberFormat="1">
      <alignment horizontal="center" vertical="center" wrapText="1"/>
    </xf>
    <xf numFmtId="0" fontId="23" fillId="0" borderId="33" xfId="0" applyFont="1" applyBorder="1">
      <alignment horizontal="left" vertical="center" wrapText="1"/>
    </xf>
    <xf numFmtId="4" fontId="23" fillId="0" borderId="41" xfId="0" applyFont="1" applyBorder="1" applyNumberFormat="1">
      <alignment horizontal="center" vertical="center" wrapText="1"/>
    </xf>
    <xf numFmtId="49" fontId="29" fillId="0" borderId="28" xfId="0" applyFont="1" applyBorder="1" applyNumberFormat="1">
      <alignment horizontal="left" vertical="center" wrapText="1"/>
    </xf>
    <xf numFmtId="4" fontId="23" fillId="0" borderId="41" xfId="0" applyFont="1" applyBorder="1" applyNumberFormat="1">
      <alignment horizontal="center" vertical="center" wrapText="1"/>
    </xf>
    <xf numFmtId="49" fontId="29" fillId="0" borderId="28" xfId="0" applyFont="1" applyBorder="1" applyNumberFormat="1">
      <alignment horizontal="left" vertical="center" wrapText="1"/>
    </xf>
    <xf numFmtId="49" fontId="23" fillId="0" borderId="32" xfId="0" applyFont="1" applyBorder="1" applyNumberFormat="1">
      <alignment horizontal="center" vertical="center" wrapText="1"/>
    </xf>
    <xf numFmtId="0" fontId="23" fillId="0" borderId="34" xfId="0" applyFont="1" applyBorder="1">
      <alignment horizontal="left" vertical="center" wrapText="1" indent="1"/>
    </xf>
    <xf numFmtId="4" fontId="23" fillId="41" borderId="32" xfId="0" applyFont="1" applyFill="1" applyBorder="1" applyNumberFormat="1">
      <alignment horizontal="right" vertical="center" wrapText="1"/>
      <protection locked="0"/>
    </xf>
    <xf numFmtId="49" fontId="29" fillId="0" borderId="15" xfId="0" applyFont="1" applyBorder="1" applyNumberFormat="1">
      <alignment horizontal="left" vertical="center" wrapText="1"/>
    </xf>
    <xf numFmtId="4" fontId="23" fillId="41" borderId="32" xfId="0" applyFont="1" applyFill="1" applyBorder="1" applyNumberFormat="1">
      <alignment horizontal="right" vertical="center" wrapText="1"/>
      <protection locked="0"/>
    </xf>
    <xf numFmtId="49" fontId="29" fillId="0" borderId="15" xfId="0" applyFont="1" applyBorder="1" applyNumberFormat="1">
      <alignment horizontal="left" vertical="center" wrapText="1"/>
    </xf>
    <xf numFmtId="4" fontId="23" fillId="0" borderId="18" xfId="0" applyFont="1" applyBorder="1" applyNumberFormat="1">
      <alignment horizontal="center" vertical="center" wrapText="1"/>
    </xf>
    <xf numFmtId="4" fontId="23" fillId="41" borderId="36" xfId="0" applyFont="1" applyFill="1" applyBorder="1" applyNumberFormat="1">
      <alignment horizontal="right" vertical="center" wrapText="1"/>
      <protection locked="0"/>
    </xf>
    <xf numFmtId="4" fontId="23" fillId="41" borderId="36" xfId="0" applyFont="1" applyFill="1" applyBorder="1" applyNumberFormat="1">
      <alignment horizontal="right" vertical="center" wrapText="1"/>
      <protection locked="0"/>
    </xf>
    <xf numFmtId="0" fontId="23" fillId="0" borderId="34" xfId="0" applyFont="1" applyBorder="1">
      <alignment horizontal="left" vertical="center" wrapText="1"/>
    </xf>
    <xf numFmtId="49" fontId="29" fillId="0" borderId="16" xfId="0" applyFont="1" applyBorder="1" applyNumberFormat="1">
      <alignment horizontal="left" vertical="center" wrapText="1"/>
    </xf>
    <xf numFmtId="4" fontId="23" fillId="0" borderId="13" xfId="0" applyFont="1" applyBorder="1" applyNumberFormat="1">
      <alignment horizontal="center" vertical="center" wrapText="1"/>
    </xf>
    <xf numFmtId="49" fontId="29" fillId="0" borderId="16" xfId="0" applyFont="1" applyBorder="1" applyNumberFormat="1">
      <alignment horizontal="left" vertical="center" wrapText="1"/>
    </xf>
    <xf numFmtId="0" fontId="23" fillId="0" borderId="32" xfId="0" applyFont="1" applyBorder="1">
      <alignment horizontal="left" vertical="center" wrapText="1" indent="1"/>
    </xf>
    <xf numFmtId="4" fontId="23" fillId="0" borderId="33" xfId="0" applyFont="1" applyBorder="1" applyNumberFormat="1">
      <alignment horizontal="center" vertical="center" wrapText="1"/>
    </xf>
    <xf numFmtId="4" fontId="23" fillId="41" borderId="24" xfId="0" applyFont="1" applyFill="1" applyBorder="1" applyNumberFormat="1">
      <alignment horizontal="right" vertical="center" wrapText="1"/>
      <protection locked="0"/>
    </xf>
    <xf numFmtId="0" fontId="23" fillId="0" borderId="32" xfId="0" applyFont="1" applyBorder="1">
      <alignment horizontal="left" vertical="center" wrapText="1"/>
    </xf>
    <xf numFmtId="0" fontId="23" fillId="0" borderId="32" xfId="0" applyFont="1" applyBorder="1">
      <alignment horizontal="left" vertical="center" wrapText="1" indent="2"/>
    </xf>
    <xf numFmtId="4" fontId="23" fillId="0" borderId="32" xfId="0" applyFont="1" applyBorder="1" applyNumberFormat="1">
      <alignment horizontal="center" vertical="center" wrapText="1"/>
    </xf>
    <xf numFmtId="49" fontId="23" fillId="0" borderId="35" xfId="0" applyFont="1" applyBorder="1" applyNumberFormat="1">
      <alignment horizontal="center" vertical="center" wrapText="1"/>
    </xf>
    <xf numFmtId="49" fontId="29" fillId="41" borderId="13" xfId="0" applyFont="1" applyFill="1" applyBorder="1" applyNumberFormat="1">
      <alignment horizontal="left" vertical="center" wrapText="1"/>
      <protection locked="0"/>
    </xf>
    <xf numFmtId="0" fontId="23" fillId="0" borderId="36" xfId="0" applyFont="1" applyBorder="1">
      <alignment horizontal="left" vertical="center" wrapText="1"/>
    </xf>
    <xf numFmtId="4" fontId="23" fillId="0" borderId="36" xfId="0" applyFont="1" applyBorder="1" applyNumberFormat="1">
      <alignment horizontal="center" vertical="center" wrapText="1"/>
    </xf>
    <xf numFmtId="49" fontId="29" fillId="0" borderId="38" xfId="0" applyFont="1" applyBorder="1" applyNumberFormat="1">
      <alignment horizontal="left" vertical="center" wrapText="1"/>
    </xf>
    <xf numFmtId="49" fontId="29" fillId="0" borderId="38" xfId="0" applyFont="1" applyBorder="1" applyNumberFormat="1">
      <alignment horizontal="left" vertical="center" wrapText="1"/>
    </xf>
    <xf numFmtId="49" fontId="23" fillId="0" borderId="34" xfId="0" applyFont="1" applyBorder="1" applyNumberFormat="1">
      <alignment horizontal="center" vertical="center" wrapText="1"/>
    </xf>
    <xf numFmtId="4" fontId="23" fillId="41" borderId="15" xfId="0" applyFont="1" applyFill="1" applyBorder="1" applyNumberFormat="1">
      <alignment horizontal="right" vertical="center" wrapText="1"/>
      <protection locked="0"/>
    </xf>
    <xf numFmtId="4" fontId="23" fillId="41" borderId="15" xfId="0" applyFont="1" applyFill="1" applyBorder="1" applyNumberFormat="1">
      <alignment horizontal="right" vertical="center" wrapText="1"/>
      <protection locked="0"/>
    </xf>
    <xf numFmtId="4" fontId="23" fillId="41" borderId="34" xfId="0" applyFont="1" applyFill="1" applyBorder="1" applyNumberFormat="1">
      <alignment horizontal="right" vertical="center" wrapText="1"/>
      <protection locked="0"/>
    </xf>
    <xf numFmtId="4" fontId="23" fillId="0" borderId="34" xfId="0" applyFont="1" applyBorder="1" applyNumberFormat="1">
      <alignment horizontal="center" vertical="center" wrapText="1"/>
    </xf>
    <xf numFmtId="4" fontId="23" fillId="41" borderId="35" xfId="0" applyFont="1" applyFill="1" applyBorder="1" applyNumberFormat="1">
      <alignment horizontal="right" vertical="center" wrapText="1"/>
      <protection locked="0"/>
    </xf>
    <xf numFmtId="4" fontId="23" fillId="41" borderId="35" xfId="0" applyFont="1" applyFill="1" applyBorder="1" applyNumberFormat="1">
      <alignment horizontal="right" vertical="center" wrapText="1"/>
      <protection locked="0"/>
    </xf>
    <xf numFmtId="49" fontId="29" fillId="41" borderId="15" xfId="0" applyFont="1" applyFill="1" applyBorder="1" applyNumberFormat="1">
      <alignment horizontal="left" vertical="center" wrapText="1"/>
      <protection locked="0"/>
    </xf>
    <xf numFmtId="49" fontId="55" fillId="0" borderId="0" xfId="0" applyFont="1" applyNumberFormat="1">
      <alignment horizontal="center" vertical="center" wrapText="1"/>
    </xf>
    <xf numFmtId="49" fontId="55" fillId="0" borderId="0" xfId="0" applyFont="1" applyNumberFormat="1">
      <alignment horizontal="center" vertical="center" wrapText="1"/>
    </xf>
    <xf numFmtId="0" fontId="41" fillId="0" borderId="0" xfId="0" applyFont="1">
      <alignment vertical="center" wrapText="1"/>
    </xf>
    <xf numFmtId="0" fontId="23" fillId="0" borderId="20" xfId="0" applyFont="1" applyBorder="1">
      <alignment horizontal="left" vertical="center" wrapText="1" indent="1"/>
    </xf>
    <xf numFmtId="0" fontId="23" fillId="0" borderId="0" xfId="0" applyFont="1">
      <alignment vertical="center" wrapText="1"/>
    </xf>
    <xf numFmtId="0" fontId="23" fillId="0" borderId="0" xfId="0" applyFont="1">
      <alignment vertical="center" wrapText="1"/>
    </xf>
    <xf numFmtId="0" fontId="23" fillId="0" borderId="29" xfId="0" applyFont="1" applyBorder="1">
      <alignment horizontal="left" vertical="center" wrapText="1" indent="1"/>
    </xf>
    <xf numFmtId="0" fontId="23" fillId="0" borderId="0" xfId="0" applyFont="1">
      <alignment vertical="center" wrapText="1"/>
    </xf>
    <xf numFmtId="49" fontId="55" fillId="0" borderId="0" xfId="0" applyFont="1" applyNumberFormat="1">
      <alignment horizontal="center" vertical="center" wrapText="1"/>
    </xf>
    <xf numFmtId="49" fontId="104" fillId="0" borderId="0" xfId="0" applyFont="1" applyNumberFormat="1">
      <alignment horizontal="center" vertical="center" wrapText="1"/>
    </xf>
    <xf numFmtId="0" fontId="23" fillId="36" borderId="13" xfId="0" applyFont="1" applyFill="1" applyBorder="1">
      <alignment horizontal="center" vertical="center" wrapText="1"/>
    </xf>
    <xf numFmtId="0" fontId="0" fillId="36" borderId="15" xfId="0" applyFont="1" applyFill="1" applyBorder="1">
      <alignment horizontal="center" vertical="center" wrapText="1"/>
    </xf>
    <xf numFmtId="0" fontId="0" fillId="36" borderId="16" xfId="0" applyFont="1" applyFill="1" applyBorder="1">
      <alignment horizontal="center" vertical="center" wrapText="1"/>
    </xf>
    <xf numFmtId="0" fontId="0" fillId="36" borderId="14" xfId="0" applyFont="1" applyFill="1" applyBorder="1">
      <alignment horizontal="center" vertical="center" wrapText="1"/>
    </xf>
    <xf numFmtId="0" fontId="0" fillId="36" borderId="18" xfId="0" applyFont="1" applyFill="1" applyBorder="1">
      <alignment horizontal="center" vertical="center" wrapText="1"/>
    </xf>
    <xf numFmtId="0" fontId="23" fillId="36" borderId="18" xfId="0" applyFont="1" applyFill="1" applyBorder="1">
      <alignment horizontal="center" vertical="center" wrapText="1"/>
    </xf>
    <xf numFmtId="0" fontId="0" fillId="36" borderId="18" xfId="0" applyFont="1" applyFill="1" applyBorder="1">
      <alignment horizontal="center" vertical="center" wrapText="1"/>
    </xf>
    <xf numFmtId="0" fontId="0" fillId="36" borderId="38" xfId="0" applyFont="1" applyFill="1" applyBorder="1">
      <alignment horizontal="center" vertical="center" wrapText="1"/>
    </xf>
    <xf numFmtId="0" fontId="23" fillId="0" borderId="13" xfId="0" applyFont="1" applyBorder="1">
      <alignment horizontal="center" vertical="center" wrapText="1"/>
    </xf>
    <xf numFmtId="0" fontId="56" fillId="0" borderId="0" xfId="0" applyFont="1">
      <alignment horizontal="center" vertical="center" wrapText="1"/>
    </xf>
    <xf numFmtId="49" fontId="56" fillId="0" borderId="13" xfId="0" applyFont="1" applyBorder="1" applyNumberFormat="1">
      <alignment horizontal="center" vertical="center" wrapText="1"/>
    </xf>
    <xf numFmtId="0" fontId="0" fillId="0" borderId="13" xfId="0" applyFont="1" applyBorder="1">
      <alignment horizontal="left" vertical="center" wrapText="1" indent="1"/>
    </xf>
    <xf numFmtId="49" fontId="0" fillId="0" borderId="13" xfId="0" applyFont="1" applyBorder="1" applyNumberFormat="1">
      <alignment horizontal="center" vertical="center" wrapText="1"/>
    </xf>
    <xf numFmtId="49" fontId="23" fillId="0" borderId="13" xfId="0" applyFont="1" applyBorder="1" applyNumberFormat="1">
      <alignment horizontal="left" vertical="center" wrapText="1"/>
    </xf>
    <xf numFmtId="49" fontId="23" fillId="0" borderId="13" xfId="0" applyFont="1" applyBorder="1" applyNumberFormat="1">
      <alignment horizontal="left" vertical="center" wrapText="1"/>
    </xf>
    <xf numFmtId="49" fontId="23" fillId="0" borderId="13" xfId="0" applyFont="1" applyBorder="1" applyNumberFormat="1">
      <alignment horizontal="center" vertical="center" wrapText="1"/>
    </xf>
    <xf numFmtId="49" fontId="56" fillId="0" borderId="0" xfId="0" applyFont="1" applyNumberFormat="1">
      <alignment horizontal="center" vertical="center" wrapText="1"/>
    </xf>
    <xf numFmtId="49" fontId="23" fillId="0" borderId="15" xfId="0" applyFont="1" applyBorder="1" applyNumberFormat="1">
      <alignment horizontal="center" vertical="center" wrapText="1"/>
    </xf>
    <xf numFmtId="49" fontId="49" fillId="40" borderId="15" xfId="0" applyFont="1" applyFill="1" applyBorder="1" applyNumberFormat="1">
      <alignment horizontal="left" vertical="center" indent="1"/>
    </xf>
    <xf numFmtId="0" fontId="23" fillId="40" borderId="31" xfId="0" applyFont="1" applyFill="1" applyBorder="1">
      <alignment vertical="center" wrapText="1"/>
    </xf>
    <xf numFmtId="49" fontId="55" fillId="0" borderId="0" xfId="0" applyFont="1" applyNumberFormat="1">
      <alignment horizontal="center" vertical="center" wrapText="1"/>
    </xf>
    <xf numFmtId="0" fontId="55" fillId="0" borderId="0" xfId="0" applyFont="1">
      <alignment vertical="center" wrapText="1"/>
    </xf>
    <xf numFmtId="0" fontId="55" fillId="0" borderId="0" xfId="0" applyFont="1">
      <alignment vertical="center" wrapText="1"/>
    </xf>
    <xf numFmtId="0" fontId="55" fillId="0" borderId="0" xfId="0" applyFont="1">
      <alignment vertical="center" wrapText="1"/>
    </xf>
    <xf numFmtId="0" fontId="41" fillId="0" borderId="0" xfId="0" applyFont="1">
      <alignment vertical="center" wrapText="1"/>
    </xf>
    <xf numFmtId="0" fontId="41" fillId="0" borderId="0" xfId="0" applyFont="1">
      <alignment vertical="center" wrapText="1"/>
    </xf>
    <xf numFmtId="0" fontId="41" fillId="0" borderId="0" xfId="0" applyFont="1">
      <alignment vertical="center" wrapText="1"/>
    </xf>
    <xf numFmtId="0" fontId="23" fillId="0" borderId="29" xfId="0" applyFont="1" applyBorder="1">
      <alignment horizontal="left" vertical="center" wrapText="1" indent="1"/>
    </xf>
    <xf numFmtId="0" fontId="23" fillId="0" borderId="0" xfId="0" applyFont="1">
      <alignment horizontal="left" vertical="center" wrapText="1" indent="3"/>
    </xf>
    <xf numFmtId="0" fontId="23" fillId="36" borderId="0" xfId="0" applyFont="1" applyFill="1">
      <alignment vertical="center" wrapText="1"/>
    </xf>
    <xf numFmtId="0" fontId="23" fillId="36" borderId="40" xfId="0" applyFont="1" applyFill="1" applyBorder="1">
      <alignment vertical="center" wrapText="1"/>
    </xf>
    <xf numFmtId="0" fontId="23" fillId="36" borderId="40" xfId="0" applyFont="1" applyFill="1" applyBorder="1">
      <alignment vertical="center" wrapText="1"/>
    </xf>
    <xf numFmtId="49" fontId="76" fillId="0" borderId="40" xfId="0" applyFont="1" applyBorder="1" applyNumberFormat="1">
      <alignment vertical="top"/>
    </xf>
    <xf numFmtId="49" fontId="76" fillId="0" borderId="40" xfId="0" applyFont="1" applyBorder="1" applyNumberFormat="1">
      <alignment vertical="top"/>
    </xf>
    <xf numFmtId="0" fontId="35" fillId="36" borderId="40" xfId="0" applyFont="1" applyFill="1" applyBorder="1">
      <alignment horizontal="center" wrapText="1"/>
    </xf>
    <xf numFmtId="0" fontId="35" fillId="36" borderId="40" xfId="0" applyFont="1" applyFill="1" applyBorder="1">
      <alignment horizontal="center" wrapText="1"/>
    </xf>
    <xf numFmtId="0" fontId="23" fillId="36" borderId="40" xfId="0" applyFont="1" applyFill="1" applyBorder="1">
      <alignment vertical="center" wrapText="1"/>
    </xf>
    <xf numFmtId="0" fontId="23" fillId="36" borderId="40" xfId="0" applyFont="1" applyFill="1" applyBorder="1">
      <alignment vertical="center" wrapText="1"/>
    </xf>
    <xf numFmtId="49" fontId="23" fillId="0" borderId="0" xfId="0" applyFont="1" applyNumberFormat="1">
      <alignment vertical="top"/>
    </xf>
    <xf numFmtId="0" fontId="23" fillId="0" borderId="63" xfId="0" applyFont="1" applyBorder="1">
      <alignment horizontal="center" vertical="center"/>
    </xf>
    <xf numFmtId="0" fontId="23" fillId="0" borderId="64" xfId="0" applyFont="1" applyBorder="1">
      <alignment horizontal="center" vertical="center"/>
    </xf>
    <xf numFmtId="0" fontId="23" fillId="0" borderId="70" xfId="0" applyFont="1" applyBorder="1">
      <alignment horizontal="center" vertical="center"/>
    </xf>
    <xf numFmtId="0" fontId="23" fillId="0" borderId="39" xfId="0" applyFont="1" applyBorder="1">
      <alignment vertical="center" wrapText="1"/>
    </xf>
    <xf numFmtId="0" fontId="23" fillId="36" borderId="13" xfId="0" applyFont="1" applyFill="1" applyBorder="1">
      <alignment horizontal="center" vertical="center" wrapText="1"/>
    </xf>
    <xf numFmtId="0" fontId="23" fillId="36" borderId="38" xfId="0" applyFont="1" applyFill="1" applyBorder="1">
      <alignment horizontal="center" vertical="center" wrapText="1"/>
    </xf>
    <xf numFmtId="0" fontId="23" fillId="36" borderId="21" xfId="0" applyFont="1" applyFill="1" applyBorder="1">
      <alignment horizontal="center" vertical="center" wrapText="1"/>
    </xf>
    <xf numFmtId="0" fontId="23" fillId="0" borderId="13" xfId="0" applyFont="1" applyBorder="1">
      <alignment horizontal="center" vertical="center" wrapText="1"/>
    </xf>
    <xf numFmtId="0" fontId="23" fillId="0" borderId="0" xfId="0" applyFont="1">
      <alignment vertical="center" wrapText="1"/>
    </xf>
    <xf numFmtId="0" fontId="23" fillId="36" borderId="0" xfId="0" applyFont="1" applyFill="1">
      <alignment vertical="center" wrapText="1"/>
    </xf>
    <xf numFmtId="0" fontId="23" fillId="36" borderId="23" xfId="0" applyFont="1" applyFill="1" applyBorder="1">
      <alignment horizontal="center" vertical="center" wrapText="1"/>
    </xf>
    <xf numFmtId="0" fontId="23" fillId="36" borderId="25" xfId="0" applyFont="1" applyFill="1" applyBorder="1">
      <alignment horizontal="center" vertical="center" wrapText="1"/>
    </xf>
    <xf numFmtId="0" fontId="23" fillId="0" borderId="23" xfId="0" applyFont="1" applyBorder="1">
      <alignment horizontal="center" vertical="center" wrapText="1"/>
    </xf>
    <xf numFmtId="49" fontId="23" fillId="0" borderId="0" xfId="0" applyFont="1" applyNumberFormat="1">
      <alignment vertical="top"/>
    </xf>
    <xf numFmtId="0" fontId="23" fillId="0" borderId="0" xfId="0" applyFont="1">
      <alignment vertical="center" wrapText="1"/>
    </xf>
    <xf numFmtId="49" fontId="104" fillId="0" borderId="0" xfId="0" applyFont="1" applyNumberFormat="1">
      <alignment horizontal="center" vertical="center" wrapText="1"/>
    </xf>
    <xf numFmtId="0" fontId="23" fillId="36" borderId="0" xfId="0" applyFont="1" applyFill="1">
      <alignment vertical="center" wrapText="1"/>
    </xf>
    <xf numFmtId="0" fontId="0" fillId="0" borderId="13" xfId="0" applyFont="1" applyBorder="1">
      <alignment horizontal="center" vertical="center" wrapText="1"/>
    </xf>
    <xf numFmtId="49" fontId="23" fillId="0" borderId="0" xfId="0" applyFont="1" applyNumberFormat="1">
      <alignment vertical="top"/>
    </xf>
    <xf numFmtId="0" fontId="23" fillId="36" borderId="28" xfId="0" applyFont="1" applyFill="1" applyBorder="1">
      <alignment horizontal="center" vertical="center" wrapText="1"/>
    </xf>
    <xf numFmtId="0" fontId="23" fillId="36" borderId="31" xfId="0" applyFont="1" applyFill="1" applyBorder="1">
      <alignment horizontal="center" vertical="center" wrapText="1"/>
    </xf>
    <xf numFmtId="0" fontId="23" fillId="0" borderId="13" xfId="0" applyFont="1" applyBorder="1">
      <alignment horizontal="center" vertical="center" wrapText="1"/>
    </xf>
    <xf numFmtId="0" fontId="0" fillId="0" borderId="13" xfId="0" applyFont="1" applyBorder="1">
      <alignment horizontal="center" vertical="center" wrapText="1"/>
    </xf>
    <xf numFmtId="0" fontId="23" fillId="0" borderId="13" xfId="0" applyFont="1" applyBorder="1">
      <alignment horizontal="center" vertical="center" wrapText="1"/>
    </xf>
    <xf numFmtId="0" fontId="23" fillId="0" borderId="13" xfId="0" applyFont="1" applyBorder="1">
      <alignment horizontal="center" vertical="center" wrapText="1"/>
    </xf>
    <xf numFmtId="0" fontId="23" fillId="36" borderId="0" xfId="0" applyFont="1" applyFill="1">
      <alignment vertical="center" wrapText="1"/>
    </xf>
    <xf numFmtId="0" fontId="23" fillId="0" borderId="0" xfId="0" applyFont="1">
      <alignment vertical="center" wrapText="1"/>
    </xf>
    <xf numFmtId="0" fontId="23" fillId="0" borderId="0" xfId="0" applyFont="1">
      <alignment vertical="center" wrapText="1"/>
    </xf>
    <xf numFmtId="0" fontId="23" fillId="0" borderId="0" xfId="0" applyFont="1">
      <alignment vertical="center" wrapText="1"/>
    </xf>
    <xf numFmtId="0" fontId="23" fillId="0" borderId="0" xfId="0" applyFont="1">
      <alignment vertical="center"/>
    </xf>
    <xf numFmtId="0" fontId="23" fillId="0" borderId="0" xfId="0" applyFont="1">
      <alignment vertical="center"/>
    </xf>
    <xf numFmtId="49" fontId="23" fillId="0" borderId="0" xfId="0" applyFont="1" applyNumberFormat="1">
      <alignment vertical="top"/>
    </xf>
    <xf numFmtId="49" fontId="23" fillId="0" borderId="0" xfId="0" applyFont="1" applyNumberFormat="1">
      <alignment vertical="top"/>
    </xf>
    <xf numFmtId="49" fontId="23" fillId="0" borderId="0" xfId="0" applyFont="1" applyNumberFormat="1">
      <alignment vertical="top"/>
    </xf>
    <xf numFmtId="0" fontId="23" fillId="0" borderId="0" xfId="0" applyFont="1">
      <alignment horizontal="left" vertical="center" wrapText="1"/>
    </xf>
    <xf numFmtId="0" fontId="23" fillId="0" borderId="0" xfId="0" applyFont="1">
      <alignment vertical="center" wrapText="1"/>
    </xf>
    <xf numFmtId="0" fontId="23" fillId="0" borderId="0" xfId="0" applyFont="1">
      <alignment vertical="center" wrapText="1"/>
    </xf>
    <xf numFmtId="0" fontId="41" fillId="0" borderId="0" xfId="0" applyFont="1">
      <alignment vertical="center" wrapText="1"/>
    </xf>
    <xf numFmtId="0" fontId="23" fillId="36" borderId="20" xfId="0" applyFont="1" applyFill="1" applyBorder="1">
      <alignment vertical="center" wrapText="1"/>
    </xf>
    <xf numFmtId="49" fontId="56" fillId="0" borderId="0" xfId="0" applyFont="1" applyNumberFormat="1">
      <alignment vertical="top"/>
    </xf>
    <xf numFmtId="0" fontId="56" fillId="0" borderId="40" xfId="0" applyFont="1" applyBorder="1">
      <alignment vertical="center" wrapText="1"/>
    </xf>
    <xf numFmtId="0" fontId="23" fillId="0" borderId="76" xfId="0" applyFont="1" applyBorder="1">
      <alignment horizontal="center" vertical="center"/>
    </xf>
    <xf numFmtId="0" fontId="23" fillId="0" borderId="44" xfId="0" applyFont="1" applyBorder="1">
      <alignment horizontal="center" vertical="center"/>
    </xf>
    <xf numFmtId="0" fontId="23" fillId="0" borderId="39" xfId="0" applyFont="1" applyBorder="1">
      <alignment vertical="center"/>
    </xf>
    <xf numFmtId="49" fontId="0" fillId="0" borderId="18" xfId="0" applyFont="1" applyBorder="1" applyNumberFormat="1">
      <alignment horizontal="center" vertical="center" wrapText="1"/>
    </xf>
    <xf numFmtId="49" fontId="0" fillId="0" borderId="13" xfId="0" applyFont="1" applyBorder="1" applyNumberFormat="1">
      <alignment horizontal="center" vertical="center"/>
    </xf>
    <xf numFmtId="49" fontId="0" fillId="0" borderId="13" xfId="0" applyFont="1" applyBorder="1" applyNumberFormat="1">
      <alignment horizontal="center" vertical="center" wrapText="1"/>
    </xf>
    <xf numFmtId="49" fontId="23" fillId="0" borderId="23" xfId="0" applyFont="1" applyBorder="1" applyNumberFormat="1">
      <alignment vertical="top"/>
    </xf>
    <xf numFmtId="49" fontId="0" fillId="0" borderId="37" xfId="0" applyFont="1" applyBorder="1" applyNumberFormat="1">
      <alignment horizontal="center" vertical="center" wrapText="1"/>
    </xf>
    <xf numFmtId="0" fontId="0" fillId="38" borderId="13" xfId="0" applyFont="1" applyFill="1" applyBorder="1">
      <alignment horizontal="center" vertical="center" wrapText="1"/>
    </xf>
    <xf numFmtId="49" fontId="0" fillId="0" borderId="24" xfId="0" applyFont="1" applyBorder="1" applyNumberFormat="1">
      <alignment horizontal="center" vertical="center" wrapText="1"/>
    </xf>
    <xf numFmtId="49" fontId="0" fillId="0" borderId="13" xfId="0" applyFont="1" applyBorder="1" applyNumberFormat="1">
      <alignment horizontal="center" vertical="center"/>
    </xf>
    <xf numFmtId="49" fontId="0" fillId="38" borderId="13" xfId="0" applyFont="1" applyFill="1" applyBorder="1" applyNumberFormat="1">
      <alignment horizontal="center" vertical="center"/>
    </xf>
    <xf numFmtId="0" fontId="23" fillId="0" borderId="23" xfId="0" applyFont="1" applyBorder="1">
      <alignment vertical="center" wrapText="1"/>
    </xf>
    <xf numFmtId="49" fontId="0" fillId="0" borderId="13" xfId="0" applyFont="1" applyBorder="1" applyNumberFormat="1">
      <alignment horizontal="center" vertical="center" wrapText="1"/>
    </xf>
    <xf numFmtId="49" fontId="0" fillId="0" borderId="13" xfId="0" applyFont="1" applyBorder="1" applyNumberFormat="1">
      <alignment vertical="center" wrapText="1"/>
    </xf>
    <xf numFmtId="49" fontId="0" fillId="0" borderId="13" xfId="0" applyFont="1" applyBorder="1" applyNumberFormat="1">
      <alignment horizontal="center" vertical="center"/>
    </xf>
    <xf numFmtId="4" fontId="0" fillId="38" borderId="13" xfId="0" applyFont="1" applyFill="1" applyBorder="1" applyNumberFormat="1">
      <alignment horizontal="right" vertical="center" wrapText="1"/>
    </xf>
    <xf numFmtId="49" fontId="0" fillId="0" borderId="13" xfId="0" applyFont="1" applyBorder="1" applyNumberFormat="1">
      <alignment horizontal="left" vertical="center" wrapText="1" indent="2"/>
    </xf>
    <xf numFmtId="4" fontId="0" fillId="33" borderId="13" xfId="0" applyFont="1" applyFill="1" applyBorder="1" applyNumberFormat="1">
      <alignment horizontal="right" vertical="center" wrapText="1"/>
      <protection locked="0"/>
    </xf>
    <xf numFmtId="49" fontId="0" fillId="0" borderId="13" xfId="0" applyFont="1" applyBorder="1" applyNumberFormat="1">
      <alignment horizontal="center" vertical="center" wrapText="1"/>
    </xf>
    <xf numFmtId="49" fontId="0" fillId="0" borderId="13" xfId="0" applyFont="1" applyBorder="1" applyNumberFormat="1">
      <alignment horizontal="left" vertical="center" wrapText="1"/>
    </xf>
    <xf numFmtId="49" fontId="0" fillId="0" borderId="13" xfId="0" applyFont="1" applyBorder="1" applyNumberFormat="1">
      <alignment horizontal="left" vertical="center" wrapText="1" indent="3"/>
    </xf>
    <xf numFmtId="49" fontId="0" fillId="0" borderId="13" xfId="0" applyFont="1" applyBorder="1" applyNumberFormat="1">
      <alignment horizontal="left" vertical="center" wrapText="1"/>
    </xf>
    <xf numFmtId="49" fontId="55" fillId="0" borderId="0" xfId="0" applyFont="1" applyNumberFormat="1">
      <alignment horizontal="center" vertical="center" wrapText="1"/>
    </xf>
    <xf numFmtId="49" fontId="54" fillId="0" borderId="0" xfId="0" applyFont="1" applyNumberFormat="1">
      <alignment vertical="center"/>
    </xf>
    <xf numFmtId="49" fontId="105" fillId="0" borderId="0" xfId="0" applyFont="1" applyNumberFormat="1">
      <alignment vertical="center" wrapText="1"/>
    </xf>
    <xf numFmtId="49" fontId="54" fillId="0" borderId="0" xfId="0" applyFont="1" applyNumberFormat="1">
      <alignment vertical="center" wrapText="1"/>
    </xf>
    <xf numFmtId="49" fontId="54" fillId="0" borderId="0" xfId="0" applyFont="1" applyNumberFormat="1">
      <alignment vertical="top"/>
    </xf>
    <xf numFmtId="49" fontId="54" fillId="0" borderId="0" xfId="0" applyFont="1" applyNumberFormat="1">
      <alignment vertical="center" wrapText="1"/>
    </xf>
    <xf numFmtId="49" fontId="23" fillId="0" borderId="0" xfId="0" applyFont="1" applyNumberFormat="1">
      <alignment horizontal="center" vertical="center" wrapText="1"/>
    </xf>
    <xf numFmtId="49" fontId="41" fillId="0" borderId="0" xfId="0" applyFont="1" applyNumberFormat="1">
      <alignment horizontal="center" vertical="center" wrapText="1"/>
    </xf>
    <xf numFmtId="49" fontId="23" fillId="36" borderId="0" xfId="0" applyFont="1" applyFill="1" applyNumberFormat="1">
      <alignment horizontal="center" vertical="center" wrapText="1"/>
    </xf>
    <xf numFmtId="0" fontId="23" fillId="0" borderId="21" xfId="0" applyFont="1" applyBorder="1">
      <alignment horizontal="left" vertical="center" wrapText="1" indent="1"/>
    </xf>
    <xf numFmtId="0" fontId="23" fillId="0" borderId="18" xfId="0" applyFont="1" applyBorder="1">
      <alignment horizontal="left" vertical="center" wrapText="1" indent="1"/>
    </xf>
    <xf numFmtId="0" fontId="23" fillId="0" borderId="31" xfId="0" applyFont="1" applyBorder="1">
      <alignment horizontal="left" vertical="center" wrapText="1" indent="1"/>
    </xf>
    <xf numFmtId="0" fontId="23" fillId="0" borderId="24" xfId="0" applyFont="1" applyBorder="1">
      <alignment horizontal="left" vertical="center" wrapText="1" indent="1"/>
    </xf>
    <xf numFmtId="49" fontId="54" fillId="0" borderId="0" xfId="0" applyFont="1" applyNumberFormat="1">
      <alignment horizontal="center" vertical="center" wrapText="1"/>
    </xf>
    <xf numFmtId="49" fontId="105" fillId="0" borderId="0" xfId="0" applyFont="1" applyNumberFormat="1">
      <alignment horizontal="center" vertical="center" wrapText="1"/>
    </xf>
    <xf numFmtId="49" fontId="54" fillId="0" borderId="0" xfId="0" applyFont="1" applyNumberFormat="1">
      <alignment horizontal="center" vertical="center" wrapText="1"/>
    </xf>
    <xf numFmtId="0" fontId="54" fillId="0" borderId="0" xfId="0" applyFont="1">
      <alignment horizontal="center" vertical="center" wrapText="1"/>
    </xf>
    <xf numFmtId="49" fontId="54" fillId="0" borderId="0" xfId="0" applyFont="1" applyNumberFormat="1">
      <alignment horizontal="center" vertical="center" wrapText="1"/>
    </xf>
    <xf numFmtId="49" fontId="105" fillId="0" borderId="0" xfId="0" applyFont="1" applyNumberFormat="1">
      <alignment horizontal="center" vertical="center" wrapText="1"/>
    </xf>
    <xf numFmtId="49" fontId="23" fillId="0" borderId="0" xfId="0" applyFont="1" applyNumberFormat="1">
      <alignment horizontal="center" vertical="center" wrapText="1"/>
    </xf>
    <xf numFmtId="0" fontId="23" fillId="0" borderId="0" xfId="0" applyFont="1">
      <alignment horizontal="center" vertical="center" wrapText="1"/>
    </xf>
    <xf numFmtId="0" fontId="23" fillId="50" borderId="15" xfId="0" applyFont="1" applyFill="1" applyBorder="1">
      <alignment horizontal="center" vertical="center" wrapText="1"/>
    </xf>
    <xf numFmtId="0" fontId="23" fillId="50" borderId="16" xfId="0" applyFont="1" applyFill="1" applyBorder="1">
      <alignment horizontal="center" vertical="center" wrapText="1"/>
    </xf>
    <xf numFmtId="0" fontId="23" fillId="50" borderId="14" xfId="0" applyFont="1" applyFill="1" applyBorder="1">
      <alignment horizontal="center" vertical="center" wrapText="1"/>
    </xf>
    <xf numFmtId="49" fontId="55" fillId="48" borderId="15" xfId="0" applyFont="1" applyFill="1" applyBorder="1" applyNumberFormat="1">
      <alignment horizontal="center" vertical="center" wrapText="1"/>
    </xf>
    <xf numFmtId="49" fontId="55" fillId="48" borderId="16" xfId="0" applyFont="1" applyFill="1" applyBorder="1" applyNumberFormat="1">
      <alignment horizontal="center" vertical="center" wrapText="1"/>
    </xf>
    <xf numFmtId="49" fontId="55" fillId="48" borderId="14" xfId="0" applyFont="1" applyFill="1" applyBorder="1" applyNumberFormat="1">
      <alignment horizontal="center" vertical="center" wrapText="1"/>
    </xf>
    <xf numFmtId="49" fontId="55" fillId="51" borderId="15" xfId="0" applyFont="1" applyFill="1" applyBorder="1" applyNumberFormat="1">
      <alignment horizontal="center" vertical="center" wrapText="1"/>
    </xf>
    <xf numFmtId="49" fontId="55" fillId="51" borderId="16" xfId="0" applyFont="1" applyFill="1" applyBorder="1" applyNumberFormat="1">
      <alignment horizontal="center" vertical="center" wrapText="1"/>
    </xf>
    <xf numFmtId="49" fontId="55" fillId="51" borderId="14" xfId="0" applyFont="1" applyFill="1" applyBorder="1" applyNumberFormat="1">
      <alignment horizontal="center" vertical="center" wrapText="1"/>
    </xf>
    <xf numFmtId="49" fontId="23" fillId="52" borderId="15" xfId="0" applyFont="1" applyFill="1" applyBorder="1" applyNumberFormat="1">
      <alignment horizontal="center" vertical="center" wrapText="1"/>
    </xf>
    <xf numFmtId="49" fontId="23" fillId="52" borderId="16" xfId="0" applyFont="1" applyFill="1" applyBorder="1" applyNumberFormat="1">
      <alignment horizontal="center" vertical="center" wrapText="1"/>
    </xf>
    <xf numFmtId="49" fontId="23" fillId="34" borderId="20" xfId="0" applyFont="1" applyFill="1" applyBorder="1" applyNumberFormat="1">
      <alignment horizontal="center" vertical="center" wrapText="1"/>
    </xf>
    <xf numFmtId="49" fontId="23" fillId="34" borderId="0" xfId="0" applyFont="1" applyFill="1" applyNumberFormat="1">
      <alignment horizontal="center" vertical="center" wrapText="1"/>
    </xf>
    <xf numFmtId="49" fontId="23" fillId="0" borderId="15" xfId="0" applyFont="1" applyBorder="1" applyNumberFormat="1">
      <alignment horizontal="center" vertical="center" wrapText="1"/>
    </xf>
    <xf numFmtId="49" fontId="23" fillId="0" borderId="16" xfId="0" applyFont="1" applyBorder="1" applyNumberFormat="1">
      <alignment horizontal="center" vertical="center" wrapText="1"/>
    </xf>
    <xf numFmtId="49" fontId="23" fillId="0" borderId="14" xfId="0" applyFont="1" applyBorder="1" applyNumberFormat="1">
      <alignment horizontal="center" vertical="center" wrapText="1"/>
    </xf>
    <xf numFmtId="49" fontId="54" fillId="36" borderId="0" xfId="0" applyFont="1" applyFill="1" applyNumberFormat="1">
      <alignment vertical="center" wrapText="1"/>
    </xf>
    <xf numFmtId="49" fontId="23" fillId="36" borderId="13" xfId="0" applyFont="1" applyFill="1" applyBorder="1" applyNumberFormat="1">
      <alignment horizontal="center" vertical="center" wrapText="1"/>
    </xf>
    <xf numFmtId="49" fontId="23" fillId="36" borderId="13" xfId="0" applyFont="1" applyFill="1" applyBorder="1" applyNumberFormat="1">
      <alignment horizontal="center" vertical="center" wrapText="1"/>
    </xf>
    <xf numFmtId="49" fontId="23" fillId="34" borderId="13" xfId="0" applyFont="1" applyFill="1" applyBorder="1" applyNumberFormat="1">
      <alignment horizontal="center" vertical="center" wrapText="1"/>
    </xf>
    <xf numFmtId="0" fontId="23" fillId="36" borderId="13" xfId="0" applyFont="1" applyFill="1" applyBorder="1">
      <alignment horizontal="center" vertical="center" wrapText="1"/>
    </xf>
    <xf numFmtId="0" fontId="23" fillId="34" borderId="13" xfId="0" applyFont="1" applyFill="1" applyBorder="1">
      <alignment horizontal="center" vertical="center" wrapText="1"/>
    </xf>
    <xf numFmtId="0" fontId="23" fillId="34" borderId="15" xfId="0" applyFont="1" applyFill="1" applyBorder="1">
      <alignment horizontal="center" vertical="center" wrapText="1"/>
    </xf>
    <xf numFmtId="0" fontId="23" fillId="36" borderId="15" xfId="0" applyFont="1" applyFill="1" applyBorder="1">
      <alignment horizontal="center" vertical="center" wrapText="1"/>
    </xf>
    <xf numFmtId="0" fontId="23" fillId="36" borderId="16" xfId="0" applyFont="1" applyFill="1" applyBorder="1">
      <alignment horizontal="center" vertical="center" wrapText="1"/>
    </xf>
    <xf numFmtId="0" fontId="23" fillId="36" borderId="14" xfId="0" applyFont="1" applyFill="1" applyBorder="1">
      <alignment horizontal="center" vertical="center" wrapText="1"/>
    </xf>
    <xf numFmtId="0" fontId="23" fillId="34" borderId="14" xfId="0" applyFont="1" applyFill="1" applyBorder="1">
      <alignment horizontal="center" vertical="center" wrapText="1"/>
    </xf>
    <xf numFmtId="49" fontId="23" fillId="0" borderId="0" xfId="0" applyFont="1" applyNumberFormat="1">
      <alignment vertical="center" wrapText="1"/>
    </xf>
    <xf numFmtId="49" fontId="54" fillId="0" borderId="0" xfId="0" applyFont="1" applyNumberFormat="1">
      <alignment vertical="top"/>
    </xf>
    <xf numFmtId="0" fontId="23" fillId="36" borderId="38" xfId="0" applyFont="1" applyFill="1" applyBorder="1">
      <alignment horizontal="center" vertical="center" wrapText="1"/>
    </xf>
    <xf numFmtId="0" fontId="23" fillId="36" borderId="21" xfId="0" applyFont="1" applyFill="1" applyBorder="1">
      <alignment horizontal="center" vertical="center" wrapText="1"/>
    </xf>
    <xf numFmtId="0" fontId="23" fillId="0" borderId="13" xfId="0" applyFont="1" applyBorder="1">
      <alignment horizontal="center" vertical="center" wrapText="1"/>
    </xf>
    <xf numFmtId="0" fontId="23" fillId="36" borderId="23" xfId="0" applyFont="1" applyFill="1" applyBorder="1">
      <alignment horizontal="center" vertical="center" wrapText="1"/>
    </xf>
    <xf numFmtId="0" fontId="23" fillId="36" borderId="25" xfId="0" applyFont="1" applyFill="1" applyBorder="1">
      <alignment horizontal="center" vertical="center" wrapText="1"/>
    </xf>
    <xf numFmtId="0" fontId="23" fillId="36" borderId="28" xfId="0" applyFont="1" applyFill="1" applyBorder="1">
      <alignment horizontal="center" vertical="center" wrapText="1"/>
    </xf>
    <xf numFmtId="0" fontId="23" fillId="36" borderId="31" xfId="0" applyFont="1" applyFill="1" applyBorder="1">
      <alignment horizontal="center" vertical="center" wrapText="1"/>
    </xf>
    <xf numFmtId="0" fontId="23" fillId="36" borderId="13" xfId="0" applyFont="1" applyFill="1" applyBorder="1">
      <alignment horizontal="center" vertical="center" wrapText="1"/>
    </xf>
    <xf numFmtId="49" fontId="23" fillId="34" borderId="29" xfId="0" applyFont="1" applyFill="1" applyBorder="1" applyNumberFormat="1">
      <alignment horizontal="center" vertical="center" wrapText="1"/>
    </xf>
    <xf numFmtId="49" fontId="54" fillId="0" borderId="0" xfId="0" applyFont="1" applyNumberFormat="1">
      <alignment vertical="center"/>
    </xf>
    <xf numFmtId="49" fontId="45" fillId="0" borderId="13" xfId="0" applyFont="1" applyBorder="1" applyNumberFormat="1">
      <alignment horizontal="center" vertical="center"/>
    </xf>
    <xf numFmtId="49" fontId="45" fillId="34" borderId="13" xfId="0" applyFont="1" applyFill="1" applyBorder="1" applyNumberFormat="1">
      <alignment horizontal="center" vertical="center"/>
    </xf>
    <xf numFmtId="0" fontId="45" fillId="0" borderId="13" xfId="0" applyFont="1" applyBorder="1">
      <alignment horizontal="center" vertical="center"/>
    </xf>
    <xf numFmtId="49" fontId="45" fillId="0" borderId="24" xfId="0" applyFont="1" applyBorder="1" applyNumberFormat="1">
      <alignment horizontal="center" vertical="center"/>
    </xf>
    <xf numFmtId="49" fontId="23" fillId="0" borderId="0" xfId="0" applyFont="1" applyNumberFormat="1">
      <alignment vertical="center"/>
    </xf>
    <xf numFmtId="49" fontId="55" fillId="0" borderId="18" xfId="0" applyFont="1" applyBorder="1" applyNumberFormat="1">
      <alignment horizontal="center" vertical="center"/>
    </xf>
    <xf numFmtId="49" fontId="23" fillId="0" borderId="18" xfId="0" applyFont="1" applyBorder="1" applyNumberFormat="1">
      <alignment horizontal="center" vertical="center"/>
    </xf>
    <xf numFmtId="0" fontId="23" fillId="0" borderId="18" xfId="0" applyFont="1" applyBorder="1">
      <alignment horizontal="right" vertical="center"/>
    </xf>
    <xf numFmtId="0" fontId="23" fillId="0" borderId="18" xfId="0" applyFont="1" applyBorder="1">
      <alignment horizontal="center" vertical="center"/>
    </xf>
    <xf numFmtId="4" fontId="54" fillId="36" borderId="0" xfId="0" applyFont="1" applyFill="1" applyNumberFormat="1">
      <alignment vertical="center"/>
    </xf>
    <xf numFmtId="49" fontId="54" fillId="0" borderId="0" xfId="0" applyFont="1" applyNumberFormat="1">
      <alignment vertical="center" wrapText="1"/>
    </xf>
    <xf numFmtId="49" fontId="54" fillId="0" borderId="0" xfId="0" applyFont="1" applyNumberFormat="1">
      <alignment vertical="top"/>
    </xf>
    <xf numFmtId="0" fontId="54" fillId="0" borderId="0" xfId="0" applyFont="1">
      <alignment vertical="center" wrapText="1"/>
    </xf>
    <xf numFmtId="49" fontId="100" fillId="0" borderId="0" xfId="0" applyFont="1" applyNumberFormat="1">
      <alignment vertical="center" wrapText="1"/>
    </xf>
    <xf numFmtId="49" fontId="54" fillId="0" borderId="0" xfId="0" applyFont="1" applyNumberFormat="1">
      <alignment vertical="center" wrapText="1"/>
    </xf>
    <xf numFmtId="49" fontId="105" fillId="0" borderId="0" xfId="0" applyFont="1" applyNumberFormat="1">
      <alignment vertical="center" wrapText="1"/>
    </xf>
    <xf numFmtId="0" fontId="23" fillId="36" borderId="13" xfId="0" applyFont="1" applyFill="1" applyBorder="1">
      <alignment horizontal="left" vertical="center" wrapText="1"/>
    </xf>
    <xf numFmtId="0" fontId="23" fillId="0" borderId="0" xfId="0" applyFont="1">
      <alignment horizontal="center" vertical="center" wrapText="1"/>
    </xf>
    <xf numFmtId="0" fontId="56" fillId="0" borderId="0" xfId="0" applyFont="1">
      <alignment horizontal="center" vertical="center" wrapText="1"/>
    </xf>
    <xf numFmtId="49" fontId="23" fillId="0" borderId="13" xfId="0" applyFont="1" applyBorder="1" applyNumberFormat="1">
      <alignment horizontal="left" vertical="center" wrapText="1"/>
    </xf>
    <xf numFmtId="0" fontId="56" fillId="0" borderId="0" xfId="0" applyFont="1">
      <alignment horizontal="center" vertical="center"/>
    </xf>
    <xf numFmtId="0" fontId="55" fillId="0" borderId="0" xfId="0" applyFont="1">
      <alignment horizontal="center" vertical="center" wrapText="1"/>
    </xf>
    <xf numFmtId="0" fontId="23" fillId="0" borderId="0" xfId="0" applyFont="1">
      <alignment horizontal="right" vertical="center" wrapText="1"/>
    </xf>
    <xf numFmtId="0" fontId="23" fillId="0" borderId="18" xfId="0" applyFont="1" applyBorder="1">
      <alignment horizontal="center" vertical="center" wrapText="1"/>
    </xf>
    <xf numFmtId="0" fontId="0" fillId="0" borderId="13" xfId="0" applyFont="1" applyBorder="1">
      <alignment horizontal="center" vertical="center" wrapText="1"/>
    </xf>
    <xf numFmtId="0" fontId="86" fillId="36" borderId="20" xfId="0" applyFont="1" applyFill="1" applyBorder="1">
      <alignment horizontal="center" vertical="center" wrapText="1"/>
    </xf>
    <xf numFmtId="0" fontId="55" fillId="0" borderId="0" xfId="0" applyFont="1">
      <alignment horizontal="center" vertical="center" wrapText="1"/>
    </xf>
    <xf numFmtId="49" fontId="23" fillId="0" borderId="0" xfId="0" applyFont="1" applyNumberFormat="1">
      <alignment vertical="center" wrapText="1"/>
    </xf>
    <xf numFmtId="49" fontId="23" fillId="42" borderId="13" xfId="0" applyFont="1" applyFill="1" applyBorder="1" applyNumberFormat="1">
      <alignment horizontal="center" vertical="center" wrapText="1"/>
    </xf>
    <xf numFmtId="49" fontId="23" fillId="36" borderId="13" xfId="0" applyFont="1" applyFill="1" applyBorder="1" applyNumberFormat="1">
      <alignment horizontal="center" vertical="center" wrapText="1"/>
    </xf>
    <xf numFmtId="49" fontId="23" fillId="41" borderId="13" xfId="0" applyFont="1" applyFill="1" applyBorder="1" applyNumberFormat="1">
      <alignment horizontal="left" vertical="center" wrapText="1" indent="1"/>
      <protection locked="0"/>
    </xf>
    <xf numFmtId="49" fontId="56" fillId="0" borderId="13" xfId="0" applyFont="1" applyBorder="1" applyNumberFormat="1">
      <alignment horizontal="center" vertical="center" wrapText="1"/>
    </xf>
    <xf numFmtId="0" fontId="23" fillId="36" borderId="13" xfId="0" applyFont="1" applyFill="1" applyBorder="1">
      <alignment horizontal="center" vertical="center" wrapText="1"/>
    </xf>
    <xf numFmtId="0" fontId="23" fillId="0" borderId="0" xfId="0" applyFont="1">
      <alignment horizontal="left" vertical="top" wrapText="1"/>
    </xf>
    <xf numFmtId="0" fontId="41" fillId="0" borderId="0" xfId="0" applyFont="1">
      <alignment vertical="center" wrapText="1"/>
    </xf>
    <xf numFmtId="0" fontId="46" fillId="36" borderId="0" xfId="0" applyFont="1" applyFill="1">
      <alignment horizontal="center" vertical="center" wrapText="1"/>
    </xf>
    <xf numFmtId="0" fontId="23" fillId="36" borderId="0" xfId="0" applyFont="1" applyFill="1"/>
    <xf numFmtId="49" fontId="41" fillId="0" borderId="0" xfId="0" applyFont="1" applyNumberFormat="1">
      <alignment vertical="top"/>
    </xf>
    <xf numFmtId="49" fontId="23" fillId="0" borderId="0" xfId="0" applyFont="1" applyNumberFormat="1">
      <alignment vertical="top"/>
    </xf>
    <xf numFmtId="49" fontId="46" fillId="0" borderId="0" xfId="0" applyFont="1" applyNumberFormat="1">
      <alignment horizontal="center" vertical="center"/>
    </xf>
    <xf numFmtId="0" fontId="52" fillId="36" borderId="0" xfId="0" applyFont="1" applyFill="1">
      <alignment horizontal="center" vertical="center" wrapText="1"/>
    </xf>
    <xf numFmtId="0" fontId="41" fillId="36" borderId="0" xfId="0" applyFont="1" applyFill="1"/>
    <xf numFmtId="0" fontId="23" fillId="36" borderId="13" xfId="0" applyFont="1" applyFill="1" applyBorder="1">
      <alignment horizontal="center" vertical="center" wrapText="1"/>
    </xf>
    <xf numFmtId="0" fontId="23" fillId="36" borderId="13" xfId="0" applyFont="1" applyFill="1" applyBorder="1">
      <alignment horizontal="center" vertical="center" wrapText="1"/>
    </xf>
    <xf numFmtId="49" fontId="23" fillId="0" borderId="0" xfId="0" applyFont="1" applyNumberFormat="1">
      <alignment vertical="top"/>
    </xf>
    <xf numFmtId="49" fontId="49" fillId="40" borderId="16" xfId="0" applyFont="1" applyFill="1" applyBorder="1" applyNumberFormat="1">
      <alignment horizontal="left" vertical="center"/>
    </xf>
    <xf numFmtId="49" fontId="53" fillId="40" borderId="16" xfId="0" applyFont="1" applyFill="1" applyBorder="1" applyNumberFormat="1">
      <alignment horizontal="center" vertical="top"/>
    </xf>
    <xf numFmtId="49" fontId="53" fillId="40" borderId="14" xfId="0" applyFont="1" applyFill="1" applyBorder="1" applyNumberFormat="1">
      <alignment horizontal="center" vertical="top"/>
    </xf>
    <xf numFmtId="49" fontId="23" fillId="0" borderId="0" xfId="0" applyFont="1" applyNumberFormat="1">
      <alignment horizontal="left" vertical="top" wrapText="1"/>
    </xf>
    <xf numFmtId="49" fontId="23" fillId="0" borderId="0" xfId="0" applyFont="1" applyNumberFormat="1">
      <alignment vertical="top"/>
    </xf>
    <xf numFmtId="49" fontId="46" fillId="0" borderId="0" xfId="0" applyFont="1" applyNumberFormat="1">
      <alignment horizontal="center" vertical="center"/>
    </xf>
    <xf numFmtId="49" fontId="23" fillId="0" borderId="0" xfId="0" applyFont="1" applyNumberFormat="1">
      <alignment vertical="top"/>
    </xf>
    <xf numFmtId="0" fontId="46" fillId="36" borderId="0" xfId="0" applyFont="1" applyFill="1">
      <alignment horizontal="center" vertical="center"/>
    </xf>
    <xf numFmtId="0" fontId="23" fillId="36" borderId="0" xfId="0" applyFont="1" applyFill="1"/>
    <xf numFmtId="0" fontId="23" fillId="0" borderId="14" xfId="0" applyFont="1" applyBorder="1">
      <alignment horizontal="left" vertical="center" wrapText="1" indent="1"/>
    </xf>
    <xf numFmtId="0" fontId="23" fillId="0" borderId="15" xfId="0" applyFont="1" applyBorder="1">
      <alignment horizontal="left" vertical="center" wrapText="1" indent="1"/>
    </xf>
    <xf numFmtId="0" fontId="70" fillId="0" borderId="0" xfId="0" applyFont="1"/>
    <xf numFmtId="0" fontId="23" fillId="0" borderId="13" xfId="0" applyFont="1" applyBorder="1">
      <alignment horizontal="center" vertical="center" wrapText="1"/>
    </xf>
    <xf numFmtId="0" fontId="23" fillId="36" borderId="18" xfId="0" applyFont="1" applyFill="1" applyBorder="1">
      <alignment horizontal="center" vertical="center"/>
    </xf>
    <xf numFmtId="49" fontId="23" fillId="0" borderId="18" xfId="0" applyFont="1" applyBorder="1" applyNumberFormat="1">
      <alignment horizontal="left" vertical="center" wrapText="1"/>
    </xf>
    <xf numFmtId="49" fontId="35" fillId="40" borderId="15" xfId="0" applyFont="1" applyFill="1" applyBorder="1" applyNumberFormat="1">
      <alignment horizontal="center" vertical="center"/>
    </xf>
    <xf numFmtId="49" fontId="49" fillId="40" borderId="14" xfId="0" applyFont="1" applyFill="1" applyBorder="1" applyNumberFormat="1">
      <alignment horizontal="left" vertical="center"/>
    </xf>
    <xf numFmtId="49" fontId="54" fillId="0" borderId="0" xfId="0" applyFont="1" applyNumberFormat="1">
      <alignment horizontal="right" vertical="top"/>
    </xf>
    <xf numFmtId="49" fontId="23" fillId="0" borderId="0" xfId="0" applyFont="1" applyNumberFormat="1">
      <alignment horizontal="left" vertical="top" wrapText="1"/>
    </xf>
    <xf numFmtId="49" fontId="54" fillId="0" borderId="0" xfId="0" applyFont="1" applyNumberFormat="1">
      <alignment vertical="top"/>
    </xf>
    <xf numFmtId="0" fontId="46" fillId="0" borderId="0" xfId="0" applyFont="1">
      <alignment horizontal="center" vertical="center"/>
    </xf>
    <xf numFmtId="49" fontId="23" fillId="36" borderId="13" xfId="0" applyFont="1" applyFill="1" applyBorder="1" applyNumberFormat="1">
      <alignment horizontal="center" vertical="center"/>
    </xf>
    <xf numFmtId="49" fontId="23" fillId="41" borderId="13" xfId="0" applyFont="1" applyFill="1" applyBorder="1" applyNumberFormat="1">
      <alignment horizontal="left" vertical="center" wrapText="1"/>
      <protection locked="0"/>
    </xf>
    <xf numFmtId="0" fontId="23" fillId="41" borderId="13" xfId="0" applyFont="1" applyFill="1" applyBorder="1">
      <alignment horizontal="center" vertical="center" wrapText="1"/>
      <protection locked="0"/>
    </xf>
    <xf numFmtId="0" fontId="55" fillId="36" borderId="0" xfId="0" applyFont="1" applyFill="1"/>
    <xf numFmtId="49" fontId="23" fillId="36" borderId="13" xfId="0" applyFont="1" applyFill="1" applyBorder="1" applyNumberFormat="1">
      <alignment horizontal="center" vertical="center" wrapText="1"/>
    </xf>
    <xf numFmtId="0" fontId="0" fillId="36" borderId="13" xfId="0" applyFont="1" applyFill="1" applyBorder="1">
      <alignment horizontal="center" vertical="center" wrapText="1"/>
    </xf>
    <xf numFmtId="0" fontId="74" fillId="36" borderId="0" xfId="0" applyFont="1" applyFill="1"/>
    <xf numFmtId="0" fontId="23" fillId="36" borderId="13" xfId="0" applyFont="1" applyFill="1" applyBorder="1">
      <alignment horizontal="left" vertical="center" wrapText="1"/>
    </xf>
    <xf numFmtId="0" fontId="23" fillId="0" borderId="13" xfId="0" applyFont="1" applyBorder="1">
      <alignment horizontal="center" vertical="center" wrapText="1"/>
    </xf>
    <xf numFmtId="49" fontId="23" fillId="0" borderId="13" xfId="0" applyFont="1" applyBorder="1" applyNumberFormat="1">
      <alignment horizontal="center" vertical="center"/>
    </xf>
    <xf numFmtId="0" fontId="23" fillId="0" borderId="13" xfId="0" applyFont="1" applyBorder="1">
      <alignment horizontal="left" vertical="center" wrapText="1" indent="1"/>
    </xf>
    <xf numFmtId="0" fontId="23" fillId="0" borderId="13" xfId="0" applyFont="1" applyBorder="1">
      <alignment vertical="center" wrapText="1"/>
    </xf>
    <xf numFmtId="0" fontId="23" fillId="36" borderId="13" xfId="0" applyFont="1" applyFill="1" applyBorder="1">
      <alignment horizontal="left" vertical="center" wrapText="1" indent="1"/>
    </xf>
    <xf numFmtId="49" fontId="23" fillId="33" borderId="13" xfId="0" applyFont="1" applyFill="1" applyBorder="1" applyNumberFormat="1">
      <alignment horizontal="left" vertical="center" wrapText="1"/>
      <protection locked="0"/>
    </xf>
    <xf numFmtId="0" fontId="56" fillId="36" borderId="0" xfId="0" applyFont="1" applyFill="1">
      <alignment horizontal="center" vertical="center" wrapText="1"/>
    </xf>
    <xf numFmtId="0" fontId="23" fillId="36" borderId="25" xfId="0" applyFont="1" applyFill="1" applyBorder="1">
      <alignment horizontal="center" vertical="center" wrapText="1"/>
    </xf>
    <xf numFmtId="0" fontId="0" fillId="36" borderId="18" xfId="0" applyFont="1" applyFill="1" applyBorder="1">
      <alignment horizontal="left" vertical="top" wrapText="1"/>
    </xf>
    <xf numFmtId="0" fontId="73" fillId="36" borderId="0" xfId="0" applyFont="1" applyFill="1"/>
    <xf numFmtId="0" fontId="79" fillId="36" borderId="0" xfId="0" applyFont="1" applyFill="1">
      <alignment vertical="center" wrapText="1"/>
    </xf>
    <xf numFmtId="0" fontId="56" fillId="36" borderId="13" xfId="0" applyFont="1" applyFill="1" applyBorder="1">
      <alignment horizontal="center" vertical="center"/>
    </xf>
    <xf numFmtId="0" fontId="0" fillId="36" borderId="37" xfId="0" applyFont="1" applyFill="1" applyBorder="1">
      <alignment horizontal="left" vertical="top" wrapText="1"/>
    </xf>
    <xf numFmtId="0" fontId="0" fillId="36" borderId="24" xfId="0" applyFont="1" applyFill="1" applyBorder="1">
      <alignment horizontal="left" vertical="top" wrapText="1"/>
    </xf>
    <xf numFmtId="0" fontId="90" fillId="36" borderId="0" xfId="0" applyFont="1" applyFill="1"/>
    <xf numFmtId="0" fontId="23" fillId="0" borderId="13" xfId="0" applyFont="1" applyBorder="1">
      <alignment horizontal="center" vertical="center" wrapText="1"/>
    </xf>
    <xf numFmtId="49" fontId="23" fillId="42" borderId="13" xfId="0" applyFont="1" applyFill="1" applyBorder="1" applyNumberFormat="1">
      <alignment horizontal="left" vertical="center" wrapText="1"/>
    </xf>
    <xf numFmtId="14" fontId="23" fillId="41" borderId="13" xfId="0" applyFont="1" applyFill="1" applyBorder="1" applyNumberFormat="1">
      <alignment horizontal="left" vertical="center" wrapText="1" indent="1"/>
      <protection locked="0"/>
    </xf>
    <xf numFmtId="0" fontId="119" fillId="0" borderId="0" xfId="0" applyFont="1">
      <alignment vertical="center"/>
    </xf>
    <xf numFmtId="0" fontId="46" fillId="0" borderId="0" xfId="0" applyFont="1">
      <alignment horizontal="center" vertical="center" wrapText="1"/>
    </xf>
    <xf numFmtId="4" fontId="23" fillId="0" borderId="18" xfId="0" applyFont="1" applyBorder="1" applyNumberFormat="1">
      <alignment horizontal="center" vertical="center" wrapText="1"/>
    </xf>
    <xf numFmtId="249" fontId="23" fillId="0" borderId="38" xfId="0" applyFont="1" applyBorder="1" applyNumberFormat="1">
      <alignment horizontal="center" vertical="center" wrapText="1"/>
    </xf>
    <xf numFmtId="249" fontId="23" fillId="0" borderId="18" xfId="0" applyFont="1" applyBorder="1" applyNumberFormat="1">
      <alignment horizontal="center" vertical="center" wrapText="1"/>
    </xf>
    <xf numFmtId="4" fontId="23" fillId="0" borderId="24" xfId="0" applyFont="1" applyBorder="1" applyNumberFormat="1">
      <alignment horizontal="center" vertical="center" wrapText="1"/>
    </xf>
    <xf numFmtId="14" fontId="23" fillId="42" borderId="13" xfId="0" applyFont="1" applyFill="1" applyBorder="1" applyNumberFormat="1">
      <alignment horizontal="left" vertical="center" wrapText="1"/>
    </xf>
    <xf numFmtId="49" fontId="23" fillId="0" borderId="21" xfId="0" applyFont="1" applyBorder="1" applyNumberFormat="1">
      <alignment horizontal="left" vertical="top" wrapText="1"/>
    </xf>
    <xf numFmtId="49" fontId="35" fillId="40" borderId="28" xfId="0" applyFont="1" applyFill="1" applyBorder="1" applyNumberFormat="1">
      <alignment horizontal="right" vertical="center" wrapText="1"/>
    </xf>
    <xf numFmtId="49" fontId="0" fillId="40" borderId="29" xfId="0" applyFont="1" applyFill="1" applyBorder="1" applyNumberFormat="1">
      <alignment horizontal="right" vertical="center" wrapText="1"/>
    </xf>
    <xf numFmtId="49" fontId="23" fillId="0" borderId="31" xfId="0" applyFont="1" applyBorder="1" applyNumberFormat="1">
      <alignment horizontal="left" vertical="top" wrapText="1"/>
    </xf>
    <xf numFmtId="0" fontId="119" fillId="0" borderId="0" xfId="0" applyFont="1">
      <alignment vertical="center" wrapText="1"/>
    </xf>
    <xf numFmtId="0" fontId="56" fillId="0" borderId="0" xfId="0" applyFont="1">
      <alignment vertical="center"/>
    </xf>
    <xf numFmtId="0" fontId="23" fillId="38" borderId="24" xfId="0" applyFont="1" applyFill="1" applyBorder="1">
      <alignment horizontal="left" vertical="center" wrapText="1" indent="1"/>
    </xf>
    <xf numFmtId="250" fontId="56" fillId="0" borderId="0" xfId="0" applyFont="1" applyNumberFormat="1">
      <alignment horizontal="center" vertical="center" wrapText="1"/>
    </xf>
    <xf numFmtId="249" fontId="23" fillId="0" borderId="18" xfId="0" applyFont="1" applyBorder="1" applyNumberFormat="1">
      <alignment horizontal="center" vertical="center" wrapText="1"/>
    </xf>
    <xf numFmtId="249" fontId="23" fillId="0" borderId="18" xfId="0" applyFont="1" applyBorder="1" applyNumberFormat="1">
      <alignment horizontal="center" vertical="center" wrapText="1"/>
    </xf>
    <xf numFmtId="249" fontId="23" fillId="0" borderId="15" xfId="0" applyFont="1" applyBorder="1" applyNumberFormat="1">
      <alignment horizontal="center" vertical="center" wrapText="1"/>
    </xf>
    <xf numFmtId="249" fontId="23" fillId="0" borderId="16" xfId="0" applyFont="1" applyBorder="1" applyNumberFormat="1">
      <alignment horizontal="center" vertical="center" wrapText="1"/>
    </xf>
    <xf numFmtId="249" fontId="23" fillId="0" borderId="14" xfId="0" applyFont="1" applyBorder="1" applyNumberFormat="1">
      <alignment horizontal="center" vertical="center" wrapText="1"/>
    </xf>
    <xf numFmtId="4" fontId="23" fillId="0" borderId="37" xfId="0" applyFont="1" applyBorder="1" applyNumberFormat="1">
      <alignment horizontal="center" vertical="center" wrapText="1"/>
    </xf>
    <xf numFmtId="249" fontId="23" fillId="0" borderId="24" xfId="0" applyFont="1" applyBorder="1" applyNumberFormat="1">
      <alignment horizontal="center" vertical="center" wrapText="1"/>
    </xf>
    <xf numFmtId="249" fontId="23" fillId="0" borderId="24" xfId="0" applyFont="1" applyBorder="1" applyNumberFormat="1">
      <alignment horizontal="center" vertical="center" wrapText="1"/>
    </xf>
    <xf numFmtId="249" fontId="23" fillId="0" borderId="24" xfId="0" applyFont="1" applyBorder="1" applyNumberFormat="1">
      <alignment horizontal="center" vertical="center" wrapText="1"/>
    </xf>
    <xf numFmtId="14" fontId="23" fillId="41" borderId="24" xfId="0" applyFont="1" applyFill="1" applyBorder="1" applyNumberFormat="1">
      <alignment horizontal="left" vertical="center" wrapText="1" indent="1"/>
      <protection locked="0"/>
    </xf>
    <xf numFmtId="14" fontId="23" fillId="42" borderId="13" xfId="0" applyFont="1" applyFill="1" applyBorder="1" applyNumberFormat="1">
      <alignment horizontal="left" vertical="center" wrapText="1"/>
    </xf>
    <xf numFmtId="49" fontId="23" fillId="42" borderId="15" xfId="0" applyFont="1" applyFill="1" applyBorder="1" applyNumberFormat="1">
      <alignment horizontal="left" vertical="center" wrapText="1"/>
    </xf>
    <xf numFmtId="49" fontId="35" fillId="40" borderId="29" xfId="0" applyFont="1" applyFill="1" applyBorder="1" applyNumberFormat="1">
      <alignment horizontal="right" vertical="center" wrapText="1"/>
    </xf>
    <xf numFmtId="49" fontId="29" fillId="40" borderId="29" xfId="0" applyFont="1" applyFill="1" applyBorder="1" applyNumberFormat="1">
      <alignment horizontal="left" vertical="center" wrapText="1"/>
    </xf>
    <xf numFmtId="49" fontId="29" fillId="40" borderId="24" xfId="0" applyFont="1" applyFill="1" applyBorder="1" applyNumberFormat="1">
      <alignment horizontal="left" vertical="center" wrapText="1"/>
    </xf>
    <xf numFmtId="0" fontId="56" fillId="0" borderId="29" xfId="0" applyFont="1" applyBorder="1">
      <alignment horizontal="center" vertical="center" wrapText="1"/>
    </xf>
    <xf numFmtId="0" fontId="51" fillId="0" borderId="0" xfId="0" applyFont="1">
      <alignment horizontal="center" vertical="center" wrapText="1"/>
    </xf>
    <xf numFmtId="0" fontId="23" fillId="0" borderId="0" xfId="0" applyFont="1">
      <alignment horizontal="center" vertical="center" wrapText="1"/>
    </xf>
    <xf numFmtId="249" fontId="54" fillId="0" borderId="59" xfId="0" applyFont="1" applyBorder="1" applyNumberFormat="1">
      <alignment horizontal="center" vertical="center" wrapText="1"/>
    </xf>
    <xf numFmtId="249" fontId="54" fillId="0" borderId="59" xfId="0" applyFont="1" applyBorder="1" applyNumberFormat="1">
      <alignment horizontal="center" vertical="center" wrapText="1"/>
    </xf>
    <xf numFmtId="249" fontId="54" fillId="0" borderId="58" xfId="0" applyFont="1" applyBorder="1" applyNumberFormat="1">
      <alignment horizontal="center" vertical="center" wrapText="1"/>
    </xf>
    <xf numFmtId="249" fontId="54" fillId="0" borderId="52" xfId="0" applyFont="1" applyBorder="1" applyNumberFormat="1">
      <alignment horizontal="center" vertical="center" wrapText="1"/>
    </xf>
    <xf numFmtId="249" fontId="54" fillId="0" borderId="77" xfId="0" applyFont="1" applyBorder="1" applyNumberFormat="1">
      <alignment horizontal="center" vertical="center" wrapText="1"/>
    </xf>
    <xf numFmtId="0" fontId="56" fillId="0" borderId="0" xfId="0" applyFont="1">
      <alignment horizontal="center" vertical="center"/>
    </xf>
    <xf numFmtId="0" fontId="56" fillId="0" borderId="0" xfId="0" applyFont="1">
      <alignment horizontal="center" vertical="center"/>
    </xf>
    <xf numFmtId="0" fontId="61" fillId="0" borderId="0" xfId="0" applyFont="1">
      <alignment horizontal="center" vertical="center"/>
    </xf>
    <xf numFmtId="0" fontId="23" fillId="0" borderId="24" xfId="0" applyFont="1" applyBorder="1">
      <alignment horizontal="center" vertical="center" wrapText="1"/>
    </xf>
    <xf numFmtId="249" fontId="23" fillId="0" borderId="13" xfId="0" applyFont="1" applyBorder="1" applyNumberFormat="1">
      <alignment horizontal="center" vertical="center" wrapText="1"/>
    </xf>
    <xf numFmtId="249" fontId="23" fillId="0" borderId="13" xfId="0" applyFont="1" applyBorder="1" applyNumberFormat="1">
      <alignment horizontal="center" vertical="center" wrapText="1"/>
    </xf>
    <xf numFmtId="0" fontId="23" fillId="38" borderId="24" xfId="0" applyFont="1" applyFill="1" applyBorder="1">
      <alignment horizontal="left" vertical="center" wrapText="1"/>
    </xf>
    <xf numFmtId="14" fontId="23" fillId="42" borderId="24" xfId="0" applyFont="1" applyFill="1" applyBorder="1" applyNumberFormat="1">
      <alignment horizontal="left" vertical="center" wrapText="1"/>
    </xf>
    <xf numFmtId="49" fontId="23" fillId="42" borderId="28" xfId="0" applyFont="1" applyFill="1" applyBorder="1" applyNumberFormat="1">
      <alignment horizontal="left" vertical="center" wrapText="1"/>
    </xf>
    <xf numFmtId="49" fontId="29" fillId="41" borderId="29" xfId="0" applyFont="1" applyFill="1" applyBorder="1" applyNumberFormat="1">
      <alignment horizontal="left" vertical="center" wrapText="1"/>
      <protection locked="0"/>
    </xf>
    <xf numFmtId="49" fontId="29" fillId="41" borderId="28" xfId="0" applyFont="1" applyFill="1" applyBorder="1" applyNumberFormat="1">
      <alignment horizontal="left" vertical="center" wrapText="1"/>
      <protection locked="0"/>
    </xf>
    <xf numFmtId="49" fontId="29" fillId="41" borderId="24" xfId="0" applyFont="1" applyFill="1" applyBorder="1" applyNumberFormat="1">
      <alignment horizontal="left" vertical="center" wrapText="1"/>
      <protection locked="0"/>
    </xf>
    <xf numFmtId="49" fontId="0" fillId="40" borderId="13" xfId="0" applyFont="1" applyFill="1" applyBorder="1" applyNumberFormat="1">
      <alignment horizontal="right" vertical="center" wrapText="1"/>
    </xf>
    <xf numFmtId="0" fontId="23" fillId="0" borderId="0" xfId="0" applyFont="1"/>
    <xf numFmtId="49" fontId="23" fillId="0" borderId="13" xfId="0" applyFont="1" applyBorder="1" applyNumberFormat="1">
      <alignment horizontal="left" vertical="center" wrapText="1"/>
    </xf>
    <xf numFmtId="49" fontId="49" fillId="40" borderId="14" xfId="0" applyFont="1" applyFill="1" applyBorder="1" applyNumberFormat="1">
      <alignment horizontal="left" vertical="center"/>
    </xf>
    <xf numFmtId="49" fontId="0" fillId="0" borderId="16" xfId="0" applyFont="1" applyBorder="1" applyNumberFormat="1">
      <alignment horizontal="left" vertical="center" indent="1"/>
    </xf>
    <xf numFmtId="49" fontId="71" fillId="0" borderId="0" xfId="0" applyFont="1" applyNumberFormat="1">
      <alignment vertical="top"/>
    </xf>
    <xf numFmtId="49" fontId="0" fillId="0" borderId="26" xfId="0" applyFont="1" applyBorder="1" applyNumberFormat="1">
      <alignment horizontal="center" vertical="center"/>
    </xf>
    <xf numFmtId="49" fontId="0" fillId="0" borderId="0" xfId="0" applyFont="1" applyNumberFormat="1">
      <alignment vertical="top"/>
    </xf>
    <xf numFmtId="49" fontId="0" fillId="0" borderId="0" xfId="0" applyFont="1" applyNumberFormat="1">
      <alignment vertical="top"/>
    </xf>
    <xf numFmtId="49" fontId="0" fillId="0" borderId="13" xfId="0" applyFont="1" applyBorder="1" applyNumberFormat="1">
      <alignment vertical="top"/>
    </xf>
    <xf numFmtId="49" fontId="0" fillId="0" borderId="15" xfId="0" applyFont="1" applyBorder="1" applyNumberFormat="1">
      <alignment vertical="top"/>
    </xf>
    <xf numFmtId="49" fontId="0" fillId="0" borderId="13" xfId="0" applyFont="1" applyBorder="1" applyNumberFormat="1">
      <alignment horizontal="center" vertical="top"/>
    </xf>
    <xf numFmtId="49" fontId="0" fillId="0" borderId="15" xfId="0" applyFont="1" applyBorder="1" applyNumberFormat="1">
      <alignment horizontal="center" vertical="top"/>
    </xf>
    <xf numFmtId="49" fontId="0" fillId="0" borderId="13" xfId="0" applyFont="1" applyBorder="1" applyNumberFormat="1">
      <alignment vertical="top"/>
    </xf>
    <xf numFmtId="49" fontId="0" fillId="44" borderId="18" xfId="0" applyFont="1" applyFill="1" applyBorder="1" applyNumberFormat="1">
      <alignment vertical="top"/>
    </xf>
    <xf numFmtId="49" fontId="0" fillId="0" borderId="15" xfId="0" applyFont="1" applyBorder="1" applyNumberFormat="1">
      <alignment horizontal="center" vertical="top"/>
    </xf>
    <xf numFmtId="49" fontId="0" fillId="45" borderId="13" xfId="0" applyFont="1" applyFill="1" applyBorder="1" applyNumberFormat="1">
      <alignment vertical="top"/>
    </xf>
    <xf numFmtId="49" fontId="0" fillId="0" borderId="16" xfId="0" applyFont="1" applyBorder="1" applyNumberFormat="1">
      <alignment horizontal="center" vertical="top"/>
    </xf>
    <xf numFmtId="49" fontId="0" fillId="3" borderId="13" xfId="0" applyFont="1" applyFill="1" applyBorder="1" applyNumberFormat="1">
      <alignment vertical="top"/>
    </xf>
    <xf numFmtId="49" fontId="0" fillId="46" borderId="13" xfId="0" applyFont="1" applyFill="1" applyBorder="1" applyNumberFormat="1">
      <alignment vertical="top"/>
    </xf>
    <xf numFmtId="49" fontId="0" fillId="16" borderId="18" xfId="0" applyFont="1" applyFill="1" applyBorder="1" applyNumberFormat="1">
      <alignment vertical="top"/>
    </xf>
    <xf numFmtId="49" fontId="0" fillId="5" borderId="15" xfId="0" applyFont="1" applyFill="1" applyBorder="1" applyNumberFormat="1">
      <alignment vertical="top"/>
    </xf>
    <xf numFmtId="49" fontId="0" fillId="5" borderId="13" xfId="0" applyFont="1" applyFill="1" applyBorder="1" applyNumberFormat="1">
      <alignment vertical="top"/>
    </xf>
    <xf numFmtId="49" fontId="0" fillId="16" borderId="13" xfId="0" applyFont="1" applyFill="1" applyBorder="1" applyNumberFormat="1">
      <alignment vertical="top"/>
    </xf>
    <xf numFmtId="49" fontId="0" fillId="0" borderId="0" xfId="0" applyFont="1" applyNumberFormat="1">
      <alignment vertical="top"/>
    </xf>
    <xf numFmtId="49" fontId="0" fillId="0" borderId="0" xfId="0" applyFont="1" applyNumberFormat="1">
      <alignment vertical="top"/>
    </xf>
    <xf numFmtId="49" fontId="0" fillId="0" borderId="0" xfId="0" applyFont="1" applyNumberFormat="1">
      <alignment vertical="top"/>
    </xf>
    <xf numFmtId="0" fontId="0" fillId="0" borderId="0" xfId="0" applyFont="1">
      <alignment vertical="top"/>
    </xf>
    <xf numFmtId="0" fontId="0" fillId="0" borderId="0" xfId="0" applyFont="1">
      <alignment vertical="top"/>
    </xf>
    <xf numFmtId="0" fontId="0" fillId="0" borderId="0" xfId="0" applyFont="1">
      <alignment vertical="top"/>
    </xf>
    <xf numFmtId="49" fontId="0" fillId="36" borderId="0" xfId="0" applyFont="1" applyFill="1" applyNumberFormat="1">
      <alignment vertical="top"/>
    </xf>
    <xf numFmtId="0" fontId="0" fillId="0" borderId="0" xfId="0" applyFont="1"/>
    <xf numFmtId="0" fontId="1" fillId="0" borderId="0" xfId="0" applyFont="1"/>
    <xf numFmtId="0" fontId="37" fillId="0" borderId="0" xfId="0" applyFont="1"/>
    <xf numFmtId="0" fontId="37" fillId="0" borderId="0" xfId="0" applyFont="1"/>
    <xf numFmtId="49" fontId="23" fillId="38" borderId="12" xfId="0" applyFont="1" applyFill="1" applyBorder="1" applyNumberFormat="1">
      <alignment horizontal="center" vertical="top"/>
    </xf>
    <xf numFmtId="49" fontId="0" fillId="0" borderId="0" xfId="0" applyFont="1" applyNumberFormat="1">
      <alignment vertical="top"/>
    </xf>
    <xf numFmtId="49" fontId="47" fillId="0" borderId="6" xfId="0" applyFont="1" applyBorder="1" applyNumberFormat="1">
      <alignment vertical="top" wrapText="1"/>
    </xf>
    <xf numFmtId="0" fontId="0" fillId="0" borderId="6" xfId="0" applyFont="1" applyBorder="1">
      <alignment vertical="top" wrapText="1"/>
    </xf>
    <xf numFmtId="0" fontId="22" fillId="0" borderId="19" xfId="0" applyFont="1" applyBorder="1">
      <alignment vertical="top" wrapText="1"/>
    </xf>
    <xf numFmtId="0" fontId="0" fillId="0" borderId="0" xfId="0" applyFont="1">
      <alignment vertical="top"/>
    </xf>
    <xf numFmtId="0" fontId="0" fillId="0" borderId="13" xfId="0" applyFont="1" applyBorder="1">
      <alignment vertical="top" wrapText="1"/>
    </xf>
    <xf numFmtId="49" fontId="0" fillId="0" borderId="13" xfId="0" applyFont="1" applyBorder="1" applyNumberFormat="1">
      <alignment vertical="top" wrapText="1"/>
    </xf>
    <xf numFmtId="49" fontId="0" fillId="0" borderId="18" xfId="0" applyFont="1" applyBorder="1" applyNumberFormat="1">
      <alignment vertical="top"/>
    </xf>
    <xf numFmtId="49" fontId="0" fillId="0" borderId="0" xfId="0" applyFont="1" applyNumberFormat="1">
      <alignment vertical="top"/>
    </xf>
    <xf numFmtId="0" fontId="35" fillId="0" borderId="6" xfId="0" applyFont="1" applyBorder="1">
      <alignment vertical="center" wrapText="1"/>
    </xf>
    <xf numFmtId="0" fontId="22" fillId="0" borderId="0" xfId="0" applyFont="1">
      <alignment vertical="top" wrapText="1"/>
    </xf>
    <xf numFmtId="0" fontId="23" fillId="0" borderId="6" xfId="0" applyFont="1" applyBorder="1">
      <alignment vertical="center" wrapText="1"/>
    </xf>
    <xf numFmtId="49" fontId="0" fillId="0" borderId="0" xfId="0" applyFont="1" applyNumberFormat="1">
      <alignment vertical="top"/>
    </xf>
    <xf numFmtId="0" fontId="122" fillId="0" borderId="0" xfId="0" applyFont="1">
      <alignment wrapText="1"/>
    </xf>
    <xf numFmtId="49" fontId="72" fillId="0" borderId="0" xfId="0" applyFont="1" applyNumberFormat="1">
      <alignment wrapText="1"/>
    </xf>
    <xf numFmtId="49" fontId="72" fillId="0" borderId="0" xfId="0" applyFont="1" applyNumberFormat="1">
      <alignment vertical="center" wrapText="1"/>
    </xf>
    <xf numFmtId="49" fontId="123" fillId="0" borderId="0" xfId="0" applyFont="1" applyNumberFormat="1">
      <alignment wrapText="1"/>
    </xf>
    <xf numFmtId="0" fontId="108" fillId="0" borderId="0" xfId="0" applyFont="1">
      <alignment vertical="center" wrapText="1"/>
    </xf>
    <xf numFmtId="0" fontId="108" fillId="0" borderId="0" xfId="0" applyFont="1">
      <alignment horizontal="left" vertical="center" wrapText="1"/>
    </xf>
    <xf numFmtId="49" fontId="124" fillId="0" borderId="0" xfId="0" applyFont="1" applyNumberFormat="1">
      <alignment wrapText="1"/>
    </xf>
    <xf numFmtId="0" fontId="108" fillId="0" borderId="0" xfId="0" applyFont="1">
      <alignment vertical="center"/>
    </xf>
    <xf numFmtId="0" fontId="22" fillId="0" borderId="0" xfId="0" applyFont="1">
      <alignment horizontal="left" vertical="top" wrapText="1"/>
    </xf>
    <xf numFmtId="49" fontId="23" fillId="0" borderId="0" xfId="0" applyFont="1" applyNumberFormat="1">
      <alignment vertical="top" wrapText="1"/>
    </xf>
    <xf numFmtId="0" fontId="22" fillId="35" borderId="66" xfId="0" applyFont="1" applyFill="1" applyBorder="1">
      <alignment horizontal="center" vertical="center" wrapText="1"/>
    </xf>
    <xf numFmtId="0" fontId="22" fillId="35" borderId="67" xfId="0" applyFont="1" applyFill="1" applyBorder="1">
      <alignment horizontal="center" vertical="center" wrapText="1"/>
    </xf>
    <xf numFmtId="0" fontId="22" fillId="35" borderId="68" xfId="0" applyFont="1" applyFill="1" applyBorder="1">
      <alignment horizontal="center" vertical="center" wrapText="1"/>
    </xf>
    <xf numFmtId="0" fontId="72" fillId="0" borderId="0" xfId="0" applyFont="1">
      <alignment wrapText="1"/>
    </xf>
    <xf numFmtId="0" fontId="22" fillId="47" borderId="39" xfId="0" applyFont="1" applyFill="1" applyBorder="1">
      <alignment horizontal="right" vertical="center" wrapText="1" indent="1"/>
    </xf>
    <xf numFmtId="0" fontId="22" fillId="47" borderId="69" xfId="0" applyFont="1" applyFill="1" applyBorder="1">
      <alignment horizontal="right" vertical="center" wrapText="1" indent="1"/>
    </xf>
    <xf numFmtId="0" fontId="125" fillId="0" borderId="0" xfId="0" applyFont="1">
      <alignment horizontal="left" vertical="center" wrapText="1"/>
    </xf>
    <xf numFmtId="0" fontId="126" fillId="0" borderId="0" xfId="0" applyFont="1">
      <alignment vertical="center" wrapText="1"/>
    </xf>
    <xf numFmtId="0" fontId="72" fillId="0" borderId="39" xfId="0" applyFont="1" applyBorder="1">
      <alignment wrapText="1"/>
    </xf>
    <xf numFmtId="0" fontId="72" fillId="0" borderId="0" xfId="0" applyFont="1"/>
    <xf numFmtId="0" fontId="125" fillId="0" borderId="0" xfId="0" applyFont="1"/>
    <xf numFmtId="0" fontId="127" fillId="0" borderId="0" xfId="0" applyFont="1">
      <alignment wrapText="1"/>
    </xf>
    <xf numFmtId="0" fontId="0" fillId="33" borderId="63" xfId="0" applyFont="1" applyFill="1" applyBorder="1">
      <alignment horizontal="center" vertical="center" wrapText="1"/>
    </xf>
    <xf numFmtId="0" fontId="127" fillId="0" borderId="39" xfId="0" applyFont="1" applyBorder="1">
      <alignment vertical="center" wrapText="1"/>
    </xf>
    <xf numFmtId="0" fontId="127" fillId="0" borderId="0" xfId="0" applyFont="1">
      <alignment vertical="center" wrapText="1"/>
    </xf>
    <xf numFmtId="0" fontId="0" fillId="54" borderId="63" xfId="0" applyFont="1" applyFill="1" applyBorder="1">
      <alignment horizontal="center" vertical="center" wrapText="1"/>
    </xf>
    <xf numFmtId="0" fontId="127" fillId="0" borderId="39" xfId="0" applyFont="1" applyBorder="1">
      <alignment horizontal="left" vertical="center" wrapText="1"/>
    </xf>
    <xf numFmtId="0" fontId="127" fillId="0" borderId="0" xfId="0" applyFont="1">
      <alignment horizontal="left" vertical="center" wrapText="1"/>
    </xf>
    <xf numFmtId="0" fontId="0" fillId="38" borderId="63" xfId="0" applyFont="1" applyFill="1" applyBorder="1">
      <alignment horizontal="center" vertical="center" wrapText="1"/>
    </xf>
    <xf numFmtId="0" fontId="0" fillId="41" borderId="63" xfId="0" applyFont="1" applyFill="1" applyBorder="1">
      <alignment horizontal="center" vertical="center" wrapText="1"/>
    </xf>
    <xf numFmtId="0" fontId="22" fillId="47" borderId="0" xfId="0" applyFont="1" applyFill="1">
      <alignment horizontal="right" vertical="center" wrapText="1" indent="1"/>
    </xf>
    <xf numFmtId="0" fontId="125" fillId="0" borderId="39" xfId="0" applyFont="1" applyBorder="1">
      <alignment horizontal="left" vertical="center" wrapText="1"/>
    </xf>
    <xf numFmtId="0" fontId="125" fillId="0" borderId="64" xfId="0" applyFont="1" applyBorder="1">
      <alignment horizontal="left" vertical="center" wrapText="1"/>
    </xf>
    <xf numFmtId="0" fontId="22" fillId="47" borderId="63" xfId="0" applyFont="1" applyFill="1" applyBorder="1">
      <alignment horizontal="right" vertical="center" wrapText="1" indent="1"/>
    </xf>
    <xf numFmtId="0" fontId="22" fillId="47" borderId="70" xfId="0" applyFont="1" applyFill="1" applyBorder="1">
      <alignment horizontal="right" vertical="center" wrapText="1" indent="1"/>
    </xf>
    <xf numFmtId="0" fontId="127" fillId="0" borderId="0" xfId="0" applyFont="1"/>
    <xf numFmtId="0" fontId="127" fillId="0" borderId="39" xfId="0" applyFont="1" applyBorder="1">
      <alignment wrapText="1"/>
    </xf>
    <xf numFmtId="0" fontId="127" fillId="0" borderId="0" xfId="0" applyFont="1">
      <alignment vertical="top" wrapText="1"/>
    </xf>
    <xf numFmtId="0" fontId="22" fillId="47" borderId="65" xfId="0" applyFont="1" applyFill="1" applyBorder="1">
      <alignment horizontal="right" vertical="center" wrapText="1" indent="1"/>
    </xf>
    <xf numFmtId="0" fontId="22" fillId="47" borderId="40" xfId="0" applyFont="1" applyFill="1" applyBorder="1">
      <alignment horizontal="right" vertical="center" wrapText="1" indent="1"/>
    </xf>
    <xf numFmtId="0" fontId="72" fillId="0" borderId="65" xfId="0" applyFont="1" applyBorder="1">
      <alignment wrapText="1"/>
    </xf>
    <xf numFmtId="0" fontId="72" fillId="0" borderId="40" xfId="0" applyFont="1" applyBorder="1">
      <alignment wrapText="1"/>
    </xf>
    <xf numFmtId="0" fontId="72" fillId="0" borderId="40" xfId="0" applyFont="1" applyBorder="1">
      <alignment vertical="center" wrapText="1"/>
    </xf>
    <xf numFmtId="0" fontId="123" fillId="0" borderId="0" xfId="0" applyFont="1"/>
    <xf numFmtId="0" fontId="127" fillId="0" borderId="0" xfId="0" applyFont="1">
      <alignment vertical="top" wrapText="1"/>
    </xf>
    <xf numFmtId="49" fontId="72" fillId="0" borderId="0" xfId="0" applyFont="1" applyNumberFormat="1">
      <alignment vertical="top" wrapText="1"/>
    </xf>
    <xf numFmtId="0" fontId="37" fillId="0" borderId="0" xfId="0" applyFont="1"/>
    <xf numFmtId="0" fontId="69" fillId="0" borderId="0" xfId="0" applyFont="1">
      <alignment vertical="center" wrapText="1"/>
    </xf>
    <xf numFmtId="0" fontId="97" fillId="0" borderId="0" xfId="0" applyFont="1">
      <alignment horizontal="left" vertical="center" wrapText="1"/>
    </xf>
    <xf numFmtId="0" fontId="69" fillId="0" borderId="0" xfId="0" applyFont="1">
      <alignment horizontal="left" vertical="center" wrapText="1"/>
    </xf>
    <xf numFmtId="0" fontId="69" fillId="0" borderId="0" xfId="0" applyFont="1">
      <alignment vertical="center" wrapText="1"/>
    </xf>
    <xf numFmtId="0" fontId="41" fillId="0" borderId="0" xfId="0" applyFont="1">
      <alignment horizontal="center" vertical="center" wrapText="1"/>
    </xf>
    <xf numFmtId="0" fontId="41" fillId="0" borderId="0" xfId="0" applyFont="1">
      <alignment vertical="center" wrapText="1"/>
    </xf>
    <xf numFmtId="0" fontId="56" fillId="0" borderId="0" xfId="0" applyFont="1">
      <alignment vertical="center" wrapText="1"/>
    </xf>
    <xf numFmtId="0" fontId="41" fillId="0" borderId="0" xfId="0" applyFont="1">
      <alignment vertical="center" wrapText="1"/>
    </xf>
    <xf numFmtId="0" fontId="41" fillId="0" borderId="0" xfId="0" applyFont="1">
      <alignment horizontal="left" vertical="center" wrapText="1"/>
    </xf>
    <xf numFmtId="0" fontId="23" fillId="0" borderId="0" xfId="0" applyFont="1">
      <alignment horizontal="left" vertical="top" indent="1"/>
    </xf>
    <xf numFmtId="49" fontId="72" fillId="0" borderId="0" xfId="0" applyFont="1" applyNumberFormat="1">
      <alignment vertical="top"/>
    </xf>
    <xf numFmtId="49" fontId="129" fillId="0" borderId="0" xfId="0" applyFont="1" applyNumberFormat="1">
      <alignment vertical="center" wrapText="1"/>
    </xf>
    <xf numFmtId="49" fontId="130" fillId="0" borderId="0" xfId="0" applyFont="1" applyNumberFormat="1">
      <alignment vertical="center" wrapText="1"/>
    </xf>
    <xf numFmtId="0" fontId="0" fillId="0" borderId="0" xfId="0" applyFont="1">
      <alignment horizontal="left" vertical="center" indent="1"/>
    </xf>
    <xf numFmtId="49" fontId="0" fillId="0" borderId="0" xfId="0" applyFont="1" applyNumberFormat="1">
      <alignment vertical="top"/>
    </xf>
    <xf numFmtId="49" fontId="55" fillId="0" borderId="0" xfId="0" applyFont="1" applyNumberFormat="1">
      <alignment vertical="top"/>
    </xf>
    <xf numFmtId="49" fontId="0" fillId="0" borderId="0" xfId="0" applyFont="1" applyNumberFormat="1">
      <alignment vertical="top"/>
    </xf>
    <xf numFmtId="0" fontId="66" fillId="0" borderId="0" xfId="0" applyFont="1">
      <alignment vertical="center" wrapText="1"/>
    </xf>
    <xf numFmtId="0" fontId="97" fillId="0" borderId="0" xfId="0" applyFont="1">
      <alignment horizontal="left" vertical="center" wrapText="1"/>
    </xf>
    <xf numFmtId="0" fontId="64" fillId="0" borderId="0" xfId="0" applyFont="1">
      <alignment horizontal="left" vertical="center" wrapText="1"/>
    </xf>
    <xf numFmtId="0" fontId="65" fillId="0" borderId="0" xfId="0" applyFont="1">
      <alignment vertical="center" wrapText="1"/>
    </xf>
    <xf numFmtId="0" fontId="66" fillId="36" borderId="0" xfId="0" applyFont="1" applyFill="1">
      <alignment vertical="center" wrapText="1"/>
    </xf>
    <xf numFmtId="0" fontId="66" fillId="0" borderId="0" xfId="0" applyFont="1">
      <alignment vertical="center" wrapText="1"/>
    </xf>
    <xf numFmtId="0" fontId="66" fillId="0" borderId="0" xfId="0" applyFont="1">
      <alignment horizontal="right" vertical="center"/>
    </xf>
    <xf numFmtId="0" fontId="23" fillId="0" borderId="0" xfId="0" applyFont="1">
      <alignment horizontal="center" vertical="center" wrapText="1"/>
    </xf>
    <xf numFmtId="0" fontId="23" fillId="0" borderId="0" xfId="0" applyFont="1">
      <alignment vertical="center" wrapText="1"/>
    </xf>
    <xf numFmtId="0" fontId="94" fillId="0" borderId="0" xfId="0" applyFont="1">
      <alignment vertical="center" wrapText="1"/>
    </xf>
    <xf numFmtId="0" fontId="43" fillId="36" borderId="0" xfId="0" applyFont="1" applyFill="1">
      <alignment vertical="center" wrapText="1"/>
    </xf>
    <xf numFmtId="0" fontId="23" fillId="0" borderId="14" xfId="0" applyFont="1" applyBorder="1">
      <alignment horizontal="center" vertical="center" wrapText="1"/>
    </xf>
    <xf numFmtId="0" fontId="23" fillId="0" borderId="15" xfId="0" applyFont="1" applyBorder="1">
      <alignment horizontal="center" vertical="center" wrapText="1"/>
    </xf>
    <xf numFmtId="0" fontId="35" fillId="36" borderId="0" xfId="0" applyFont="1" applyFill="1">
      <alignment vertical="center" wrapText="1"/>
    </xf>
    <xf numFmtId="0" fontId="102" fillId="0" borderId="0" xfId="0" applyFont="1">
      <alignment vertical="center" wrapText="1"/>
    </xf>
    <xf numFmtId="0" fontId="66" fillId="36" borderId="0" xfId="0" applyFont="1" applyFill="1">
      <alignment horizontal="right" vertical="center" wrapText="1" indent="1"/>
    </xf>
    <xf numFmtId="0" fontId="68" fillId="36" borderId="0" xfId="0" applyFont="1" applyFill="1">
      <alignment horizontal="center" vertical="center" wrapText="1"/>
    </xf>
    <xf numFmtId="0" fontId="23" fillId="36" borderId="27" xfId="0" applyFont="1" applyFill="1" applyBorder="1">
      <alignment horizontal="right" vertical="center" wrapText="1" indent="1"/>
    </xf>
    <xf numFmtId="0" fontId="0" fillId="38" borderId="13" xfId="0" applyFont="1" applyFill="1" applyBorder="1">
      <alignment horizontal="left" vertical="center" wrapText="1" indent="1"/>
    </xf>
    <xf numFmtId="14" fontId="97" fillId="36" borderId="0" xfId="0" applyFont="1" applyFill="1" applyNumberFormat="1">
      <alignment horizontal="left" vertical="center" wrapText="1"/>
    </xf>
    <xf numFmtId="0" fontId="64" fillId="36" borderId="0" xfId="0" applyFont="1" applyFill="1">
      <alignment horizontal="center" vertical="center" wrapText="1"/>
    </xf>
    <xf numFmtId="0" fontId="66" fillId="36" borderId="0" xfId="0" applyFont="1" applyFill="1">
      <alignment horizontal="left" vertical="center" wrapText="1" indent="1"/>
    </xf>
    <xf numFmtId="0" fontId="23" fillId="36" borderId="0" xfId="0" applyFont="1" applyFill="1">
      <alignment horizontal="center" vertical="center" wrapText="1"/>
    </xf>
    <xf numFmtId="0" fontId="94" fillId="0" borderId="0" xfId="0" applyFont="1">
      <alignment horizontal="center" vertical="center" wrapText="1"/>
    </xf>
    <xf numFmtId="14" fontId="99" fillId="0" borderId="13" xfId="0" applyFont="1" applyBorder="1" applyNumberFormat="1">
      <alignment horizontal="center" vertical="center" wrapText="1"/>
    </xf>
    <xf numFmtId="0" fontId="23" fillId="36" borderId="13" xfId="0" applyFont="1" applyFill="1" applyBorder="1">
      <alignment horizontal="right" vertical="center" wrapText="1" indent="1"/>
    </xf>
    <xf numFmtId="250" fontId="0" fillId="41" borderId="14" xfId="0" applyFont="1" applyFill="1" applyBorder="1" applyNumberFormat="1">
      <alignment horizontal="left" vertical="center" wrapText="1" indent="1"/>
      <protection locked="0"/>
    </xf>
    <xf numFmtId="0" fontId="29" fillId="0" borderId="0" xfId="0" applyFont="1">
      <alignment horizontal="left" vertical="center" indent="1"/>
    </xf>
    <xf numFmtId="0" fontId="55" fillId="0" borderId="0" xfId="0" applyFont="1">
      <alignment vertical="center" wrapText="1"/>
    </xf>
    <xf numFmtId="0" fontId="23" fillId="36" borderId="0" xfId="0" applyFont="1" applyFill="1">
      <alignment vertical="center" wrapText="1"/>
    </xf>
    <xf numFmtId="0" fontId="23" fillId="0" borderId="0" xfId="0" applyFont="1">
      <alignment vertical="center" wrapText="1"/>
    </xf>
    <xf numFmtId="14" fontId="99" fillId="0" borderId="13" xfId="0" applyFont="1" applyBorder="1" applyNumberFormat="1">
      <alignment horizontal="left" vertical="center" wrapText="1"/>
    </xf>
    <xf numFmtId="0" fontId="42" fillId="0" borderId="0" xfId="0" applyFont="1">
      <alignment vertical="center" wrapText="1"/>
    </xf>
    <xf numFmtId="0" fontId="43" fillId="36" borderId="0" xfId="0" applyFont="1" applyFill="1">
      <alignment vertical="center" wrapText="1"/>
    </xf>
    <xf numFmtId="0" fontId="0" fillId="41" borderId="14" xfId="0" applyFont="1" applyFill="1" applyBorder="1">
      <alignment horizontal="left" vertical="center" wrapText="1" indent="1"/>
      <protection locked="0"/>
    </xf>
    <xf numFmtId="49" fontId="23" fillId="41" borderId="13" xfId="0" applyFont="1" applyFill="1" applyBorder="1" applyNumberFormat="1">
      <alignment horizontal="left" vertical="center" wrapText="1" indent="1"/>
      <protection locked="0"/>
    </xf>
    <xf numFmtId="250" fontId="0" fillId="0" borderId="13" xfId="0" applyFont="1" applyBorder="1" applyNumberFormat="1">
      <alignment horizontal="left" vertical="center" wrapText="1" indent="1"/>
    </xf>
    <xf numFmtId="0" fontId="0" fillId="36" borderId="0" xfId="0" applyFont="1" applyFill="1">
      <alignment horizontal="right" vertical="center" wrapText="1" indent="1"/>
    </xf>
    <xf numFmtId="0" fontId="102" fillId="0" borderId="0" xfId="0" applyFont="1">
      <alignment horizontal="left" vertical="center" wrapText="1"/>
    </xf>
    <xf numFmtId="0" fontId="23" fillId="36" borderId="0" xfId="0" applyFont="1" applyFill="1">
      <alignment horizontal="right" vertical="center" wrapText="1" indent="1"/>
    </xf>
    <xf numFmtId="0" fontId="23" fillId="0" borderId="0" xfId="0" applyFont="1">
      <alignment horizontal="center" vertical="center" wrapText="1"/>
    </xf>
    <xf numFmtId="0" fontId="23" fillId="36" borderId="0" xfId="0" applyFont="1" applyFill="1">
      <alignment horizontal="center" vertical="center" wrapText="1"/>
    </xf>
    <xf numFmtId="250" fontId="0" fillId="41" borderId="13" xfId="0" applyFont="1" applyFill="1" applyBorder="1" applyNumberFormat="1">
      <alignment horizontal="left" vertical="center" wrapText="1" indent="1"/>
      <protection locked="0"/>
    </xf>
    <xf numFmtId="0" fontId="0" fillId="36" borderId="0" xfId="0" applyFont="1" applyFill="1">
      <alignment horizontal="left" vertical="center" wrapText="1" indent="1"/>
    </xf>
    <xf numFmtId="49" fontId="23" fillId="0" borderId="13" xfId="0" applyFont="1" applyBorder="1" applyNumberFormat="1">
      <alignment horizontal="left" vertical="center" wrapText="1" indent="1"/>
    </xf>
    <xf numFmtId="0" fontId="42" fillId="0" borderId="0" xfId="0" applyFont="1">
      <alignment horizontal="center" vertical="center" wrapText="1"/>
    </xf>
    <xf numFmtId="0" fontId="44" fillId="36" borderId="0" xfId="0" applyFont="1" applyFill="1">
      <alignment horizontal="center" vertical="center" wrapText="1"/>
    </xf>
    <xf numFmtId="49" fontId="23" fillId="38" borderId="13" xfId="0" applyFont="1" applyFill="1" applyBorder="1" applyNumberFormat="1">
      <alignment horizontal="left" vertical="center" wrapText="1" indent="1"/>
    </xf>
    <xf numFmtId="14" fontId="23" fillId="36" borderId="0" xfId="0" applyFont="1" applyFill="1" applyNumberFormat="1">
      <alignment horizontal="center" vertical="center" wrapText="1"/>
    </xf>
    <xf numFmtId="0" fontId="0" fillId="36" borderId="27" xfId="0" applyFont="1" applyFill="1" applyBorder="1">
      <alignment horizontal="right" vertical="center" wrapText="1" indent="1"/>
    </xf>
    <xf numFmtId="49" fontId="23" fillId="33" borderId="13" xfId="0" applyFont="1" applyFill="1" applyBorder="1" applyNumberFormat="1">
      <alignment horizontal="left" vertical="center" wrapText="1" indent="1"/>
      <protection locked="0"/>
    </xf>
    <xf numFmtId="0" fontId="23" fillId="0" borderId="0" xfId="0" applyFont="1">
      <alignment vertical="center"/>
    </xf>
    <xf numFmtId="14" fontId="23" fillId="36" borderId="0" xfId="0" applyFont="1" applyFill="1" applyNumberFormat="1">
      <alignment horizontal="left" vertical="center" wrapText="1"/>
    </xf>
    <xf numFmtId="0" fontId="23" fillId="41" borderId="13" xfId="0" applyFont="1" applyFill="1" applyBorder="1">
      <alignment horizontal="left" vertical="center" wrapText="1" indent="1"/>
      <protection locked="0"/>
    </xf>
    <xf numFmtId="0" fontId="67" fillId="36" borderId="0" xfId="0" applyFont="1" applyFill="1">
      <alignment horizontal="right" vertical="center" wrapText="1" indent="1"/>
    </xf>
    <xf numFmtId="0" fontId="67" fillId="36" borderId="0" xfId="0" applyFont="1" applyFill="1">
      <alignment horizontal="left" vertical="center" wrapText="1" indent="1"/>
    </xf>
    <xf numFmtId="49" fontId="23" fillId="42" borderId="13" xfId="0" applyFont="1" applyFill="1" applyBorder="1" applyNumberFormat="1">
      <alignment horizontal="left" vertical="center" wrapText="1" indent="1"/>
    </xf>
    <xf numFmtId="0" fontId="66" fillId="0" borderId="0" xfId="0" applyFont="1">
      <alignment vertical="center" wrapText="1"/>
    </xf>
    <xf numFmtId="0" fontId="64" fillId="0" borderId="0" xfId="0" applyFont="1">
      <alignment horizontal="left" vertical="center" wrapText="1"/>
    </xf>
    <xf numFmtId="0" fontId="65" fillId="0" borderId="0" xfId="0" applyFont="1">
      <alignment vertical="center" wrapText="1"/>
    </xf>
    <xf numFmtId="0" fontId="66" fillId="36" borderId="0" xfId="0" applyFont="1" applyFill="1">
      <alignment vertical="center" wrapText="1"/>
    </xf>
    <xf numFmtId="0" fontId="67" fillId="36" borderId="0" xfId="0" applyFont="1" applyFill="1">
      <alignment horizontal="right" vertical="center" wrapText="1" indent="1"/>
    </xf>
    <xf numFmtId="0" fontId="41" fillId="0" borderId="0" xfId="0" applyFont="1">
      <alignment horizontal="left" vertical="center" wrapText="1"/>
    </xf>
    <xf numFmtId="0" fontId="23" fillId="36" borderId="27" xfId="0" applyFont="1" applyFill="1" applyBorder="1">
      <alignment horizontal="right" vertical="center" wrapText="1" indent="1"/>
    </xf>
    <xf numFmtId="49" fontId="32" fillId="41" borderId="13" xfId="0" applyFont="1" applyFill="1" applyBorder="1" applyNumberFormat="1">
      <alignment horizontal="left" vertical="center" wrapText="1" indent="1"/>
      <protection locked="0"/>
    </xf>
    <xf numFmtId="0" fontId="41" fillId="0" borderId="0" xfId="0" applyFont="1">
      <alignment horizontal="left" vertical="center" wrapText="1"/>
    </xf>
    <xf numFmtId="0" fontId="23" fillId="0" borderId="0" xfId="0" applyFont="1">
      <alignment vertical="center" wrapText="1"/>
    </xf>
    <xf numFmtId="14" fontId="98" fillId="0" borderId="0" xfId="0" applyFont="1" applyNumberFormat="1">
      <alignment horizontal="center" vertical="center" wrapText="1"/>
    </xf>
    <xf numFmtId="0" fontId="42" fillId="0" borderId="0" xfId="0" applyFont="1">
      <alignment vertical="center" wrapText="1"/>
    </xf>
    <xf numFmtId="0" fontId="41" fillId="0" borderId="0" xfId="0" applyFont="1">
      <alignment horizontal="center" vertical="center" wrapText="1"/>
    </xf>
    <xf numFmtId="0" fontId="23" fillId="0" borderId="0" xfId="0" applyFont="1">
      <alignment horizontal="center" vertical="center" wrapText="1"/>
    </xf>
    <xf numFmtId="0" fontId="55" fillId="0" borderId="0" xfId="0" applyFont="1">
      <alignment horizontal="center" vertical="center" wrapText="1"/>
    </xf>
    <xf numFmtId="0" fontId="55" fillId="0" borderId="0" xfId="0" applyFont="1">
      <alignment vertical="center" wrapText="1"/>
    </xf>
    <xf numFmtId="0" fontId="89" fillId="0" borderId="0" xfId="0" applyFont="1">
      <alignment vertical="center" wrapText="1"/>
    </xf>
    <xf numFmtId="0" fontId="23" fillId="42" borderId="13" xfId="0" applyFont="1" applyFill="1" applyBorder="1">
      <alignment horizontal="left" vertical="center" wrapText="1" indent="1"/>
    </xf>
    <xf numFmtId="49" fontId="0" fillId="0" borderId="6" xfId="0" applyFont="1" applyBorder="1" applyNumberFormat="1">
      <alignment horizontal="left" vertical="center" wrapText="1" indent="1"/>
    </xf>
    <xf numFmtId="0" fontId="23" fillId="42" borderId="13" xfId="0" applyFont="1" applyFill="1" applyBorder="1">
      <alignment horizontal="left" vertical="center" wrapText="1" indent="1"/>
    </xf>
    <xf numFmtId="0" fontId="23" fillId="41" borderId="13" xfId="0" applyFont="1" applyFill="1" applyBorder="1">
      <alignment horizontal="left" vertical="center" wrapText="1" indent="1"/>
      <protection locked="0"/>
    </xf>
    <xf numFmtId="49" fontId="23" fillId="42" borderId="13" xfId="0" applyFont="1" applyFill="1" applyBorder="1" applyNumberFormat="1">
      <alignment horizontal="left" vertical="center" wrapText="1" indent="1"/>
    </xf>
    <xf numFmtId="0" fontId="97" fillId="0" borderId="0" xfId="0" applyFont="1">
      <alignment horizontal="left" vertical="center" wrapText="1"/>
    </xf>
    <xf numFmtId="49" fontId="41" fillId="0" borderId="0" xfId="0" applyFont="1" applyNumberFormat="1">
      <alignment horizontal="left" vertical="center" wrapText="1"/>
    </xf>
    <xf numFmtId="49" fontId="43" fillId="36" borderId="0" xfId="0" applyFont="1" applyFill="1" applyNumberFormat="1">
      <alignment horizontal="center" vertical="center" wrapText="1"/>
    </xf>
    <xf numFmtId="0" fontId="23" fillId="0" borderId="0" xfId="0" applyFont="1">
      <alignment horizontal="left" vertical="center" wrapText="1" indent="4"/>
    </xf>
    <xf numFmtId="0" fontId="23" fillId="0" borderId="0" xfId="0" applyFont="1">
      <alignment horizontal="left" vertical="center" wrapText="1" indent="1"/>
    </xf>
    <xf numFmtId="49" fontId="23" fillId="41" borderId="13" xfId="0" applyFont="1" applyFill="1" applyBorder="1" applyNumberFormat="1">
      <alignment horizontal="left" vertical="center" wrapText="1" indent="1"/>
      <protection locked="0"/>
    </xf>
    <xf numFmtId="0" fontId="0" fillId="0" borderId="0" xfId="0" applyFont="1">
      <alignment horizontal="center" vertical="center" wrapText="1"/>
    </xf>
    <xf numFmtId="49" fontId="23" fillId="36" borderId="0" xfId="0" applyFont="1" applyFill="1" applyNumberFormat="1">
      <alignment horizontal="right" vertical="center" wrapText="1" indent="1"/>
    </xf>
    <xf numFmtId="49" fontId="23" fillId="0" borderId="0" xfId="0" applyFont="1" applyNumberFormat="1">
      <alignment horizontal="center" vertical="center" wrapText="1"/>
    </xf>
    <xf numFmtId="49" fontId="0" fillId="36" borderId="0" xfId="0" applyFont="1" applyFill="1" applyNumberFormat="1">
      <alignment horizontal="right" vertical="center" wrapText="1" indent="1"/>
    </xf>
    <xf numFmtId="0" fontId="35" fillId="0" borderId="0" xfId="0" applyFont="1">
      <alignment vertical="top" wrapText="1"/>
    </xf>
    <xf numFmtId="0" fontId="97" fillId="0" borderId="0" xfId="0" applyFont="1">
      <alignment horizontal="left" vertical="center" wrapText="1"/>
    </xf>
    <xf numFmtId="0" fontId="41" fillId="0" borderId="0" xfId="0" applyFont="1">
      <alignment horizontal="left" vertical="center" wrapText="1"/>
    </xf>
    <xf numFmtId="0" fontId="42" fillId="0" borderId="0" xfId="0" applyFont="1">
      <alignment vertical="center" wrapText="1"/>
    </xf>
    <xf numFmtId="0" fontId="23" fillId="0" borderId="0" xfId="0" applyFont="1">
      <alignment vertical="center" wrapText="1"/>
    </xf>
    <xf numFmtId="0" fontId="23" fillId="0" borderId="0" xfId="0" applyFont="1">
      <alignment horizontal="center" vertical="center" wrapText="1"/>
    </xf>
    <xf numFmtId="0" fontId="41" fillId="0" borderId="0" xfId="0" applyFont="1">
      <alignment horizontal="center" vertical="center" wrapText="1"/>
    </xf>
    <xf numFmtId="0" fontId="55" fillId="0" borderId="0" xfId="0" applyFont="1">
      <alignment vertical="center" wrapText="1"/>
    </xf>
    <xf numFmtId="0" fontId="56" fillId="0" borderId="0" xfId="0" applyFont="1">
      <alignment vertical="center" wrapText="1"/>
    </xf>
    <xf numFmtId="0" fontId="79" fillId="0" borderId="0" xfId="0" applyFont="1">
      <alignment vertical="center" wrapText="1"/>
    </xf>
    <xf numFmtId="0" fontId="56" fillId="0" borderId="0" xfId="0" applyFont="1">
      <alignment vertical="center" wrapText="1"/>
    </xf>
    <xf numFmtId="0" fontId="56" fillId="0" borderId="0" xfId="0" applyFont="1">
      <alignment horizontal="center" vertical="center" wrapText="1"/>
    </xf>
    <xf numFmtId="0" fontId="56" fillId="0" borderId="0" xfId="0" applyFont="1">
      <alignment horizontal="left" vertical="center" indent="1"/>
    </xf>
    <xf numFmtId="0" fontId="56" fillId="0" borderId="0" xfId="0" applyFont="1">
      <alignment horizontal="center" vertical="center" wrapText="1"/>
    </xf>
    <xf numFmtId="0" fontId="56" fillId="0" borderId="0" xfId="0" applyFont="1">
      <alignment horizontal="left" vertical="center" wrapText="1" indent="1"/>
    </xf>
    <xf numFmtId="0" fontId="56" fillId="0" borderId="0" xfId="0" applyFont="1">
      <alignment horizontal="left" vertical="center" indent="1"/>
    </xf>
    <xf numFmtId="0" fontId="62" fillId="0" borderId="0" xfId="0" applyFont="1">
      <alignment vertical="center" wrapText="1"/>
    </xf>
    <xf numFmtId="0" fontId="23" fillId="0" borderId="0" xfId="0" applyFont="1">
      <alignment horizontal="left" vertical="center" wrapText="1" indent="1"/>
    </xf>
    <xf numFmtId="0" fontId="55" fillId="0" borderId="0" xfId="0" applyFont="1">
      <alignment horizontal="left" vertical="center" wrapText="1" indent="1"/>
    </xf>
    <xf numFmtId="0" fontId="62" fillId="0" borderId="0" xfId="0" applyFont="1">
      <alignment horizontal="left" vertical="center" wrapText="1" indent="1"/>
    </xf>
    <xf numFmtId="0" fontId="63" fillId="0" borderId="0" xfId="0" applyFont="1">
      <alignment horizontal="left" vertical="center" indent="1"/>
    </xf>
    <xf numFmtId="0" fontId="51" fillId="0" borderId="0" xfId="0" applyFont="1">
      <alignment vertical="center" wrapText="1"/>
    </xf>
    <xf numFmtId="0" fontId="23" fillId="0" borderId="0" xfId="0" applyFont="1">
      <alignment vertical="center" wrapText="1"/>
    </xf>
    <xf numFmtId="0" fontId="55" fillId="0" borderId="0" xfId="0" applyFont="1">
      <alignment vertical="center" wrapText="1"/>
    </xf>
    <xf numFmtId="0" fontId="46" fillId="0" borderId="0" xfId="0" applyFont="1">
      <alignment horizontal="center" vertical="center" wrapText="1"/>
    </xf>
    <xf numFmtId="0" fontId="23" fillId="0" borderId="0" xfId="0" applyFont="1">
      <alignment vertical="center" wrapText="1"/>
    </xf>
    <xf numFmtId="0" fontId="23" fillId="0" borderId="0" xfId="0" applyFont="1">
      <alignment vertical="center" wrapText="1"/>
    </xf>
    <xf numFmtId="0" fontId="23" fillId="0" borderId="0" xfId="0" applyFont="1">
      <alignment horizontal="right" vertical="center" wrapText="1"/>
    </xf>
    <xf numFmtId="0" fontId="56" fillId="0" borderId="0" xfId="0" applyFont="1">
      <alignment vertical="center"/>
    </xf>
    <xf numFmtId="0" fontId="56" fillId="0" borderId="0" xfId="0" applyFont="1">
      <alignment vertical="center"/>
    </xf>
    <xf numFmtId="0" fontId="61" fillId="0" borderId="0" xfId="0" applyFont="1">
      <alignment vertical="center"/>
    </xf>
    <xf numFmtId="0" fontId="23" fillId="0" borderId="16" xfId="0" applyFont="1" applyBorder="1">
      <alignment horizontal="left" vertical="center" wrapText="1" indent="1"/>
    </xf>
    <xf numFmtId="4" fontId="23" fillId="0" borderId="0" xfId="0" applyFont="1" applyNumberFormat="1">
      <alignment horizontal="right" vertical="center" wrapText="1"/>
    </xf>
    <xf numFmtId="0" fontId="23" fillId="0" borderId="0" xfId="0" applyFont="1">
      <alignment horizontal="left" vertical="center" wrapText="1" indent="1"/>
    </xf>
    <xf numFmtId="49" fontId="23" fillId="0" borderId="0" xfId="0" applyFont="1" applyNumberFormat="1">
      <alignment vertical="top"/>
    </xf>
    <xf numFmtId="49" fontId="55" fillId="0" borderId="0" xfId="0" applyFont="1" applyNumberFormat="1">
      <alignment vertical="top"/>
    </xf>
    <xf numFmtId="49" fontId="23" fillId="0" borderId="0" xfId="0" applyFont="1" applyNumberFormat="1">
      <alignment vertical="top"/>
    </xf>
    <xf numFmtId="49" fontId="23" fillId="0" borderId="0" xfId="0" applyFont="1" applyNumberFormat="1">
      <alignment horizontal="center" vertical="center" wrapText="1"/>
    </xf>
    <xf numFmtId="4" fontId="23" fillId="0" borderId="0" xfId="0" applyFont="1" applyNumberFormat="1">
      <alignment horizontal="center" vertical="center" wrapText="1"/>
    </xf>
    <xf numFmtId="0" fontId="23" fillId="0" borderId="15" xfId="0" applyFont="1" applyBorder="1">
      <alignment horizontal="center" vertical="center" wrapText="1"/>
    </xf>
    <xf numFmtId="0" fontId="23" fillId="0" borderId="16" xfId="0" applyFont="1" applyBorder="1">
      <alignment horizontal="center" vertical="center" wrapText="1"/>
    </xf>
    <xf numFmtId="0" fontId="23" fillId="0" borderId="14" xfId="0" applyFont="1" applyBorder="1">
      <alignment horizontal="center" vertical="center" wrapText="1"/>
    </xf>
    <xf numFmtId="4" fontId="23" fillId="0" borderId="13" xfId="0" applyFont="1" applyBorder="1" applyNumberFormat="1">
      <alignment horizontal="center" vertical="center" wrapText="1"/>
    </xf>
    <xf numFmtId="249" fontId="23" fillId="0" borderId="15" xfId="0" applyFont="1" applyBorder="1" applyNumberFormat="1">
      <alignment horizontal="center" vertical="center" wrapText="1"/>
    </xf>
    <xf numFmtId="249" fontId="23" fillId="0" borderId="13" xfId="0" applyFont="1" applyBorder="1" applyNumberFormat="1">
      <alignment horizontal="center" vertical="center" wrapText="1"/>
    </xf>
    <xf numFmtId="0" fontId="45" fillId="0" borderId="0" xfId="0" applyFont="1">
      <alignment horizontal="center" vertical="center" wrapText="1"/>
    </xf>
    <xf numFmtId="49" fontId="45" fillId="0" borderId="16" xfId="0" applyFont="1" applyBorder="1" applyNumberFormat="1">
      <alignment horizontal="center" vertical="center" wrapText="1"/>
    </xf>
    <xf numFmtId="49" fontId="45" fillId="0" borderId="16" xfId="0" applyFont="1" applyBorder="1" applyNumberFormat="1">
      <alignment horizontal="center" vertical="center" wrapText="1"/>
    </xf>
    <xf numFmtId="0" fontId="55" fillId="0" borderId="0" xfId="0" applyFont="1">
      <alignment vertical="center"/>
    </xf>
    <xf numFmtId="0" fontId="55" fillId="0" borderId="0" xfId="0" applyFont="1">
      <alignment vertical="center"/>
    </xf>
    <xf numFmtId="0" fontId="60" fillId="0" borderId="0" xfId="0" applyFont="1">
      <alignment vertical="center"/>
    </xf>
    <xf numFmtId="49" fontId="23" fillId="40" borderId="20" xfId="0" applyFont="1" applyFill="1" applyBorder="1" applyNumberFormat="1">
      <alignment horizontal="center" vertical="center" wrapText="1"/>
    </xf>
    <xf numFmtId="49" fontId="55" fillId="40" borderId="20" xfId="0" applyFont="1" applyFill="1" applyBorder="1" applyNumberFormat="1">
      <alignment horizontal="left" vertical="center" wrapText="1"/>
    </xf>
    <xf numFmtId="49" fontId="55" fillId="40" borderId="21" xfId="0" applyFont="1" applyFill="1" applyBorder="1" applyNumberFormat="1">
      <alignment horizontal="left" vertical="center" wrapText="1"/>
    </xf>
    <xf numFmtId="0" fontId="56" fillId="0" borderId="23" xfId="0" applyFont="1" applyBorder="1">
      <alignment vertical="center"/>
    </xf>
    <xf numFmtId="0" fontId="51" fillId="0" borderId="0" xfId="0" applyFont="1">
      <alignment vertical="center" wrapText="1"/>
    </xf>
    <xf numFmtId="0" fontId="23" fillId="0" borderId="0" xfId="0" applyFont="1">
      <alignment horizontal="center" vertical="center" wrapText="1"/>
    </xf>
    <xf numFmtId="0" fontId="46" fillId="0" borderId="0" xfId="0" applyFont="1">
      <alignment horizontal="center" vertical="center" wrapText="1"/>
    </xf>
    <xf numFmtId="0" fontId="23" fillId="0" borderId="13" xfId="0" applyFont="1" applyBorder="1">
      <alignment horizontal="center" vertical="center" wrapText="1"/>
    </xf>
    <xf numFmtId="0" fontId="56" fillId="0" borderId="13" xfId="0" applyFont="1" applyBorder="1">
      <alignment horizontal="center" vertical="center" wrapText="1"/>
    </xf>
    <xf numFmtId="49" fontId="23" fillId="41" borderId="13" xfId="0" applyFont="1" applyFill="1" applyBorder="1" applyNumberFormat="1">
      <alignment vertical="center" wrapText="1"/>
      <protection locked="0"/>
    </xf>
    <xf numFmtId="49" fontId="55" fillId="0" borderId="13" xfId="0" applyFont="1" applyBorder="1" applyNumberFormat="1">
      <alignment horizontal="left" vertical="center" wrapText="1"/>
    </xf>
    <xf numFmtId="0" fontId="56" fillId="0" borderId="0" xfId="0" applyFont="1">
      <alignment vertical="center"/>
    </xf>
    <xf numFmtId="0" fontId="56" fillId="0" borderId="0" xfId="0" applyFont="1">
      <alignment vertical="center"/>
    </xf>
    <xf numFmtId="49" fontId="0" fillId="0" borderId="0" xfId="0" applyFont="1" applyNumberFormat="1">
      <alignment vertical="top"/>
    </xf>
    <xf numFmtId="0" fontId="45" fillId="0" borderId="25" xfId="0" applyFont="1" applyBorder="1">
      <alignment vertical="top" wrapText="1"/>
    </xf>
    <xf numFmtId="0" fontId="23" fillId="0" borderId="24" xfId="0" applyFont="1" applyBorder="1">
      <alignment horizontal="center" vertical="center" wrapText="1"/>
    </xf>
    <xf numFmtId="0" fontId="56" fillId="0" borderId="24" xfId="0" applyFont="1" applyBorder="1">
      <alignment horizontal="center" vertical="center" wrapText="1"/>
    </xf>
    <xf numFmtId="14" fontId="23" fillId="42" borderId="24" xfId="0" applyFont="1" applyFill="1" applyBorder="1" applyNumberFormat="1">
      <alignment horizontal="left" vertical="center" wrapText="1" indent="1"/>
    </xf>
    <xf numFmtId="49" fontId="23" fillId="38" borderId="24" xfId="0" applyFont="1" applyFill="1" applyBorder="1" applyNumberFormat="1">
      <alignment horizontal="center" vertical="center" wrapText="1"/>
    </xf>
    <xf numFmtId="0" fontId="80" fillId="0" borderId="0" xfId="0" applyFont="1">
      <alignment vertical="center" wrapText="1"/>
    </xf>
    <xf numFmtId="49" fontId="55" fillId="0" borderId="0" xfId="0" applyFont="1" applyNumberFormat="1">
      <alignment vertical="top"/>
    </xf>
    <xf numFmtId="49" fontId="56" fillId="0" borderId="0" xfId="0" applyFont="1" applyNumberFormat="1">
      <alignment vertical="top"/>
    </xf>
    <xf numFmtId="0" fontId="0" fillId="0" borderId="0" xfId="0" applyFont="1">
      <alignment vertical="center" wrapText="1"/>
    </xf>
    <xf numFmtId="0" fontId="45" fillId="0" borderId="0" xfId="0" applyFont="1">
      <alignment vertical="top" wrapText="1"/>
    </xf>
    <xf numFmtId="49" fontId="35" fillId="40" borderId="15" xfId="0" applyFont="1" applyFill="1" applyBorder="1" applyNumberFormat="1">
      <alignment horizontal="right" vertical="center" wrapText="1"/>
    </xf>
    <xf numFmtId="49" fontId="35" fillId="40" borderId="16" xfId="0" applyFont="1" applyFill="1" applyBorder="1" applyNumberFormat="1">
      <alignment horizontal="right" vertical="center" wrapText="1"/>
    </xf>
    <xf numFmtId="49" fontId="49" fillId="40" borderId="16" xfId="0" applyFont="1" applyFill="1" applyBorder="1" applyNumberFormat="1">
      <alignment horizontal="left" vertical="center" indent="1"/>
    </xf>
    <xf numFmtId="49" fontId="0" fillId="40" borderId="16" xfId="0" applyFont="1" applyFill="1" applyBorder="1" applyNumberFormat="1">
      <alignment horizontal="right" vertical="center" wrapText="1"/>
    </xf>
    <xf numFmtId="49" fontId="0" fillId="40" borderId="14" xfId="0" applyFont="1" applyFill="1" applyBorder="1" applyNumberFormat="1">
      <alignment horizontal="right" vertical="center" wrapText="1"/>
    </xf>
    <xf numFmtId="49" fontId="23" fillId="40" borderId="15" xfId="0" applyFont="1" applyFill="1" applyBorder="1" applyNumberFormat="1">
      <alignment horizontal="right" vertical="center" wrapText="1"/>
    </xf>
    <xf numFmtId="49" fontId="23" fillId="40" borderId="16" xfId="0" applyFont="1" applyFill="1" applyBorder="1" applyNumberFormat="1">
      <alignment horizontal="right" vertical="center" wrapText="1"/>
    </xf>
    <xf numFmtId="49" fontId="49" fillId="40" borderId="16" xfId="0" applyFont="1" applyFill="1" applyBorder="1" applyNumberFormat="1">
      <alignment horizontal="left" vertical="center"/>
    </xf>
    <xf numFmtId="49" fontId="23" fillId="40" borderId="14" xfId="0" applyFont="1" applyFill="1" applyBorder="1" applyNumberFormat="1">
      <alignment horizontal="right" vertical="center" wrapText="1"/>
    </xf>
    <xf numFmtId="0" fontId="46" fillId="0" borderId="0" xfId="0" applyFont="1">
      <alignment horizontal="center" vertical="center" wrapText="1"/>
    </xf>
    <xf numFmtId="0" fontId="23" fillId="0" borderId="22" xfId="0" applyFont="1" applyBorder="1">
      <alignment vertical="center" wrapText="1"/>
    </xf>
    <xf numFmtId="0" fontId="23" fillId="0" borderId="0" xfId="0" applyFont="1">
      <alignment vertical="center" wrapText="1"/>
    </xf>
    <xf numFmtId="0" fontId="54" fillId="0" borderId="0" xfId="0" applyFont="1">
      <alignment vertical="center" wrapText="1"/>
    </xf>
    <xf numFmtId="0" fontId="100" fillId="0" borderId="0" xfId="0" applyFont="1">
      <alignment vertical="center" wrapText="1"/>
    </xf>
    <xf numFmtId="0" fontId="58" fillId="0" borderId="0" xfId="0" applyFont="1">
      <alignment horizontal="center" vertical="center" wrapText="1"/>
    </xf>
    <xf numFmtId="49" fontId="0" fillId="0" borderId="0" xfId="0" applyFont="1" applyNumberFormat="1">
      <alignment vertical="top"/>
    </xf>
    <xf numFmtId="0" fontId="23" fillId="0" borderId="0" xfId="0" applyFont="1">
      <alignment vertical="center" wrapText="1"/>
    </xf>
    <xf numFmtId="0" fontId="55" fillId="0" borderId="0" xfId="0" applyFont="1">
      <alignment vertical="center" wrapText="1"/>
    </xf>
    <xf numFmtId="0" fontId="46" fillId="0" borderId="0" xfId="0" applyFont="1">
      <alignment horizontal="center" vertical="center" wrapText="1"/>
    </xf>
    <xf numFmtId="0" fontId="23" fillId="0" borderId="0" xfId="0" applyFont="1">
      <alignment vertical="center" wrapText="1"/>
    </xf>
    <xf numFmtId="0" fontId="56" fillId="0" borderId="0" xfId="0" applyFont="1">
      <alignment vertical="center"/>
    </xf>
    <xf numFmtId="0" fontId="56" fillId="0" borderId="0" xfId="0" applyFont="1">
      <alignment vertical="center"/>
    </xf>
    <xf numFmtId="0" fontId="61" fillId="0" borderId="0" xfId="0" applyFont="1">
      <alignment vertical="center"/>
    </xf>
    <xf numFmtId="0" fontId="23" fillId="0" borderId="0" xfId="0" applyFont="1">
      <alignment vertical="center"/>
    </xf>
    <xf numFmtId="0" fontId="23" fillId="0" borderId="21" xfId="0" applyFont="1" applyBorder="1">
      <alignment horizontal="left" vertical="center" wrapText="1" indent="1"/>
    </xf>
    <xf numFmtId="0" fontId="23" fillId="0" borderId="18" xfId="0" applyFont="1" applyBorder="1">
      <alignment horizontal="left" vertical="center" wrapText="1" indent="1"/>
    </xf>
    <xf numFmtId="0" fontId="23" fillId="0" borderId="38" xfId="0" applyFont="1" applyBorder="1">
      <alignment horizontal="left" vertical="center" wrapText="1" indent="1"/>
    </xf>
    <xf numFmtId="0" fontId="55" fillId="0" borderId="0" xfId="0" applyFont="1">
      <alignment vertical="center"/>
    </xf>
    <xf numFmtId="0" fontId="50" fillId="0" borderId="0" xfId="0" applyFont="1">
      <alignment vertical="center"/>
    </xf>
    <xf numFmtId="0" fontId="23" fillId="0" borderId="31" xfId="0" applyFont="1" applyBorder="1">
      <alignment horizontal="left" vertical="center" indent="1"/>
    </xf>
    <xf numFmtId="0" fontId="23" fillId="0" borderId="24" xfId="0" applyFont="1" applyBorder="1">
      <alignment horizontal="left" vertical="center" indent="1"/>
    </xf>
    <xf numFmtId="0" fontId="23" fillId="0" borderId="28" xfId="0" applyFont="1" applyBorder="1">
      <alignment horizontal="left" vertical="center" indent="1"/>
    </xf>
    <xf numFmtId="0" fontId="92" fillId="0" borderId="0" xfId="0" applyFont="1">
      <alignment vertical="center"/>
    </xf>
    <xf numFmtId="0" fontId="57" fillId="0" borderId="0" xfId="0" applyFont="1">
      <alignment vertical="center"/>
    </xf>
    <xf numFmtId="0" fontId="115" fillId="0" borderId="0" xfId="0" applyFont="1">
      <alignment vertical="center"/>
    </xf>
    <xf numFmtId="0" fontId="50" fillId="0" borderId="0" xfId="0" applyFont="1">
      <alignment vertical="center"/>
    </xf>
    <xf numFmtId="0" fontId="23" fillId="0" borderId="0" xfId="0" applyFont="1">
      <alignment horizontal="center" vertical="center" wrapText="1"/>
    </xf>
    <xf numFmtId="0" fontId="23" fillId="0" borderId="0" xfId="0" applyFont="1">
      <alignment vertical="center" wrapText="1"/>
    </xf>
    <xf numFmtId="0" fontId="92" fillId="0" borderId="0" xfId="0" applyFont="1">
      <alignment vertical="center"/>
    </xf>
    <xf numFmtId="0" fontId="57" fillId="0" borderId="0" xfId="0" applyFont="1">
      <alignment vertical="center"/>
    </xf>
    <xf numFmtId="0" fontId="115" fillId="0" borderId="0" xfId="0" applyFont="1">
      <alignment vertical="center"/>
    </xf>
    <xf numFmtId="0" fontId="0" fillId="0" borderId="0" xfId="0" applyFont="1">
      <alignment horizontal="left" vertical="center" wrapText="1" indent="2"/>
    </xf>
    <xf numFmtId="0" fontId="0" fillId="0" borderId="0" xfId="0" applyFont="1">
      <alignment horizontal="left" vertical="center" indent="2"/>
    </xf>
    <xf numFmtId="0" fontId="36" fillId="0" borderId="0" xfId="0" applyFont="1">
      <alignment vertical="center"/>
    </xf>
    <xf numFmtId="0" fontId="50" fillId="0" borderId="0" xfId="0" applyFont="1">
      <alignment vertical="center"/>
    </xf>
    <xf numFmtId="0" fontId="23" fillId="43" borderId="0" xfId="0" applyFont="1" applyFill="1">
      <alignment horizontal="center" vertical="center" wrapText="1"/>
    </xf>
    <xf numFmtId="0" fontId="23" fillId="0" borderId="0" xfId="0" applyFont="1">
      <alignment vertical="center" wrapText="1"/>
    </xf>
    <xf numFmtId="0" fontId="23" fillId="0" borderId="13" xfId="0" applyFont="1" applyBorder="1">
      <alignment horizontal="center" vertical="center" wrapText="1"/>
    </xf>
    <xf numFmtId="0" fontId="81" fillId="0" borderId="38" xfId="0" applyFont="1" applyBorder="1">
      <alignment horizontal="center" vertical="center" wrapText="1"/>
    </xf>
    <xf numFmtId="0" fontId="81" fillId="0" borderId="20" xfId="0" applyFont="1" applyBorder="1">
      <alignment horizontal="center" vertical="center" wrapText="1"/>
    </xf>
    <xf numFmtId="0" fontId="81" fillId="0" borderId="13" xfId="0" applyFont="1" applyBorder="1">
      <alignment horizontal="center" vertical="center" wrapText="1"/>
    </xf>
    <xf numFmtId="0" fontId="23" fillId="0" borderId="0" xfId="0" applyFont="1">
      <alignment horizontal="center" vertical="center" wrapText="1"/>
    </xf>
    <xf numFmtId="0" fontId="88" fillId="0" borderId="0" xfId="0" applyFont="1">
      <alignment horizontal="center" vertical="center" wrapText="1"/>
    </xf>
    <xf numFmtId="0" fontId="23" fillId="0" borderId="13" xfId="0" applyFont="1" applyBorder="1">
      <alignment horizontal="center" vertical="center" wrapText="1"/>
    </xf>
    <xf numFmtId="0" fontId="23" fillId="0" borderId="74" xfId="0" applyFont="1" applyBorder="1">
      <alignment horizontal="center" vertical="center" wrapText="1"/>
    </xf>
    <xf numFmtId="0" fontId="23" fillId="0" borderId="75" xfId="0" applyFont="1" applyBorder="1">
      <alignment horizontal="center" vertical="center" wrapText="1"/>
    </xf>
    <xf numFmtId="0" fontId="55" fillId="0" borderId="23" xfId="0" applyFont="1" applyBorder="1">
      <alignment vertical="center"/>
    </xf>
    <xf numFmtId="0" fontId="0" fillId="0" borderId="0" xfId="0" applyFont="1">
      <alignment vertical="center"/>
    </xf>
    <xf numFmtId="49" fontId="45" fillId="0" borderId="0" xfId="0" applyFont="1" applyNumberFormat="1">
      <alignment horizontal="center" vertical="center" wrapText="1"/>
    </xf>
    <xf numFmtId="49" fontId="45" fillId="0" borderId="13" xfId="0" applyFont="1" applyBorder="1" applyNumberFormat="1">
      <alignment horizontal="center" vertical="center" wrapText="1"/>
    </xf>
    <xf numFmtId="49" fontId="45" fillId="0" borderId="72" xfId="0" applyFont="1" applyBorder="1" applyNumberFormat="1">
      <alignment horizontal="center" vertical="center" wrapText="1"/>
    </xf>
    <xf numFmtId="49" fontId="45" fillId="0" borderId="73" xfId="0" applyFont="1" applyBorder="1" applyNumberFormat="1">
      <alignment horizontal="center" vertical="center" wrapText="1"/>
    </xf>
    <xf numFmtId="49" fontId="45" fillId="0" borderId="15" xfId="0" applyFont="1" applyBorder="1" applyNumberFormat="1">
      <alignment horizontal="center" vertical="center" wrapText="1"/>
    </xf>
    <xf numFmtId="49" fontId="45" fillId="0" borderId="14" xfId="0" applyFont="1" applyBorder="1" applyNumberFormat="1">
      <alignment horizontal="center" vertical="center" wrapText="1"/>
    </xf>
    <xf numFmtId="0" fontId="55" fillId="0" borderId="23" xfId="0" applyFont="1" applyBorder="1">
      <alignment vertical="center"/>
    </xf>
    <xf numFmtId="0" fontId="56" fillId="0" borderId="0" xfId="0" applyFont="1">
      <alignment vertical="center"/>
    </xf>
    <xf numFmtId="0" fontId="56" fillId="0" borderId="0" xfId="0" applyFont="1">
      <alignment vertical="center"/>
    </xf>
    <xf numFmtId="0" fontId="23" fillId="0" borderId="0" xfId="0" applyFont="1">
      <alignment vertical="center"/>
    </xf>
    <xf numFmtId="0" fontId="55" fillId="0" borderId="0" xfId="0" applyFont="1">
      <alignment vertical="center"/>
    </xf>
    <xf numFmtId="0" fontId="56" fillId="0" borderId="0" xfId="0" applyFont="1">
      <alignment horizontal="center" vertical="center"/>
    </xf>
    <xf numFmtId="0" fontId="23" fillId="0" borderId="0" xfId="0" applyFont="1">
      <alignment horizontal="center" vertical="center" wrapText="1"/>
    </xf>
    <xf numFmtId="0" fontId="23" fillId="40" borderId="15" xfId="0" applyFont="1" applyFill="1" applyBorder="1">
      <alignment horizontal="center" vertical="center" wrapText="1"/>
    </xf>
    <xf numFmtId="49" fontId="23" fillId="40" borderId="16" xfId="0" applyFont="1" applyFill="1" applyBorder="1" applyNumberFormat="1">
      <alignment horizontal="center" vertical="center" wrapText="1"/>
    </xf>
    <xf numFmtId="49" fontId="23" fillId="40" borderId="16" xfId="0" applyFont="1" applyFill="1" applyBorder="1" applyNumberFormat="1">
      <alignment horizontal="center" vertical="center" wrapText="1"/>
    </xf>
    <xf numFmtId="49" fontId="23" fillId="40" borderId="42" xfId="0" applyFont="1" applyFill="1" applyBorder="1" applyNumberFormat="1">
      <alignment horizontal="center" vertical="center" wrapText="1"/>
    </xf>
    <xf numFmtId="49" fontId="0" fillId="40" borderId="16" xfId="0" applyFont="1" applyFill="1" applyBorder="1" applyNumberFormat="1">
      <alignment horizontal="left" vertical="center"/>
    </xf>
    <xf numFmtId="0" fontId="0" fillId="40" borderId="14" xfId="0" applyFont="1" applyFill="1" applyBorder="1">
      <alignment vertical="center"/>
    </xf>
    <xf numFmtId="0" fontId="0" fillId="0" borderId="0" xfId="0" applyFont="1">
      <alignment vertical="center"/>
    </xf>
    <xf numFmtId="49" fontId="0" fillId="0" borderId="0" xfId="0" applyFont="1" applyNumberFormat="1">
      <alignment vertical="top"/>
    </xf>
    <xf numFmtId="0" fontId="46" fillId="0" borderId="0" xfId="0" applyFont="1">
      <alignment horizontal="center" vertical="center" wrapText="1"/>
    </xf>
    <xf numFmtId="49" fontId="23" fillId="0" borderId="13" xfId="0" applyFont="1" applyBorder="1" applyNumberFormat="1">
      <alignment horizontal="center" vertical="center" wrapText="1"/>
    </xf>
    <xf numFmtId="0" fontId="23" fillId="42" borderId="18" xfId="0" applyFont="1" applyFill="1" applyBorder="1">
      <alignment horizontal="left" vertical="center" wrapText="1" indent="2"/>
    </xf>
    <xf numFmtId="49" fontId="23" fillId="42" borderId="24" xfId="0" applyFont="1" applyFill="1" applyBorder="1" applyNumberFormat="1">
      <alignment horizontal="center" vertical="center" wrapText="1"/>
    </xf>
    <xf numFmtId="14" fontId="87" fillId="0" borderId="71" xfId="0" applyFont="1" applyBorder="1" applyNumberFormat="1">
      <alignment horizontal="center" vertical="center" wrapText="1"/>
    </xf>
    <xf numFmtId="0" fontId="23" fillId="0" borderId="71" xfId="0" applyFont="1" applyBorder="1">
      <alignment horizontal="center" vertical="center" wrapText="1"/>
    </xf>
    <xf numFmtId="0" fontId="23" fillId="42" borderId="18" xfId="0" applyFont="1" applyFill="1" applyBorder="1">
      <alignment horizontal="left" vertical="center" wrapText="1" indent="1"/>
      <protection locked="0"/>
    </xf>
    <xf numFmtId="49" fontId="23" fillId="42" borderId="13" xfId="0" applyFont="1" applyFill="1" applyBorder="1" applyNumberFormat="1">
      <alignment horizontal="center" vertical="center" wrapText="1"/>
    </xf>
    <xf numFmtId="49" fontId="23" fillId="0" borderId="18" xfId="0" applyFont="1" applyBorder="1" applyNumberFormat="1">
      <alignment horizontal="center" vertical="center" wrapText="1"/>
    </xf>
    <xf numFmtId="49" fontId="23" fillId="0" borderId="13" xfId="0" applyFont="1" applyBorder="1" applyNumberFormat="1">
      <alignment horizontal="center" vertical="center" wrapText="1"/>
    </xf>
    <xf numFmtId="49" fontId="81" fillId="41" borderId="13" xfId="0" applyFont="1" applyFill="1" applyBorder="1" applyNumberFormat="1">
      <alignment horizontal="left" vertical="center" wrapText="1" indent="1"/>
      <protection locked="0"/>
    </xf>
    <xf numFmtId="0" fontId="55" fillId="0" borderId="23" xfId="0" applyFont="1" applyBorder="1">
      <alignment vertical="center"/>
    </xf>
    <xf numFmtId="0" fontId="56" fillId="0" borderId="0" xfId="0" applyFont="1">
      <alignment vertical="center"/>
    </xf>
    <xf numFmtId="0" fontId="23" fillId="0" borderId="0" xfId="0" applyFont="1">
      <alignment vertical="center"/>
    </xf>
    <xf numFmtId="0" fontId="55" fillId="0" borderId="0" xfId="0" applyFont="1">
      <alignment vertical="center"/>
    </xf>
    <xf numFmtId="49" fontId="0" fillId="0" borderId="13" xfId="0" applyFont="1" applyBorder="1" applyNumberFormat="1">
      <alignment vertical="top"/>
    </xf>
    <xf numFmtId="0" fontId="45" fillId="0" borderId="13" xfId="0" applyFont="1" applyBorder="1">
      <alignment horizontal="center" vertical="center" wrapText="1"/>
    </xf>
    <xf numFmtId="49" fontId="23" fillId="0" borderId="14" xfId="0" applyFont="1" applyBorder="1" applyNumberFormat="1">
      <alignment horizontal="center" vertical="center" wrapText="1"/>
    </xf>
    <xf numFmtId="49" fontId="81" fillId="41" borderId="13" xfId="0" applyFont="1" applyFill="1" applyBorder="1" applyNumberFormat="1">
      <alignment horizontal="left" vertical="center" wrapText="1" indent="1"/>
      <protection locked="0"/>
    </xf>
    <xf numFmtId="0" fontId="80" fillId="0" borderId="0" xfId="0" applyFont="1">
      <alignment vertical="center"/>
    </xf>
    <xf numFmtId="0" fontId="23" fillId="42" borderId="37" xfId="0" applyFont="1" applyFill="1" applyBorder="1">
      <alignment horizontal="left" vertical="center" wrapText="1" indent="2"/>
    </xf>
    <xf numFmtId="0" fontId="23" fillId="42" borderId="24" xfId="0" applyFont="1" applyFill="1" applyBorder="1">
      <alignment horizontal="left" vertical="center" wrapText="1" indent="1"/>
      <protection locked="0"/>
    </xf>
    <xf numFmtId="49" fontId="49" fillId="40" borderId="14" xfId="0" applyFont="1" applyFill="1" applyBorder="1" applyNumberFormat="1">
      <alignment horizontal="left" vertical="center" indent="1"/>
    </xf>
    <xf numFmtId="0" fontId="23" fillId="42" borderId="24" xfId="0" applyFont="1" applyFill="1" applyBorder="1">
      <alignment horizontal="left" vertical="center" wrapText="1" indent="2"/>
    </xf>
    <xf numFmtId="49" fontId="35" fillId="40" borderId="43" xfId="0" applyFont="1" applyFill="1" applyBorder="1" applyNumberFormat="1">
      <alignment horizontal="right" vertical="center" wrapText="1"/>
    </xf>
    <xf numFmtId="49" fontId="35" fillId="40" borderId="44" xfId="0" applyFont="1" applyFill="1" applyBorder="1" applyNumberFormat="1">
      <alignment horizontal="right" vertical="center" wrapText="1"/>
    </xf>
    <xf numFmtId="49" fontId="49" fillId="40" borderId="16" xfId="0" applyFont="1" applyFill="1" applyBorder="1" applyNumberFormat="1">
      <alignment horizontal="left" vertical="center" indent="1"/>
    </xf>
    <xf numFmtId="49" fontId="35" fillId="40" borderId="14" xfId="0" applyFont="1" applyFill="1" applyBorder="1" applyNumberFormat="1">
      <alignment horizontal="right" vertical="center" wrapText="1"/>
    </xf>
    <xf numFmtId="0" fontId="81" fillId="43" borderId="0" xfId="0" applyFont="1" applyFill="1">
      <alignment vertical="top"/>
    </xf>
    <xf numFmtId="49" fontId="23" fillId="0" borderId="0" xfId="0" applyFont="1" applyNumberFormat="1">
      <alignment vertical="center" wrapText="1"/>
    </xf>
    <xf numFmtId="49" fontId="23" fillId="0" borderId="0" xfId="0" applyFont="1" applyNumberFormat="1">
      <alignment horizontal="center" vertical="center" wrapText="1"/>
    </xf>
    <xf numFmtId="49" fontId="49" fillId="40" borderId="16" xfId="0" applyFont="1" applyFill="1" applyBorder="1" applyNumberFormat="1">
      <alignment horizontal="left" vertical="center" indent="2"/>
    </xf>
    <xf numFmtId="0" fontId="0" fillId="0" borderId="0" xfId="0" applyFont="1">
      <alignment vertical="center"/>
    </xf>
    <xf numFmtId="0" fontId="55" fillId="0" borderId="0" xfId="0" applyFont="1">
      <alignment vertical="center"/>
    </xf>
    <xf numFmtId="0" fontId="56" fillId="0" borderId="0" xfId="0" applyFont="1">
      <alignment vertical="center"/>
    </xf>
    <xf numFmtId="0" fontId="23" fillId="0" borderId="0" xfId="0" applyFont="1">
      <alignment vertical="center"/>
    </xf>
    <xf numFmtId="0" fontId="56" fillId="0" borderId="0" xfId="0" applyFont="1">
      <alignment vertical="center"/>
    </xf>
    <xf numFmtId="0" fontId="50" fillId="0" borderId="0" xfId="0" applyFont="1">
      <alignment vertical="center"/>
    </xf>
    <xf numFmtId="0" fontId="57" fillId="0" borderId="0" xfId="0" applyFont="1">
      <alignment vertical="center"/>
    </xf>
    <xf numFmtId="0" fontId="23" fillId="0" borderId="21" xfId="0" applyFont="1" applyBorder="1">
      <alignment horizontal="left" vertical="center" wrapText="1" indent="1"/>
    </xf>
    <xf numFmtId="0" fontId="23" fillId="0" borderId="18" xfId="0" applyFont="1" applyBorder="1">
      <alignment horizontal="left" vertical="center" wrapText="1" indent="1"/>
    </xf>
    <xf numFmtId="0" fontId="23" fillId="0" borderId="38" xfId="0" applyFont="1" applyBorder="1">
      <alignment horizontal="left" vertical="center" wrapText="1" indent="1"/>
    </xf>
    <xf numFmtId="0" fontId="70" fillId="0" borderId="0" xfId="0" applyFont="1">
      <alignment vertical="center" wrapText="1"/>
    </xf>
    <xf numFmtId="0" fontId="22" fillId="0" borderId="0" xfId="0" applyFont="1">
      <alignment vertical="center" wrapText="1"/>
    </xf>
    <xf numFmtId="0" fontId="22" fillId="0" borderId="0" xfId="0" applyFont="1">
      <alignment vertical="center" wrapText="1"/>
    </xf>
    <xf numFmtId="0" fontId="115" fillId="0" borderId="0" xfId="0" applyFont="1">
      <alignment vertical="center"/>
    </xf>
    <xf numFmtId="0" fontId="23" fillId="0" borderId="29" xfId="0" applyFont="1" applyBorder="1">
      <alignment horizontal="left" vertical="center" indent="1"/>
    </xf>
    <xf numFmtId="0" fontId="73" fillId="0" borderId="0" xfId="0" applyFont="1">
      <alignment vertical="center"/>
    </xf>
    <xf numFmtId="0" fontId="56" fillId="0" borderId="0" xfId="0" applyFont="1">
      <alignment vertical="center"/>
    </xf>
    <xf numFmtId="0" fontId="79" fillId="0" borderId="25" xfId="0" applyFont="1" applyBorder="1">
      <alignment horizontal="left" vertical="center" wrapText="1" indent="1"/>
    </xf>
    <xf numFmtId="0" fontId="79" fillId="0" borderId="37" xfId="0" applyFont="1" applyBorder="1">
      <alignment horizontal="left" vertical="center" wrapText="1" indent="1"/>
    </xf>
    <xf numFmtId="0" fontId="79" fillId="0" borderId="23" xfId="0" applyFont="1" applyBorder="1">
      <alignment horizontal="left" vertical="center" wrapText="1" indent="1"/>
    </xf>
    <xf numFmtId="0" fontId="73" fillId="0" borderId="0" xfId="0" applyFont="1">
      <alignment vertical="center"/>
    </xf>
    <xf numFmtId="0" fontId="23" fillId="0" borderId="0" xfId="0" applyFont="1">
      <alignment vertical="center"/>
    </xf>
    <xf numFmtId="0" fontId="36" fillId="0" borderId="0" xfId="0" applyFont="1">
      <alignment vertical="center"/>
    </xf>
    <xf numFmtId="0" fontId="50" fillId="0" borderId="0" xfId="0" applyFont="1">
      <alignment vertical="center"/>
    </xf>
    <xf numFmtId="0" fontId="23" fillId="0" borderId="15" xfId="0" applyFont="1" applyBorder="1">
      <alignment horizontal="center" vertical="center" wrapText="1"/>
    </xf>
    <xf numFmtId="0" fontId="23" fillId="0" borderId="14" xfId="0" applyFont="1" applyBorder="1">
      <alignment horizontal="center" vertical="center" wrapText="1"/>
    </xf>
    <xf numFmtId="0" fontId="0" fillId="0" borderId="13" xfId="0" applyFont="1" applyBorder="1">
      <alignment horizontal="center" vertical="center" wrapText="1"/>
    </xf>
    <xf numFmtId="0" fontId="55" fillId="0" borderId="0" xfId="0" applyFont="1">
      <alignment vertical="center"/>
    </xf>
    <xf numFmtId="0" fontId="23" fillId="0" borderId="13" xfId="0" applyFont="1" applyBorder="1">
      <alignment horizontal="center" vertical="center" wrapText="1"/>
    </xf>
    <xf numFmtId="0" fontId="23" fillId="0" borderId="13" xfId="0" applyFont="1" applyBorder="1">
      <alignment horizontal="center" vertical="center" wrapText="1"/>
    </xf>
    <xf numFmtId="0" fontId="23" fillId="0" borderId="13" xfId="0" applyFont="1" applyBorder="1">
      <alignment horizontal="center" vertical="center" wrapText="1"/>
    </xf>
    <xf numFmtId="0" fontId="56" fillId="0" borderId="0" xfId="0" applyFont="1">
      <alignment vertical="center"/>
    </xf>
    <xf numFmtId="0" fontId="56" fillId="0" borderId="0" xfId="0" applyFont="1">
      <alignment vertical="center"/>
    </xf>
    <xf numFmtId="49" fontId="56" fillId="36" borderId="0" xfId="0" applyFont="1" applyFill="1" applyNumberFormat="1">
      <alignment horizontal="center" vertical="center" wrapText="1"/>
    </xf>
    <xf numFmtId="49" fontId="56" fillId="36" borderId="29" xfId="0" applyFont="1" applyFill="1" applyBorder="1" applyNumberFormat="1">
      <alignment horizontal="center" vertical="center" wrapText="1"/>
    </xf>
    <xf numFmtId="0" fontId="46" fillId="0" borderId="0" xfId="0" applyFont="1">
      <alignment horizontal="center" vertical="center" wrapText="1"/>
    </xf>
    <xf numFmtId="0" fontId="56" fillId="0" borderId="13" xfId="0" applyFont="1" applyBorder="1">
      <alignment horizontal="center" vertical="center"/>
    </xf>
    <xf numFmtId="0" fontId="23" fillId="0" borderId="13" xfId="0" applyFont="1" applyBorder="1">
      <alignment horizontal="center" vertical="center" wrapText="1"/>
    </xf>
    <xf numFmtId="0" fontId="0" fillId="0" borderId="13" xfId="0" applyFont="1" applyBorder="1">
      <alignment horizontal="center" vertical="center"/>
    </xf>
    <xf numFmtId="49" fontId="23" fillId="0" borderId="13" xfId="0" applyFont="1" applyBorder="1" applyNumberFormat="1">
      <alignment horizontal="center" vertical="center" wrapText="1"/>
    </xf>
    <xf numFmtId="49" fontId="23" fillId="0" borderId="13" xfId="0" applyFont="1" applyBorder="1" applyNumberFormat="1">
      <alignment horizontal="center" vertical="center" wrapText="1"/>
    </xf>
    <xf numFmtId="49" fontId="0" fillId="0" borderId="13" xfId="0" applyFont="1" applyBorder="1" applyNumberFormat="1">
      <alignment horizontal="center" vertical="center"/>
    </xf>
    <xf numFmtId="49" fontId="0" fillId="0" borderId="13" xfId="0" applyFont="1" applyBorder="1" applyNumberFormat="1">
      <alignment horizontal="left" vertical="center"/>
    </xf>
    <xf numFmtId="49" fontId="23" fillId="0" borderId="13" xfId="0" applyFont="1" applyBorder="1" applyNumberFormat="1">
      <alignment horizontal="center" vertical="center" wrapText="1"/>
    </xf>
    <xf numFmtId="49" fontId="23" fillId="0" borderId="13" xfId="0" applyFont="1" applyBorder="1" applyNumberFormat="1">
      <alignment horizontal="center" vertical="center" wrapText="1"/>
    </xf>
    <xf numFmtId="49" fontId="0" fillId="0" borderId="13" xfId="0" applyFont="1" applyBorder="1" applyNumberFormat="1">
      <alignment horizontal="left" vertical="center"/>
    </xf>
    <xf numFmtId="0" fontId="0" fillId="0" borderId="0" xfId="0" applyFont="1">
      <alignment vertical="center"/>
    </xf>
    <xf numFmtId="0" fontId="0" fillId="0" borderId="0" xfId="0" applyFont="1">
      <alignment vertical="center"/>
    </xf>
    <xf numFmtId="49" fontId="0" fillId="0" borderId="0" xfId="0" applyFont="1" applyNumberFormat="1">
      <alignment vertical="center"/>
    </xf>
    <xf numFmtId="0" fontId="0" fillId="0" borderId="13" xfId="0" applyFont="1" applyBorder="1">
      <alignment horizontal="center" vertical="top"/>
    </xf>
    <xf numFmtId="0" fontId="23" fillId="0" borderId="13" xfId="0" applyFont="1" applyBorder="1">
      <alignment horizontal="left" vertical="top" wrapText="1"/>
    </xf>
    <xf numFmtId="0" fontId="23" fillId="42" borderId="18" xfId="0" applyFont="1" applyFill="1" applyBorder="1">
      <alignment horizontal="center" vertical="top" wrapText="1"/>
    </xf>
    <xf numFmtId="0" fontId="23" fillId="42" borderId="13" xfId="0" applyFont="1" applyFill="1" applyBorder="1">
      <alignment horizontal="left" vertical="top" wrapText="1"/>
    </xf>
    <xf numFmtId="0" fontId="0" fillId="0" borderId="38" xfId="0" applyFont="1" applyBorder="1">
      <alignment horizontal="center" vertical="center"/>
    </xf>
    <xf numFmtId="0" fontId="0" fillId="0" borderId="20" xfId="0" applyFont="1" applyBorder="1">
      <alignment horizontal="center" vertical="center"/>
    </xf>
    <xf numFmtId="49" fontId="23" fillId="0" borderId="20" xfId="0" applyFont="1" applyBorder="1" applyNumberFormat="1">
      <alignment horizontal="left" vertical="center" wrapText="1"/>
    </xf>
    <xf numFmtId="49" fontId="23" fillId="0" borderId="20" xfId="0" applyFont="1" applyBorder="1" applyNumberFormat="1">
      <alignment horizontal="center" vertical="center" wrapText="1"/>
    </xf>
    <xf numFmtId="49" fontId="23" fillId="0" borderId="20" xfId="0" applyFont="1" applyBorder="1" applyNumberFormat="1">
      <alignment horizontal="center" vertical="center" wrapText="1"/>
    </xf>
    <xf numFmtId="0" fontId="0" fillId="0" borderId="20" xfId="0" applyFont="1" applyBorder="1">
      <alignment horizontal="left" vertical="center" wrapText="1"/>
    </xf>
    <xf numFmtId="49" fontId="0" fillId="0" borderId="20" xfId="0" applyFont="1" applyBorder="1" applyNumberFormat="1">
      <alignment horizontal="left" vertical="center" wrapText="1"/>
    </xf>
    <xf numFmtId="49" fontId="23" fillId="0" borderId="20" xfId="0" applyFont="1" applyBorder="1" applyNumberFormat="1">
      <alignment horizontal="center" vertical="center" wrapText="1"/>
    </xf>
    <xf numFmtId="49" fontId="0" fillId="0" borderId="20" xfId="0" applyFont="1" applyBorder="1" applyNumberFormat="1">
      <alignment horizontal="left" vertical="center" wrapText="1"/>
    </xf>
    <xf numFmtId="49" fontId="23" fillId="0" borderId="21" xfId="0" applyFont="1" applyBorder="1" applyNumberFormat="1">
      <alignment horizontal="left" vertical="center" wrapText="1"/>
    </xf>
    <xf numFmtId="0" fontId="23" fillId="0" borderId="0" xfId="0" applyFont="1">
      <alignment horizontal="left" vertical="center" indent="1"/>
    </xf>
    <xf numFmtId="0" fontId="56" fillId="0" borderId="0" xfId="0" applyFont="1">
      <alignment horizontal="left" vertical="center" indent="1"/>
    </xf>
    <xf numFmtId="0" fontId="0" fillId="0" borderId="0" xfId="0" applyFont="1">
      <alignment vertical="center"/>
    </xf>
    <xf numFmtId="0" fontId="23" fillId="42" borderId="37" xfId="0" applyFont="1" applyFill="1" applyBorder="1">
      <alignment horizontal="center" vertical="top" wrapText="1"/>
    </xf>
    <xf numFmtId="0" fontId="0" fillId="0" borderId="23" xfId="0" applyFont="1" applyBorder="1">
      <alignment horizontal="center" vertical="center"/>
    </xf>
    <xf numFmtId="0" fontId="0" fillId="0" borderId="0" xfId="0" applyFont="1">
      <alignment horizontal="center" vertical="center"/>
    </xf>
    <xf numFmtId="49" fontId="23" fillId="0" borderId="0" xfId="0" applyFont="1" applyNumberFormat="1">
      <alignment horizontal="left" vertical="center" wrapText="1"/>
    </xf>
    <xf numFmtId="49" fontId="23" fillId="0" borderId="0" xfId="0" applyFont="1" applyNumberFormat="1">
      <alignment horizontal="center" vertical="center" wrapText="1"/>
    </xf>
    <xf numFmtId="49" fontId="23" fillId="0" borderId="0" xfId="0" applyFont="1" applyNumberFormat="1">
      <alignment horizontal="center" vertical="center" wrapText="1"/>
    </xf>
    <xf numFmtId="0" fontId="0" fillId="0" borderId="0" xfId="0" applyFont="1">
      <alignment horizontal="left" vertical="center" wrapText="1"/>
    </xf>
    <xf numFmtId="49" fontId="0" fillId="0" borderId="0" xfId="0" applyFont="1" applyNumberFormat="1">
      <alignment horizontal="left" vertical="center" wrapText="1"/>
    </xf>
    <xf numFmtId="0" fontId="49" fillId="0" borderId="0" xfId="0" applyFont="1">
      <alignment horizontal="left" vertical="center"/>
    </xf>
    <xf numFmtId="0" fontId="49" fillId="0" borderId="25" xfId="0" applyFont="1" applyBorder="1">
      <alignment horizontal="left" vertical="center"/>
    </xf>
    <xf numFmtId="0" fontId="23" fillId="0" borderId="0" xfId="0" applyFont="1">
      <alignment vertical="center"/>
    </xf>
    <xf numFmtId="0" fontId="0" fillId="0" borderId="0" xfId="0" applyFont="1">
      <alignment vertical="center"/>
    </xf>
    <xf numFmtId="49" fontId="0" fillId="0" borderId="0" xfId="0" applyFont="1" applyNumberFormat="1">
      <alignment horizontal="left" vertical="top"/>
    </xf>
    <xf numFmtId="49" fontId="23" fillId="0" borderId="0" xfId="0" applyFont="1" applyNumberFormat="1">
      <alignment horizontal="center" vertical="center" wrapText="1"/>
    </xf>
    <xf numFmtId="0" fontId="0" fillId="0" borderId="0" xfId="0" applyFont="1">
      <alignment vertical="center"/>
    </xf>
    <xf numFmtId="49" fontId="0" fillId="0" borderId="13" xfId="0" applyFont="1" applyBorder="1" applyNumberFormat="1">
      <alignment vertical="top"/>
    </xf>
    <xf numFmtId="49" fontId="0" fillId="0" borderId="13" xfId="0" applyFont="1" applyBorder="1" applyNumberFormat="1">
      <alignment horizontal="left" vertical="top"/>
    </xf>
    <xf numFmtId="0" fontId="23" fillId="42" borderId="24" xfId="0" applyFont="1" applyFill="1" applyBorder="1">
      <alignment horizontal="center" vertical="top" wrapText="1"/>
    </xf>
    <xf numFmtId="49" fontId="0" fillId="42" borderId="13" xfId="0" applyFont="1" applyFill="1" applyBorder="1" applyNumberFormat="1">
      <alignment horizontal="left" vertical="top"/>
    </xf>
    <xf numFmtId="0" fontId="49" fillId="0" borderId="28" xfId="0" applyFont="1" applyBorder="1">
      <alignment horizontal="left" vertical="center"/>
    </xf>
    <xf numFmtId="0" fontId="49" fillId="0" borderId="29" xfId="0" applyFont="1" applyBorder="1">
      <alignment horizontal="left" vertical="center"/>
    </xf>
    <xf numFmtId="0" fontId="0" fillId="0" borderId="29" xfId="0" applyFont="1" applyBorder="1">
      <alignment vertical="center"/>
    </xf>
    <xf numFmtId="0" fontId="49" fillId="0" borderId="31" xfId="0" applyFont="1" applyBorder="1">
      <alignment horizontal="left" vertical="center"/>
    </xf>
    <xf numFmtId="0" fontId="0" fillId="0" borderId="0" xfId="0" applyFont="1">
      <alignment vertical="center"/>
    </xf>
    <xf numFmtId="49" fontId="56" fillId="0" borderId="0" xfId="0" applyFont="1" applyNumberFormat="1">
      <alignment horizontal="left" vertical="center" indent="1"/>
    </xf>
    <xf numFmtId="0" fontId="0" fillId="0" borderId="0" xfId="0" applyFont="1">
      <alignment vertical="center"/>
    </xf>
    <xf numFmtId="0" fontId="0" fillId="0" borderId="0" xfId="0" applyFont="1">
      <alignment vertical="center"/>
    </xf>
    <xf numFmtId="0" fontId="0" fillId="0" borderId="18" xfId="0" applyFont="1" applyBorder="1">
      <alignment horizontal="center" vertical="top"/>
    </xf>
    <xf numFmtId="0" fontId="23" fillId="0" borderId="18" xfId="0" applyFont="1" applyBorder="1">
      <alignment horizontal="left" vertical="top" wrapText="1"/>
    </xf>
    <xf numFmtId="0" fontId="23" fillId="42" borderId="18" xfId="0" applyFont="1" applyFill="1" applyBorder="1">
      <alignment horizontal="left" vertical="top" wrapText="1"/>
    </xf>
    <xf numFmtId="0" fontId="0" fillId="0" borderId="37" xfId="0" applyFont="1" applyBorder="1">
      <alignment horizontal="center" vertical="top"/>
    </xf>
    <xf numFmtId="0" fontId="23" fillId="0" borderId="37" xfId="0" applyFont="1" applyBorder="1">
      <alignment horizontal="left" vertical="top" wrapText="1"/>
    </xf>
    <xf numFmtId="0" fontId="23" fillId="42" borderId="37" xfId="0" applyFont="1" applyFill="1" applyBorder="1">
      <alignment horizontal="left" vertical="top" wrapText="1"/>
    </xf>
    <xf numFmtId="0" fontId="0" fillId="0" borderId="24" xfId="0" applyFont="1" applyBorder="1">
      <alignment horizontal="center" vertical="top"/>
    </xf>
    <xf numFmtId="0" fontId="23" fillId="0" borderId="24" xfId="0" applyFont="1" applyBorder="1">
      <alignment horizontal="left" vertical="top" wrapText="1"/>
    </xf>
    <xf numFmtId="0" fontId="23" fillId="42" borderId="24" xfId="0" applyFont="1" applyFill="1" applyBorder="1">
      <alignment horizontal="left" vertical="top" wrapText="1"/>
    </xf>
    <xf numFmtId="49" fontId="23" fillId="0" borderId="20" xfId="0" applyFont="1" applyBorder="1" applyNumberFormat="1">
      <alignment horizontal="center" vertical="center" wrapText="1"/>
    </xf>
    <xf numFmtId="49" fontId="0" fillId="0" borderId="20" xfId="0" applyFont="1" applyBorder="1" applyNumberFormat="1">
      <alignment horizontal="left" vertical="center" wrapText="1"/>
    </xf>
    <xf numFmtId="49" fontId="23" fillId="0" borderId="0" xfId="0" applyFont="1" applyNumberFormat="1">
      <alignment horizontal="center" vertical="center" wrapText="1"/>
    </xf>
    <xf numFmtId="0" fontId="0" fillId="0" borderId="0" xfId="0" applyFont="1">
      <alignment horizontal="left" vertical="top" wrapText="1"/>
    </xf>
    <xf numFmtId="0" fontId="0" fillId="0" borderId="0" xfId="0" applyFont="1" quotePrefix="1">
      <alignment horizontal="left" vertical="top" wrapText="1" indent="1"/>
    </xf>
    <xf numFmtId="0" fontId="0" fillId="0" borderId="0" xfId="0" applyFont="1">
      <alignment horizontal="left" vertical="top" wrapText="1" indent="1"/>
    </xf>
    <xf numFmtId="0" fontId="0" fillId="0" borderId="0" xfId="0" applyFont="1">
      <alignment horizontal="left" vertical="top" wrapText="1"/>
    </xf>
    <xf numFmtId="0" fontId="0" fillId="0" borderId="0" xfId="0" applyFont="1">
      <alignment horizontal="left" vertical="top" wrapText="1"/>
    </xf>
    <xf numFmtId="0" fontId="0" fillId="0" borderId="0" xfId="0" applyFont="1">
      <alignment vertical="top" wrapText="1"/>
    </xf>
    <xf numFmtId="0" fontId="0" fillId="0" borderId="0" xfId="0" applyFont="1">
      <alignment vertical="center"/>
    </xf>
    <xf numFmtId="0" fontId="0" fillId="0" borderId="0" xfId="0" applyFont="1">
      <alignment vertical="center"/>
    </xf>
    <xf numFmtId="49" fontId="23" fillId="0" borderId="20" xfId="0" applyFont="1" applyBorder="1" applyNumberFormat="1">
      <alignment horizontal="center" vertical="center" wrapText="1"/>
    </xf>
    <xf numFmtId="49" fontId="0" fillId="0" borderId="20" xfId="0" applyFont="1" applyBorder="1" applyNumberFormat="1">
      <alignment horizontal="left" vertical="center" wrapText="1"/>
    </xf>
    <xf numFmtId="49" fontId="23" fillId="0" borderId="0" xfId="0" applyFont="1" applyNumberFormat="1">
      <alignment horizontal="center" vertical="center" wrapText="1"/>
    </xf>
    <xf numFmtId="0" fontId="0" fillId="0" borderId="0" xfId="0" applyFont="1">
      <alignment vertical="center"/>
    </xf>
    <xf numFmtId="0" fontId="0" fillId="0" borderId="0" xfId="0" applyFont="1">
      <alignment vertical="center"/>
    </xf>
    <xf numFmtId="0" fontId="56" fillId="0" borderId="0" xfId="0" applyFont="1">
      <alignment vertical="center"/>
    </xf>
    <xf numFmtId="0" fontId="0" fillId="0" borderId="0" xfId="0" applyFont="1">
      <alignment vertical="center"/>
    </xf>
    <xf numFmtId="0" fontId="0" fillId="0" borderId="0" xfId="0" applyFont="1">
      <alignment vertical="center"/>
    </xf>
    <xf numFmtId="0" fontId="23" fillId="0" borderId="0" xfId="0" applyFont="1">
      <alignment vertical="center"/>
    </xf>
    <xf numFmtId="49" fontId="56" fillId="0" borderId="0" xfId="0" applyFont="1" applyNumberFormat="1">
      <alignment vertical="top"/>
    </xf>
    <xf numFmtId="49" fontId="56" fillId="0" borderId="0" xfId="0" applyFont="1" applyNumberFormat="1">
      <alignment horizontal="center" vertical="center"/>
    </xf>
    <xf numFmtId="49" fontId="56" fillId="0" borderId="0" xfId="0" applyFont="1" applyNumberFormat="1">
      <alignment horizontal="center" vertical="center"/>
    </xf>
    <xf numFmtId="49" fontId="55" fillId="0" borderId="0" xfId="0" applyFont="1" applyNumberFormat="1">
      <alignment horizontal="center" vertical="center"/>
    </xf>
    <xf numFmtId="49" fontId="73" fillId="0" borderId="0" xfId="0" applyFont="1" applyNumberFormat="1">
      <alignment vertical="top"/>
    </xf>
    <xf numFmtId="49" fontId="0" fillId="0" borderId="0" xfId="0" applyFont="1" applyNumberFormat="1">
      <alignment vertical="top"/>
    </xf>
    <xf numFmtId="49" fontId="41" fillId="0" borderId="0" xfId="0" applyFont="1" applyNumberFormat="1">
      <alignment vertical="top"/>
    </xf>
    <xf numFmtId="0" fontId="41" fillId="0" borderId="0" xfId="0" applyFont="1">
      <alignment vertical="center" wrapText="1"/>
    </xf>
    <xf numFmtId="0" fontId="23" fillId="0" borderId="0" xfId="0" applyFont="1">
      <alignment vertical="center" wrapText="1"/>
    </xf>
    <xf numFmtId="0" fontId="46" fillId="0" borderId="0" xfId="0" applyFont="1">
      <alignment horizontal="center" vertical="center" wrapText="1"/>
    </xf>
    <xf numFmtId="0" fontId="22" fillId="0" borderId="20" xfId="0" applyFont="1" applyBorder="1">
      <alignment horizontal="left" vertical="center" wrapText="1" indent="1"/>
    </xf>
    <xf numFmtId="0" fontId="22" fillId="0" borderId="0" xfId="0" applyFont="1">
      <alignment horizontal="left" vertical="center" wrapText="1" indent="1"/>
    </xf>
    <xf numFmtId="0" fontId="51" fillId="0" borderId="0" xfId="0" applyFont="1">
      <alignment vertical="center"/>
    </xf>
    <xf numFmtId="0" fontId="120" fillId="0" borderId="0" xfId="0" applyFont="1">
      <alignment vertical="center" wrapText="1"/>
    </xf>
    <xf numFmtId="0" fontId="121" fillId="0" borderId="0" xfId="0" applyFont="1">
      <alignment vertical="center" wrapText="1"/>
    </xf>
    <xf numFmtId="0" fontId="51" fillId="0" borderId="0" xfId="0" applyFont="1">
      <alignment vertical="center" wrapText="1"/>
    </xf>
    <xf numFmtId="0" fontId="41" fillId="0" borderId="0" xfId="0" applyFont="1">
      <alignment vertical="center" wrapText="1"/>
    </xf>
    <xf numFmtId="0" fontId="23" fillId="0" borderId="0" xfId="0" applyFont="1">
      <alignment vertical="center" wrapText="1"/>
    </xf>
    <xf numFmtId="0" fontId="22" fillId="0" borderId="29" xfId="0" applyFont="1" applyBorder="1">
      <alignment horizontal="left" vertical="center" wrapText="1" indent="1"/>
    </xf>
    <xf numFmtId="0" fontId="23" fillId="0" borderId="38" xfId="0" applyFont="1" applyBorder="1">
      <alignment horizontal="center" vertical="center" wrapText="1"/>
    </xf>
    <xf numFmtId="0" fontId="23" fillId="0" borderId="21" xfId="0" applyFont="1" applyBorder="1">
      <alignment horizontal="center" vertical="center" wrapText="1"/>
    </xf>
    <xf numFmtId="0" fontId="23" fillId="0" borderId="37" xfId="0" applyFont="1" applyBorder="1">
      <alignment horizontal="center" vertical="center" wrapText="1"/>
    </xf>
    <xf numFmtId="0" fontId="23" fillId="0" borderId="18" xfId="0" applyFont="1" applyBorder="1">
      <alignment horizontal="center" vertical="center" wrapText="1"/>
    </xf>
    <xf numFmtId="0" fontId="23" fillId="0" borderId="38" xfId="0" applyFont="1" applyBorder="1">
      <alignment horizontal="center" vertical="center" wrapText="1"/>
    </xf>
    <xf numFmtId="0" fontId="23" fillId="0" borderId="15" xfId="0" applyFont="1" applyBorder="1">
      <alignment horizontal="center" vertical="center" wrapText="1"/>
    </xf>
    <xf numFmtId="0" fontId="23" fillId="0" borderId="16" xfId="0" applyFont="1" applyBorder="1">
      <alignment horizontal="center" vertical="center" wrapText="1"/>
    </xf>
    <xf numFmtId="0" fontId="23" fillId="0" borderId="13" xfId="0" applyFont="1" applyBorder="1">
      <alignment horizontal="center" vertical="center" wrapText="1"/>
    </xf>
    <xf numFmtId="0" fontId="23" fillId="0" borderId="18" xfId="0" applyFont="1" applyBorder="1">
      <alignment horizontal="center" vertical="center" wrapText="1"/>
    </xf>
    <xf numFmtId="0" fontId="23" fillId="0" borderId="18" xfId="0" applyFont="1" applyBorder="1">
      <alignment horizontal="center" vertical="center" wrapText="1"/>
    </xf>
    <xf numFmtId="0" fontId="23" fillId="0" borderId="23" xfId="0" applyFont="1" applyBorder="1">
      <alignment horizontal="center" vertical="center" wrapText="1"/>
    </xf>
    <xf numFmtId="0" fontId="23" fillId="0" borderId="25" xfId="0" applyFont="1" applyBorder="1">
      <alignment horizontal="center" vertical="center" wrapText="1"/>
    </xf>
    <xf numFmtId="0" fontId="23" fillId="0" borderId="23" xfId="0" applyFont="1" applyBorder="1">
      <alignment horizontal="center" vertical="center" wrapText="1"/>
    </xf>
    <xf numFmtId="0" fontId="23" fillId="0" borderId="37" xfId="0" applyFont="1" applyBorder="1">
      <alignment horizontal="center" vertical="center" wrapText="1"/>
    </xf>
    <xf numFmtId="0" fontId="23" fillId="0" borderId="28" xfId="0" applyFont="1" applyBorder="1">
      <alignment horizontal="center" vertical="center" wrapText="1"/>
    </xf>
    <xf numFmtId="0" fontId="23" fillId="0" borderId="31" xfId="0" applyFont="1" applyBorder="1">
      <alignment horizontal="center" vertical="center" wrapText="1"/>
    </xf>
    <xf numFmtId="0" fontId="23" fillId="0" borderId="18" xfId="0" applyFont="1" applyBorder="1">
      <alignment horizontal="center" vertical="center" wrapText="1"/>
    </xf>
    <xf numFmtId="0" fontId="23" fillId="0" borderId="38" xfId="0" applyFont="1" applyBorder="1">
      <alignment horizontal="center" vertical="center" wrapText="1"/>
    </xf>
    <xf numFmtId="49" fontId="23" fillId="0" borderId="0" xfId="0" applyFont="1" applyNumberFormat="1">
      <alignment vertical="top"/>
    </xf>
    <xf numFmtId="49" fontId="23" fillId="0" borderId="13" xfId="0" applyFont="1" applyBorder="1" applyNumberFormat="1">
      <alignment horizontal="center" vertical="center"/>
    </xf>
    <xf numFmtId="0" fontId="23" fillId="0" borderId="13" xfId="0" applyFont="1" applyBorder="1">
      <alignment horizontal="left" vertical="center" wrapText="1"/>
    </xf>
    <xf numFmtId="0" fontId="23" fillId="0" borderId="13" xfId="0" applyFont="1" applyBorder="1">
      <alignment horizontal="left" vertical="center" wrapText="1"/>
    </xf>
    <xf numFmtId="49" fontId="23" fillId="42" borderId="18" xfId="0" applyFont="1" applyFill="1" applyBorder="1" applyNumberFormat="1">
      <alignment horizontal="center" vertical="center" wrapText="1"/>
    </xf>
    <xf numFmtId="49" fontId="23" fillId="0" borderId="38" xfId="0" applyFont="1" applyBorder="1" applyNumberFormat="1">
      <alignment vertical="center" wrapText="1"/>
    </xf>
    <xf numFmtId="0" fontId="23" fillId="0" borderId="20" xfId="0" applyFont="1" applyBorder="1">
      <alignment horizontal="center" vertical="center"/>
    </xf>
    <xf numFmtId="49" fontId="23" fillId="0" borderId="20" xfId="0" applyFont="1" applyBorder="1" applyNumberFormat="1">
      <alignment horizontal="left" vertical="center" wrapText="1"/>
    </xf>
    <xf numFmtId="49" fontId="23" fillId="0" borderId="20" xfId="0" applyFont="1" applyBorder="1" applyNumberFormat="1">
      <alignment vertical="center" wrapText="1"/>
    </xf>
    <xf numFmtId="49" fontId="23" fillId="0" borderId="20" xfId="0" applyFont="1" applyBorder="1" applyNumberFormat="1">
      <alignment horizontal="left" vertical="center" wrapText="1"/>
    </xf>
    <xf numFmtId="49" fontId="23" fillId="0" borderId="20" xfId="0" applyFont="1" applyBorder="1" applyNumberFormat="1">
      <alignment horizontal="left" vertical="center" wrapText="1"/>
    </xf>
    <xf numFmtId="49" fontId="46" fillId="0" borderId="20" xfId="0" applyFont="1" applyBorder="1" applyNumberFormat="1">
      <alignment vertical="center" wrapText="1"/>
    </xf>
    <xf numFmtId="49" fontId="23" fillId="0" borderId="20" xfId="0" applyFont="1" applyBorder="1" applyNumberFormat="1">
      <alignment horizontal="left" vertical="center" wrapText="1"/>
    </xf>
    <xf numFmtId="49" fontId="23" fillId="0" borderId="20" xfId="0" applyFont="1" applyBorder="1" applyNumberFormat="1">
      <alignment horizontal="center" vertical="center" wrapText="1"/>
    </xf>
    <xf numFmtId="0" fontId="23" fillId="0" borderId="20" xfId="0" applyFont="1" applyBorder="1">
      <alignment horizontal="left" vertical="center" wrapText="1"/>
    </xf>
    <xf numFmtId="49" fontId="23" fillId="0" borderId="20" xfId="0" applyFont="1" applyBorder="1" applyNumberFormat="1">
      <alignment horizontal="center" vertical="center" wrapText="1"/>
    </xf>
    <xf numFmtId="49" fontId="23" fillId="0" borderId="20" xfId="0" applyFont="1" applyBorder="1" applyNumberFormat="1">
      <alignment vertical="center" wrapText="1"/>
    </xf>
    <xf numFmtId="49" fontId="23" fillId="42" borderId="37" xfId="0" applyFont="1" applyFill="1" applyBorder="1" applyNumberFormat="1">
      <alignment horizontal="center" vertical="center" wrapText="1"/>
    </xf>
    <xf numFmtId="49" fontId="23" fillId="0" borderId="23" xfId="0" applyFont="1" applyBorder="1" applyNumberFormat="1">
      <alignment vertical="center" wrapText="1"/>
    </xf>
    <xf numFmtId="0" fontId="23" fillId="0" borderId="0" xfId="0" applyFont="1">
      <alignment horizontal="center" vertical="center"/>
    </xf>
    <xf numFmtId="0" fontId="23" fillId="0" borderId="0" xfId="0" applyFont="1">
      <alignment horizontal="left" vertical="center" wrapText="1"/>
    </xf>
    <xf numFmtId="49" fontId="23" fillId="0" borderId="0" xfId="0" applyFont="1" applyNumberFormat="1">
      <alignment vertical="center" wrapText="1"/>
    </xf>
    <xf numFmtId="49" fontId="23" fillId="0" borderId="0" xfId="0" applyFont="1" applyNumberFormat="1">
      <alignment horizontal="left" vertical="center" wrapText="1"/>
    </xf>
    <xf numFmtId="49" fontId="23" fillId="0" borderId="0" xfId="0" applyFont="1" applyNumberFormat="1">
      <alignment horizontal="left" vertical="center" wrapText="1"/>
    </xf>
    <xf numFmtId="49" fontId="46" fillId="0" borderId="0" xfId="0" applyFont="1" applyNumberFormat="1">
      <alignment vertical="center" wrapText="1"/>
    </xf>
    <xf numFmtId="49" fontId="23" fillId="0" borderId="0" xfId="0" applyFont="1" applyNumberFormat="1">
      <alignment horizontal="left" vertical="center" wrapText="1"/>
    </xf>
    <xf numFmtId="49" fontId="23" fillId="0" borderId="0" xfId="0" applyFont="1" applyNumberFormat="1">
      <alignment horizontal="center" vertical="center" wrapText="1"/>
    </xf>
    <xf numFmtId="0" fontId="23" fillId="0" borderId="0" xfId="0" applyFont="1">
      <alignment horizontal="left" vertical="center" wrapText="1"/>
    </xf>
    <xf numFmtId="0" fontId="49" fillId="0" borderId="0" xfId="0" applyFont="1">
      <alignment horizontal="left" vertical="center"/>
    </xf>
    <xf numFmtId="0" fontId="49" fillId="0" borderId="0" xfId="0" applyFont="1">
      <alignment horizontal="left" vertical="center"/>
    </xf>
    <xf numFmtId="0" fontId="49" fillId="0" borderId="25" xfId="0" applyFont="1" applyBorder="1">
      <alignment horizontal="left" vertical="center"/>
    </xf>
    <xf numFmtId="49" fontId="23" fillId="0" borderId="0" xfId="0" applyFont="1" applyNumberFormat="1">
      <alignment horizontal="center" vertical="center" wrapText="1"/>
    </xf>
    <xf numFmtId="49" fontId="46" fillId="0" borderId="0" xfId="0" applyFont="1" applyNumberFormat="1">
      <alignment horizontal="center" vertical="center" wrapText="1"/>
    </xf>
    <xf numFmtId="0" fontId="49" fillId="0" borderId="0" xfId="0" applyFont="1">
      <alignment vertical="center"/>
    </xf>
    <xf numFmtId="0" fontId="49" fillId="0" borderId="23" xfId="0" applyFont="1" applyBorder="1">
      <alignment horizontal="left" vertical="center"/>
    </xf>
    <xf numFmtId="49" fontId="23" fillId="0" borderId="18" xfId="0" applyFont="1" applyBorder="1" applyNumberFormat="1">
      <alignment horizontal="center" vertical="center"/>
    </xf>
    <xf numFmtId="0" fontId="23" fillId="0" borderId="18" xfId="0" applyFont="1" applyBorder="1">
      <alignment horizontal="left" vertical="center" wrapText="1"/>
    </xf>
    <xf numFmtId="0" fontId="23" fillId="0" borderId="38" xfId="0" applyFont="1" applyBorder="1">
      <alignment horizontal="left" vertical="center" wrapText="1"/>
    </xf>
    <xf numFmtId="49" fontId="73" fillId="0" borderId="28" xfId="0" applyFont="1" applyBorder="1" applyNumberFormat="1">
      <alignment vertical="top"/>
    </xf>
    <xf numFmtId="49" fontId="73" fillId="0" borderId="29" xfId="0" applyFont="1" applyBorder="1" applyNumberFormat="1">
      <alignment vertical="top"/>
    </xf>
    <xf numFmtId="0" fontId="49" fillId="0" borderId="29" xfId="0" applyFont="1" applyBorder="1">
      <alignment horizontal="left" vertical="center"/>
    </xf>
    <xf numFmtId="0" fontId="49" fillId="0" borderId="31" xfId="0" applyFont="1" applyBorder="1">
      <alignment horizontal="left" vertical="center"/>
    </xf>
    <xf numFmtId="0" fontId="23" fillId="0" borderId="0" xfId="0" applyFont="1">
      <alignment horizontal="left" vertical="center" wrapText="1"/>
    </xf>
    <xf numFmtId="0" fontId="23" fillId="0" borderId="15" xfId="0" applyFont="1" applyBorder="1">
      <alignment horizontal="left" vertical="center" wrapText="1"/>
    </xf>
    <xf numFmtId="49" fontId="0" fillId="0" borderId="0" xfId="0" applyFont="1" applyNumberFormat="1">
      <alignment vertical="top"/>
    </xf>
    <xf numFmtId="49" fontId="0" fillId="0" borderId="0" xfId="0" applyFont="1" applyNumberFormat="1">
      <alignment vertical="top"/>
    </xf>
    <xf numFmtId="49" fontId="41" fillId="0" borderId="0" xfId="0" applyFont="1" applyNumberFormat="1">
      <alignment vertical="top"/>
    </xf>
    <xf numFmtId="0" fontId="23" fillId="36" borderId="0" xfId="0" applyFont="1" applyFill="1"/>
    <xf numFmtId="0" fontId="67" fillId="36" borderId="0" xfId="0" applyFont="1" applyFill="1"/>
    <xf numFmtId="0" fontId="56" fillId="36" borderId="0" xfId="0" applyFont="1" applyFill="1"/>
    <xf numFmtId="0" fontId="67" fillId="36" borderId="0" xfId="0" applyFont="1" applyFill="1">
      <alignment horizontal="center"/>
    </xf>
    <xf numFmtId="0" fontId="23" fillId="0" borderId="21" xfId="0" applyFont="1" applyBorder="1">
      <alignment horizontal="left" vertical="center" wrapText="1" indent="1"/>
    </xf>
    <xf numFmtId="0" fontId="23" fillId="0" borderId="18" xfId="0" applyFont="1" applyBorder="1">
      <alignment horizontal="left" vertical="center" wrapText="1" indent="1"/>
    </xf>
    <xf numFmtId="0" fontId="23" fillId="0" borderId="38" xfId="0" applyFont="1" applyBorder="1">
      <alignment horizontal="left" vertical="center" wrapText="1" indent="1"/>
    </xf>
    <xf numFmtId="0" fontId="96" fillId="0" borderId="0" xfId="0" applyFont="1">
      <alignment vertical="center"/>
    </xf>
    <xf numFmtId="0" fontId="23" fillId="0" borderId="29" xfId="0" applyFont="1" applyBorder="1">
      <alignment horizontal="left" vertical="center" wrapText="1" indent="1"/>
    </xf>
    <xf numFmtId="0" fontId="95" fillId="0" borderId="0" xfId="0" applyFont="1">
      <alignment vertical="center"/>
    </xf>
    <xf numFmtId="0" fontId="76" fillId="36" borderId="0" xfId="0" applyFont="1" applyFill="1">
      <alignment horizontal="right" vertical="center"/>
    </xf>
    <xf numFmtId="0" fontId="23" fillId="36" borderId="0" xfId="0" applyFont="1" applyFill="1">
      <alignment vertical="center" wrapText="1"/>
    </xf>
    <xf numFmtId="0" fontId="56" fillId="36" borderId="0" xfId="0" applyFont="1" applyFill="1">
      <alignment vertical="center" wrapText="1"/>
    </xf>
    <xf numFmtId="0" fontId="23" fillId="36" borderId="0" xfId="0" applyFont="1" applyFill="1">
      <alignment horizontal="center" vertical="center" wrapText="1"/>
    </xf>
    <xf numFmtId="0" fontId="99" fillId="36" borderId="0" xfId="0" applyFont="1" applyFill="1">
      <alignment horizontal="left" vertical="center" wrapText="1"/>
    </xf>
    <xf numFmtId="49" fontId="0" fillId="36" borderId="13" xfId="0" applyFont="1" applyFill="1" applyBorder="1" applyNumberFormat="1">
      <alignment horizontal="center" vertical="center" wrapText="1"/>
    </xf>
    <xf numFmtId="49" fontId="23" fillId="36" borderId="13" xfId="0" applyFont="1" applyFill="1" applyBorder="1" applyNumberFormat="1">
      <alignment horizontal="center" vertical="center" wrapText="1"/>
    </xf>
    <xf numFmtId="0" fontId="0" fillId="36" borderId="13" xfId="0" applyFont="1" applyFill="1" applyBorder="1">
      <alignment horizontal="center" vertical="center" wrapText="1"/>
    </xf>
    <xf numFmtId="49" fontId="23" fillId="36" borderId="13" xfId="0" applyFont="1" applyFill="1" applyBorder="1" applyNumberFormat="1">
      <alignment horizontal="center" vertical="center" wrapText="1"/>
    </xf>
    <xf numFmtId="0" fontId="0" fillId="36" borderId="13" xfId="0" applyFont="1" applyFill="1" applyBorder="1">
      <alignment horizontal="center" vertical="center" wrapText="1"/>
    </xf>
    <xf numFmtId="0" fontId="23" fillId="36" borderId="13" xfId="0" applyFont="1" applyFill="1" applyBorder="1">
      <alignment horizontal="center" vertical="center" wrapText="1"/>
    </xf>
    <xf numFmtId="0" fontId="45" fillId="36" borderId="0" xfId="0" applyFont="1" applyFill="1">
      <alignment horizontal="center" vertical="center"/>
    </xf>
    <xf numFmtId="49" fontId="56" fillId="0" borderId="13" xfId="0" applyFont="1" applyBorder="1" applyNumberFormat="1">
      <alignment horizontal="center" vertical="center"/>
    </xf>
    <xf numFmtId="0" fontId="56" fillId="0" borderId="13" xfId="0" applyFont="1" applyBorder="1">
      <alignment vertical="center" wrapText="1"/>
    </xf>
    <xf numFmtId="0" fontId="56" fillId="0" borderId="13" xfId="0" applyFont="1" applyBorder="1">
      <alignment horizontal="left" vertical="center" wrapText="1"/>
    </xf>
    <xf numFmtId="0" fontId="71" fillId="36" borderId="0" xfId="0" applyFont="1" applyFill="1"/>
    <xf numFmtId="49" fontId="0" fillId="36" borderId="13" xfId="0" applyFont="1" applyFill="1" applyBorder="1" applyNumberFormat="1">
      <alignment horizontal="center" vertical="center"/>
    </xf>
    <xf numFmtId="0" fontId="0" fillId="36" borderId="13" xfId="0" applyFont="1" applyFill="1" applyBorder="1">
      <alignment vertical="center" wrapText="1"/>
    </xf>
    <xf numFmtId="0" fontId="0" fillId="0" borderId="13" xfId="0" applyFont="1" applyBorder="1">
      <alignment horizontal="center" vertical="center" wrapText="1"/>
    </xf>
    <xf numFmtId="0" fontId="23" fillId="36" borderId="13" xfId="0" applyFont="1" applyFill="1" applyBorder="1">
      <alignment vertical="center" wrapText="1"/>
    </xf>
    <xf numFmtId="0" fontId="0" fillId="36" borderId="13" xfId="0" applyFont="1" applyFill="1" applyBorder="1">
      <alignment horizontal="left" vertical="center" wrapText="1" indent="1"/>
    </xf>
    <xf numFmtId="49" fontId="0" fillId="41" borderId="13" xfId="0" applyFont="1" applyFill="1" applyBorder="1" applyNumberFormat="1">
      <alignment horizontal="left" vertical="center" wrapText="1"/>
      <protection locked="0"/>
    </xf>
    <xf numFmtId="0" fontId="56" fillId="0" borderId="13" xfId="0" applyFont="1" applyBorder="1">
      <alignment horizontal="left" vertical="center" wrapText="1" indent="1"/>
    </xf>
    <xf numFmtId="0" fontId="23" fillId="36" borderId="0" xfId="0" applyFont="1" applyFill="1">
      <alignment horizontal="center" vertical="center" wrapText="1"/>
    </xf>
    <xf numFmtId="0" fontId="23" fillId="36" borderId="25" xfId="0" applyFont="1" applyFill="1" applyBorder="1">
      <alignment horizontal="center" vertical="center" wrapText="1"/>
    </xf>
    <xf numFmtId="0" fontId="0" fillId="36" borderId="13" xfId="0" applyFont="1" applyFill="1" applyBorder="1">
      <alignment horizontal="center" vertical="center"/>
    </xf>
    <xf numFmtId="0" fontId="96" fillId="0" borderId="0" xfId="0" applyFont="1">
      <alignment vertical="center" wrapText="1"/>
    </xf>
    <xf numFmtId="0" fontId="0" fillId="36" borderId="13" xfId="0" applyFont="1" applyFill="1" applyBorder="1">
      <alignment horizontal="left" vertical="center" wrapText="1" indent="2"/>
    </xf>
    <xf numFmtId="49" fontId="0" fillId="0" borderId="13" xfId="0" applyFont="1" applyBorder="1" applyNumberFormat="1">
      <alignment horizontal="left" vertical="center" wrapText="1"/>
    </xf>
    <xf numFmtId="0" fontId="56" fillId="36" borderId="0" xfId="0" applyFont="1" applyFill="1"/>
    <xf numFmtId="49" fontId="56" fillId="36" borderId="13" xfId="0" applyFont="1" applyFill="1" applyBorder="1" applyNumberFormat="1">
      <alignment horizontal="center" vertical="center"/>
    </xf>
    <xf numFmtId="0" fontId="56" fillId="36" borderId="13" xfId="0" applyFont="1" applyFill="1" applyBorder="1">
      <alignment vertical="center" wrapText="1"/>
    </xf>
    <xf numFmtId="0" fontId="56" fillId="0" borderId="13" xfId="0" applyFont="1" applyBorder="1">
      <alignment horizontal="center" vertical="center" wrapText="1"/>
    </xf>
    <xf numFmtId="0" fontId="56" fillId="36" borderId="13" xfId="0" applyFont="1" applyFill="1" applyBorder="1">
      <alignment horizontal="left" vertical="center" wrapText="1" indent="1"/>
    </xf>
    <xf numFmtId="0" fontId="56" fillId="36" borderId="13" xfId="0" applyFont="1" applyFill="1" applyBorder="1">
      <alignment horizontal="left" vertical="center" wrapText="1" indent="2"/>
    </xf>
    <xf numFmtId="49" fontId="56" fillId="0" borderId="13" xfId="0" applyFont="1" applyBorder="1" applyNumberFormat="1">
      <alignment horizontal="left" vertical="center" wrapText="1"/>
    </xf>
    <xf numFmtId="49" fontId="131" fillId="0" borderId="13" xfId="0" applyFont="1" applyBorder="1" applyNumberFormat="1">
      <alignment horizontal="left" vertical="center" wrapText="1"/>
    </xf>
    <xf numFmtId="0" fontId="0" fillId="36" borderId="13" xfId="0" applyFont="1" applyFill="1" applyBorder="1">
      <alignment horizontal="left" vertical="center" wrapText="1"/>
    </xf>
    <xf numFmtId="49" fontId="0" fillId="33" borderId="13" xfId="0" applyFont="1" applyFill="1" applyBorder="1" applyNumberFormat="1">
      <alignment horizontal="left" vertical="center" wrapText="1"/>
      <protection locked="0"/>
    </xf>
    <xf numFmtId="0" fontId="0" fillId="36" borderId="18" xfId="0" applyFont="1" applyFill="1" applyBorder="1">
      <alignment horizontal="left" vertical="center" wrapText="1"/>
    </xf>
    <xf numFmtId="0" fontId="23" fillId="36" borderId="18" xfId="0" applyFont="1" applyFill="1" applyBorder="1">
      <alignment horizontal="left" vertical="top" wrapText="1"/>
    </xf>
    <xf numFmtId="49" fontId="0" fillId="0" borderId="13" xfId="0" applyFont="1" applyBorder="1" applyNumberFormat="1">
      <alignment horizontal="left" vertical="center" wrapText="1" indent="1"/>
    </xf>
    <xf numFmtId="0" fontId="23" fillId="36" borderId="37" xfId="0" applyFont="1" applyFill="1" applyBorder="1">
      <alignment horizontal="left" vertical="top" wrapText="1"/>
    </xf>
    <xf numFmtId="0" fontId="46" fillId="36" borderId="0" xfId="0" applyFont="1" applyFill="1">
      <alignment horizontal="center" vertical="center" wrapText="1"/>
    </xf>
    <xf numFmtId="49" fontId="0" fillId="41" borderId="13" xfId="0" applyFont="1" applyFill="1" applyBorder="1" applyNumberFormat="1">
      <alignment horizontal="left" vertical="center" wrapText="1" indent="1"/>
      <protection locked="0"/>
    </xf>
    <xf numFmtId="49" fontId="23" fillId="41" borderId="15" xfId="0" applyFont="1" applyFill="1" applyBorder="1" applyNumberFormat="1">
      <alignment horizontal="left" vertical="center" wrapText="1"/>
      <protection locked="0"/>
    </xf>
    <xf numFmtId="0" fontId="23" fillId="40" borderId="15" xfId="0" applyFont="1" applyFill="1" applyBorder="1">
      <alignment horizontal="center"/>
    </xf>
    <xf numFmtId="0" fontId="76" fillId="40" borderId="14" xfId="0" applyFont="1" applyFill="1" applyBorder="1">
      <alignment horizontal="left" vertical="center"/>
    </xf>
    <xf numFmtId="0" fontId="23" fillId="36" borderId="24" xfId="0" applyFont="1" applyFill="1" applyBorder="1">
      <alignment horizontal="left" vertical="top" wrapText="1"/>
    </xf>
    <xf numFmtId="0" fontId="59" fillId="36" borderId="0" xfId="0" applyFont="1" applyFill="1"/>
    <xf numFmtId="49" fontId="129" fillId="41" borderId="13" xfId="0" applyFont="1" applyFill="1" applyBorder="1" applyNumberFormat="1" quotePrefix="1">
      <alignment horizontal="left" vertical="center" wrapText="1"/>
      <protection locked="0"/>
    </xf>
    <xf numFmtId="49" fontId="129" fillId="33" borderId="13" xfId="0" applyFont="1" applyFill="1" applyBorder="1" applyNumberFormat="1">
      <alignment horizontal="left" vertical="center" wrapText="1"/>
      <protection locked="0"/>
    </xf>
    <xf numFmtId="49" fontId="23" fillId="42" borderId="13" xfId="0" applyFont="1" applyFill="1" applyBorder="1" applyNumberFormat="1">
      <alignment horizontal="left" vertical="center" wrapText="1"/>
    </xf>
    <xf numFmtId="49" fontId="23" fillId="36" borderId="0" xfId="0" applyFont="1" applyFill="1" applyNumberFormat="1">
      <alignment horizontal="center" vertical="center" wrapText="1"/>
    </xf>
    <xf numFmtId="0" fontId="23" fillId="36" borderId="25" xfId="0" applyFont="1" applyFill="1" applyBorder="1">
      <alignment vertical="center" wrapText="1"/>
    </xf>
    <xf numFmtId="49" fontId="23" fillId="42" borderId="13" xfId="0" applyFont="1" applyFill="1" applyBorder="1" applyNumberFormat="1">
      <alignment horizontal="left" vertical="center" wrapText="1"/>
    </xf>
    <xf numFmtId="0" fontId="0" fillId="36" borderId="15" xfId="0" applyFont="1" applyFill="1" applyBorder="1">
      <alignment horizontal="left" vertical="center" wrapText="1" indent="1"/>
    </xf>
    <xf numFmtId="49" fontId="23" fillId="42" borderId="15" xfId="0" applyFont="1" applyFill="1" applyBorder="1" applyNumberFormat="1">
      <alignment horizontal="left" vertical="center" wrapText="1"/>
    </xf>
    <xf numFmtId="0" fontId="0" fillId="36" borderId="13" xfId="0" applyFont="1" applyFill="1" applyBorder="1">
      <alignment vertical="top" wrapText="1"/>
    </xf>
    <xf numFmtId="0" fontId="76" fillId="40" borderId="16" xfId="0" applyFont="1" applyFill="1" applyBorder="1">
      <alignment horizontal="left" vertical="center"/>
    </xf>
    <xf numFmtId="49" fontId="23" fillId="36" borderId="0" xfId="0" applyFont="1" applyFill="1" applyNumberFormat="1">
      <alignment horizontal="center" vertical="center" wrapText="1"/>
    </xf>
    <xf numFmtId="0" fontId="0" fillId="36" borderId="15" xfId="0" applyFont="1" applyFill="1" applyBorder="1">
      <alignment horizontal="left" vertical="center" wrapText="1"/>
    </xf>
    <xf numFmtId="0" fontId="0" fillId="36" borderId="24" xfId="0" applyFont="1" applyFill="1" applyBorder="1">
      <alignment vertical="center" wrapText="1"/>
    </xf>
    <xf numFmtId="0" fontId="82" fillId="36" borderId="0" xfId="0" applyFont="1" applyFill="1"/>
    <xf numFmtId="0" fontId="23" fillId="0" borderId="0" xfId="0" applyFont="1">
      <alignment vertical="top" wrapText="1"/>
    </xf>
    <xf numFmtId="0" fontId="56" fillId="0" borderId="0" xfId="0" applyFont="1">
      <alignment vertical="center" wrapText="1"/>
    </xf>
    <xf numFmtId="0" fontId="54" fillId="0" borderId="0" xfId="0" applyFont="1">
      <alignment horizontal="right" vertical="top" wrapText="1"/>
    </xf>
    <xf numFmtId="0" fontId="54" fillId="0" borderId="0" xfId="0" applyFont="1">
      <alignment horizontal="left" vertical="top" wrapText="1" indent="1"/>
    </xf>
    <xf numFmtId="0" fontId="54" fillId="0" borderId="0" xfId="0" applyFont="1">
      <alignment vertical="center" wrapText="1"/>
    </xf>
    <xf numFmtId="0" fontId="81" fillId="36" borderId="0" xfId="0" applyFont="1" applyFill="1">
      <alignment horizontal="center"/>
    </xf>
    <xf numFmtId="0" fontId="81" fillId="36" borderId="0" xfId="0" applyFont="1" applyFill="1"/>
    <xf numFmtId="0" fontId="83" fillId="36" borderId="0" xfId="0" applyFont="1" applyFill="1">
      <alignment horizontal="right" vertical="center"/>
    </xf>
    <xf numFmtId="0" fontId="84" fillId="36" borderId="0" xfId="0" applyFont="1" applyFill="1">
      <alignment vertical="center"/>
    </xf>
    <xf numFmtId="0" fontId="83" fillId="36" borderId="0" xfId="0" applyFont="1" applyFill="1">
      <alignment horizontal="right" vertical="top"/>
    </xf>
    <xf numFmtId="0" fontId="84" fillId="36" borderId="0" xfId="0" applyFont="1" applyFill="1">
      <alignment vertical="center" wrapText="1"/>
    </xf>
    <xf numFmtId="0" fontId="23" fillId="36" borderId="0" xfId="0" applyFont="1" applyFill="1"/>
    <xf numFmtId="0" fontId="0" fillId="36" borderId="0" xfId="0" applyFont="1" applyFill="1"/>
    <xf numFmtId="0" fontId="0" fillId="36" borderId="0" xfId="0" applyFont="1" applyFill="1">
      <alignment horizontal="center"/>
    </xf>
    <xf numFmtId="0" fontId="55" fillId="0" borderId="0" xfId="0" applyFont="1">
      <alignment horizontal="center" vertical="center" wrapText="1"/>
    </xf>
    <xf numFmtId="0" fontId="94" fillId="0" borderId="0" xfId="0" applyFont="1">
      <alignment vertical="center" wrapText="1"/>
    </xf>
    <xf numFmtId="0" fontId="94" fillId="36" borderId="0" xfId="0" applyFont="1" applyFill="1">
      <alignment horizontal="center" vertical="center" wrapText="1"/>
    </xf>
    <xf numFmtId="0" fontId="94" fillId="36" borderId="0" xfId="0" applyFont="1" applyFill="1">
      <alignment horizontal="right" vertical="center" wrapText="1"/>
    </xf>
    <xf numFmtId="0" fontId="46" fillId="36" borderId="0" xfId="0" applyFont="1" applyFill="1">
      <alignment horizontal="center" vertical="center" wrapText="1"/>
    </xf>
    <xf numFmtId="0" fontId="22" fillId="0" borderId="0" xfId="0" applyFont="1">
      <alignment horizontal="left" vertical="center" wrapText="1" indent="3"/>
    </xf>
    <xf numFmtId="0" fontId="70" fillId="0" borderId="0" xfId="0" applyFont="1">
      <alignment horizontal="center" vertical="center" wrapText="1"/>
    </xf>
    <xf numFmtId="0" fontId="70" fillId="0" borderId="0" xfId="0" applyFont="1">
      <alignment vertical="center" wrapText="1"/>
    </xf>
    <xf numFmtId="0" fontId="41" fillId="0" borderId="0" xfId="0" applyFont="1">
      <alignment vertical="center" wrapText="1"/>
    </xf>
    <xf numFmtId="0" fontId="46" fillId="36" borderId="0" xfId="0" applyFont="1" applyFill="1">
      <alignment horizontal="center" vertical="center" wrapText="1"/>
    </xf>
    <xf numFmtId="0" fontId="23" fillId="0" borderId="31" xfId="0" applyFont="1" applyBorder="1">
      <alignment horizontal="left" vertical="center" wrapText="1" indent="1"/>
    </xf>
    <xf numFmtId="0" fontId="23" fillId="0" borderId="24" xfId="0" applyFont="1" applyBorder="1">
      <alignment horizontal="left" vertical="center" wrapText="1" indent="1"/>
    </xf>
    <xf numFmtId="0" fontId="23" fillId="0" borderId="28" xfId="0" applyFont="1" applyBorder="1">
      <alignment horizontal="left" vertical="center" wrapText="1" indent="1"/>
    </xf>
    <xf numFmtId="0" fontId="66" fillId="0" borderId="0" xfId="0" applyFont="1">
      <alignment vertical="center" wrapText="1"/>
    </xf>
    <xf numFmtId="0" fontId="64" fillId="0" borderId="0" xfId="0" applyFont="1">
      <alignment vertical="center" wrapText="1"/>
    </xf>
    <xf numFmtId="0" fontId="85" fillId="36" borderId="0" xfId="0" applyFont="1" applyFill="1">
      <alignment horizontal="center" vertical="center" wrapText="1"/>
    </xf>
    <xf numFmtId="0" fontId="66" fillId="0" borderId="0" xfId="0" applyFont="1">
      <alignment horizontal="left" vertical="center" wrapText="1" indent="1"/>
    </xf>
    <xf numFmtId="0" fontId="23" fillId="0" borderId="0" xfId="0" applyFont="1">
      <alignment horizontal="right" vertical="center"/>
    </xf>
    <xf numFmtId="0" fontId="56" fillId="0" borderId="0" xfId="0" applyFont="1">
      <alignment vertical="center" wrapText="1"/>
    </xf>
    <xf numFmtId="0" fontId="0" fillId="0" borderId="15" xfId="0" applyFont="1" applyBorder="1">
      <alignment horizontal="center" vertical="center" wrapText="1"/>
    </xf>
    <xf numFmtId="0" fontId="0" fillId="0" borderId="16" xfId="0" applyFont="1" applyBorder="1">
      <alignment horizontal="center" vertical="center" wrapText="1"/>
    </xf>
    <xf numFmtId="0" fontId="0" fillId="0" borderId="14" xfId="0" applyFont="1" applyBorder="1">
      <alignment horizontal="center" vertical="center" wrapText="1"/>
    </xf>
    <xf numFmtId="0" fontId="0" fillId="0" borderId="13" xfId="0" applyFont="1" applyBorder="1">
      <alignment horizontal="center" vertical="center" wrapText="1"/>
    </xf>
    <xf numFmtId="0" fontId="23" fillId="0" borderId="13" xfId="0" applyFont="1" applyBorder="1">
      <alignment horizontal="center" vertical="center" wrapText="1"/>
    </xf>
    <xf numFmtId="0" fontId="0" fillId="0" borderId="13" xfId="0" applyFont="1" applyBorder="1">
      <alignment horizontal="center" vertical="center" wrapText="1"/>
    </xf>
    <xf numFmtId="0" fontId="0" fillId="0" borderId="18" xfId="0" applyFont="1" applyBorder="1">
      <alignment horizontal="center" vertical="center" wrapText="1"/>
    </xf>
    <xf numFmtId="0" fontId="0" fillId="0" borderId="18" xfId="0" applyFont="1" applyBorder="1">
      <alignment horizontal="center" vertical="center" wrapText="1"/>
    </xf>
    <xf numFmtId="0" fontId="0" fillId="0" borderId="38" xfId="0" applyFont="1" applyBorder="1">
      <alignment horizontal="center" vertical="center" wrapText="1"/>
    </xf>
    <xf numFmtId="0" fontId="0" fillId="0" borderId="21" xfId="0" applyFont="1" applyBorder="1">
      <alignment horizontal="center" vertical="center" wrapText="1"/>
    </xf>
    <xf numFmtId="0" fontId="0" fillId="0" borderId="21" xfId="0" applyFont="1" applyBorder="1">
      <alignment horizontal="center" vertical="center" wrapText="1"/>
    </xf>
    <xf numFmtId="0" fontId="0" fillId="0" borderId="18" xfId="0" applyFont="1" applyBorder="1">
      <alignment horizontal="center" vertical="center" wrapText="1"/>
    </xf>
    <xf numFmtId="0" fontId="0" fillId="0" borderId="18" xfId="0" applyFont="1" applyBorder="1">
      <alignment horizontal="center" vertical="center" wrapText="1"/>
    </xf>
    <xf numFmtId="0" fontId="0" fillId="0" borderId="24" xfId="0" applyFont="1" applyBorder="1">
      <alignment horizontal="center" vertical="center" wrapText="1"/>
    </xf>
    <xf numFmtId="0" fontId="0" fillId="0" borderId="24" xfId="0" applyFont="1" applyBorder="1">
      <alignment horizontal="center" vertical="center" wrapText="1"/>
    </xf>
    <xf numFmtId="0" fontId="0" fillId="0" borderId="28" xfId="0" applyFont="1" applyBorder="1">
      <alignment horizontal="center" vertical="center" wrapText="1"/>
    </xf>
    <xf numFmtId="0" fontId="0" fillId="0" borderId="13" xfId="0" applyFont="1" applyBorder="1">
      <alignment horizontal="center" vertical="center" wrapText="1"/>
    </xf>
    <xf numFmtId="0" fontId="0" fillId="0" borderId="15" xfId="0" applyFont="1" applyBorder="1">
      <alignment horizontal="center" vertical="center" wrapText="1"/>
    </xf>
    <xf numFmtId="0" fontId="0" fillId="0" borderId="31" xfId="0" applyFont="1" applyBorder="1">
      <alignment horizontal="center" vertical="center" wrapText="1"/>
    </xf>
    <xf numFmtId="0" fontId="0" fillId="0" borderId="31" xfId="0" applyFont="1" applyBorder="1">
      <alignment horizontal="center" vertical="center" wrapText="1"/>
    </xf>
    <xf numFmtId="0" fontId="0" fillId="0" borderId="24" xfId="0" applyFont="1" applyBorder="1">
      <alignment horizontal="center" vertical="center" wrapText="1"/>
    </xf>
    <xf numFmtId="0" fontId="0" fillId="0" borderId="24" xfId="0" applyFont="1" applyBorder="1">
      <alignment horizontal="center" vertical="center" wrapText="1"/>
    </xf>
    <xf numFmtId="0" fontId="45" fillId="36" borderId="0" xfId="0" applyFont="1" applyFill="1">
      <alignment horizontal="center" vertical="center" wrapText="1"/>
    </xf>
    <xf numFmtId="49" fontId="45" fillId="36" borderId="0" xfId="0" applyFont="1" applyFill="1" applyNumberFormat="1">
      <alignment horizontal="center" vertical="center" wrapText="1"/>
    </xf>
    <xf numFmtId="0" fontId="23" fillId="0" borderId="0" xfId="0" applyFont="1">
      <alignment vertical="center" wrapText="1"/>
    </xf>
    <xf numFmtId="0" fontId="79" fillId="0" borderId="0" xfId="0" applyFont="1">
      <alignment vertical="center" wrapText="1"/>
    </xf>
    <xf numFmtId="0" fontId="86" fillId="36" borderId="0" xfId="0" applyFont="1" applyFill="1">
      <alignment horizontal="center" vertical="center" wrapText="1"/>
    </xf>
    <xf numFmtId="49" fontId="79" fillId="0" borderId="18" xfId="0" applyFont="1" applyBorder="1" applyNumberFormat="1">
      <alignment horizontal="left" vertical="center" wrapText="1"/>
    </xf>
    <xf numFmtId="49" fontId="79" fillId="0" borderId="13" xfId="0" applyFont="1" applyBorder="1" applyNumberFormat="1">
      <alignment horizontal="left" vertical="center" wrapText="1"/>
    </xf>
    <xf numFmtId="49" fontId="0" fillId="0" borderId="13" xfId="0" applyFont="1" applyBorder="1" applyNumberFormat="1">
      <alignment vertical="top" wrapText="1"/>
    </xf>
    <xf numFmtId="49" fontId="0" fillId="0" borderId="13" xfId="0" applyFont="1" applyBorder="1" applyNumberFormat="1">
      <alignment horizontal="center" vertical="center" wrapText="1"/>
    </xf>
    <xf numFmtId="49" fontId="0" fillId="33" borderId="13" xfId="0" applyFont="1" applyFill="1" applyBorder="1" applyNumberFormat="1">
      <alignment horizontal="left" vertical="center" wrapText="1"/>
    </xf>
    <xf numFmtId="0" fontId="23" fillId="42" borderId="15" xfId="0" applyFont="1" applyFill="1" applyBorder="1">
      <alignment horizontal="left" vertical="center" wrapText="1"/>
    </xf>
    <xf numFmtId="49" fontId="45" fillId="36" borderId="13" xfId="0" applyFont="1" applyFill="1" applyBorder="1" applyNumberFormat="1">
      <alignment horizontal="center" vertical="center" wrapText="1"/>
    </xf>
    <xf numFmtId="3" fontId="0" fillId="41" borderId="13" xfId="0" applyFont="1" applyFill="1" applyBorder="1" applyNumberFormat="1">
      <alignment horizontal="right" vertical="center" wrapText="1"/>
      <protection locked="0"/>
    </xf>
    <xf numFmtId="3" fontId="0" fillId="41" borderId="14" xfId="0" applyFont="1" applyFill="1" applyBorder="1" applyNumberFormat="1">
      <alignment horizontal="right" vertical="center" wrapText="1"/>
      <protection locked="0"/>
    </xf>
    <xf numFmtId="0" fontId="0" fillId="33" borderId="13" xfId="0" applyFont="1" applyFill="1" applyBorder="1">
      <alignment horizontal="right" vertical="center" wrapText="1"/>
      <protection locked="0"/>
    </xf>
    <xf numFmtId="3" fontId="0" fillId="0" borderId="14" xfId="0" applyFont="1" applyBorder="1" applyNumberFormat="1">
      <alignment horizontal="right" vertical="center" wrapText="1"/>
    </xf>
    <xf numFmtId="0" fontId="0" fillId="0" borderId="18" xfId="0" applyFont="1" applyBorder="1">
      <alignment horizontal="left" vertical="top" wrapText="1"/>
    </xf>
    <xf numFmtId="49" fontId="35" fillId="40" borderId="15" xfId="0" applyFont="1" applyFill="1" applyBorder="1" applyNumberFormat="1">
      <alignment horizontal="center" vertical="center"/>
    </xf>
    <xf numFmtId="0" fontId="49" fillId="40" borderId="16" xfId="0" applyFont="1" applyFill="1" applyBorder="1">
      <alignment vertical="center"/>
    </xf>
    <xf numFmtId="49" fontId="49" fillId="40" borderId="16" xfId="0" applyFont="1" applyFill="1" applyBorder="1" applyNumberFormat="1">
      <alignment vertical="center"/>
    </xf>
    <xf numFmtId="49" fontId="76" fillId="40" borderId="16" xfId="0" applyFont="1" applyFill="1" applyBorder="1" applyNumberFormat="1">
      <alignment vertical="center"/>
    </xf>
    <xf numFmtId="49" fontId="76" fillId="40" borderId="14" xfId="0" applyFont="1" applyFill="1" applyBorder="1" applyNumberFormat="1">
      <alignment vertical="center"/>
    </xf>
    <xf numFmtId="0" fontId="0" fillId="0" borderId="24" xfId="0" applyFont="1" applyBorder="1">
      <alignment horizontal="left" vertical="top" wrapText="1"/>
    </xf>
    <xf numFmtId="0" fontId="41" fillId="0" borderId="0" xfId="0" applyFont="1">
      <alignment vertical="center" wrapText="1"/>
    </xf>
    <xf numFmtId="0" fontId="23" fillId="0" borderId="0" xfId="0" applyFont="1">
      <alignment vertical="center" wrapText="1"/>
    </xf>
    <xf numFmtId="0" fontId="46" fillId="0" borderId="0" xfId="0" applyFont="1">
      <alignment horizontal="center" vertical="center" wrapText="1"/>
    </xf>
    <xf numFmtId="0" fontId="23" fillId="0" borderId="0" xfId="0" applyFont="1">
      <alignment vertical="center" wrapText="1"/>
    </xf>
    <xf numFmtId="0" fontId="51" fillId="0" borderId="0" xfId="0" applyFont="1">
      <alignment vertical="center" wrapText="1"/>
    </xf>
    <xf numFmtId="0" fontId="56" fillId="0" borderId="0" xfId="0" applyFont="1">
      <alignment vertical="center" wrapText="1"/>
    </xf>
    <xf numFmtId="0" fontId="23" fillId="0" borderId="0" xfId="0" applyFont="1">
      <alignment vertical="center" wrapText="1"/>
    </xf>
    <xf numFmtId="0" fontId="46" fillId="36" borderId="0" xfId="0" applyFont="1" applyFill="1">
      <alignment horizontal="center" vertical="center" wrapText="1"/>
    </xf>
    <xf numFmtId="49" fontId="0" fillId="0" borderId="38" xfId="0" applyFont="1" applyBorder="1" applyNumberFormat="1">
      <alignment horizontal="center" vertical="center" wrapText="1"/>
    </xf>
    <xf numFmtId="0" fontId="23" fillId="42" borderId="20" xfId="0" applyFont="1" applyFill="1" applyBorder="1">
      <alignment horizontal="left" vertical="center" wrapText="1"/>
    </xf>
    <xf numFmtId="0" fontId="46" fillId="36" borderId="13" xfId="0" applyFont="1" applyFill="1" applyBorder="1">
      <alignment horizontal="center" vertical="center" wrapText="1"/>
    </xf>
    <xf numFmtId="49" fontId="23" fillId="0" borderId="13" xfId="0" applyFont="1" applyBorder="1" applyNumberFormat="1">
      <alignment horizontal="center" vertical="center" wrapText="1"/>
    </xf>
    <xf numFmtId="49" fontId="23" fillId="41" borderId="13" xfId="0" applyFont="1" applyFill="1" applyBorder="1" applyNumberFormat="1">
      <alignment horizontal="left" vertical="center" wrapText="1"/>
      <protection locked="0"/>
    </xf>
    <xf numFmtId="3" fontId="23" fillId="41" borderId="13" xfId="0" applyFont="1" applyFill="1" applyBorder="1" applyNumberFormat="1">
      <alignment horizontal="right" vertical="center" wrapText="1"/>
      <protection locked="0"/>
    </xf>
    <xf numFmtId="0" fontId="56" fillId="0" borderId="0" xfId="0" applyFont="1">
      <alignment vertical="center" wrapText="1"/>
    </xf>
    <xf numFmtId="0" fontId="56" fillId="0" borderId="0" xfId="0" applyFont="1">
      <alignment vertical="center"/>
    </xf>
    <xf numFmtId="49" fontId="0" fillId="0" borderId="28" xfId="0" applyFont="1" applyBorder="1" applyNumberFormat="1">
      <alignment horizontal="center" vertical="center" wrapText="1"/>
    </xf>
    <xf numFmtId="0" fontId="23" fillId="42" borderId="29" xfId="0" applyFont="1" applyFill="1" applyBorder="1">
      <alignment horizontal="left" vertical="center" wrapText="1"/>
    </xf>
    <xf numFmtId="0" fontId="94" fillId="0" borderId="0" xfId="0" applyFont="1">
      <alignment vertical="center" wrapText="1"/>
    </xf>
    <xf numFmtId="0" fontId="56" fillId="0" borderId="0" xfId="0" applyFont="1">
      <alignment vertical="center" wrapText="1"/>
    </xf>
    <xf numFmtId="0" fontId="46" fillId="36" borderId="0" xfId="0" applyFont="1" applyFill="1">
      <alignment horizontal="center" vertical="center" wrapText="1"/>
    </xf>
    <xf numFmtId="0" fontId="70" fillId="0" borderId="0" xfId="0" applyFont="1">
      <alignment vertical="center" wrapText="1"/>
    </xf>
    <xf numFmtId="0" fontId="66" fillId="0" borderId="0" xfId="0" applyFont="1">
      <alignment vertical="center" wrapText="1"/>
    </xf>
    <xf numFmtId="0" fontId="64" fillId="0" borderId="0" xfId="0" applyFont="1">
      <alignment vertical="center" wrapText="1"/>
    </xf>
    <xf numFmtId="0" fontId="23" fillId="0" borderId="38" xfId="0" applyFont="1" applyBorder="1">
      <alignment horizontal="center" vertical="center" wrapText="1"/>
    </xf>
    <xf numFmtId="0" fontId="23" fillId="0" borderId="21" xfId="0" applyFont="1" applyBorder="1">
      <alignment horizontal="center" vertical="center" wrapText="1"/>
    </xf>
    <xf numFmtId="0" fontId="23" fillId="0" borderId="18" xfId="0" applyFont="1" applyBorder="1">
      <alignment horizontal="center" vertical="center" wrapText="1"/>
    </xf>
    <xf numFmtId="0" fontId="23" fillId="0" borderId="28" xfId="0" applyFont="1" applyBorder="1">
      <alignment horizontal="center" vertical="center" wrapText="1"/>
    </xf>
    <xf numFmtId="0" fontId="23" fillId="0" borderId="31" xfId="0" applyFont="1" applyBorder="1">
      <alignment horizontal="center" vertical="center" wrapText="1"/>
    </xf>
    <xf numFmtId="0" fontId="23" fillId="0" borderId="24" xfId="0" applyFont="1" applyBorder="1">
      <alignment horizontal="center" vertical="center" wrapText="1"/>
    </xf>
    <xf numFmtId="0" fontId="23" fillId="0" borderId="0" xfId="0" applyFont="1">
      <alignment vertical="center" wrapText="1"/>
    </xf>
    <xf numFmtId="0" fontId="46" fillId="36" borderId="13" xfId="0" applyFont="1" applyFill="1" applyBorder="1">
      <alignment horizontal="center" vertical="center" wrapText="1"/>
    </xf>
    <xf numFmtId="49" fontId="23" fillId="0" borderId="13" xfId="0" applyFont="1" applyBorder="1" applyNumberFormat="1">
      <alignment horizontal="center" vertical="center" wrapText="1"/>
    </xf>
    <xf numFmtId="0" fontId="23" fillId="0" borderId="18" xfId="0" applyFont="1" applyBorder="1">
      <alignment horizontal="left" vertical="top" wrapText="1"/>
    </xf>
    <xf numFmtId="0" fontId="23" fillId="0" borderId="37" xfId="0" applyFont="1" applyBorder="1">
      <alignment horizontal="left" vertical="top" wrapText="1"/>
    </xf>
    <xf numFmtId="0" fontId="23" fillId="0" borderId="24" xfId="0" applyFont="1" applyBorder="1">
      <alignment horizontal="left" vertical="top" wrapText="1"/>
    </xf>
    <xf numFmtId="0" fontId="41" fillId="0" borderId="0" xfId="0" applyFont="1">
      <alignment vertical="center" wrapText="1"/>
    </xf>
    <xf numFmtId="0" fontId="23" fillId="0" borderId="0" xfId="0" applyFont="1">
      <alignment vertical="center" wrapText="1"/>
    </xf>
    <xf numFmtId="0" fontId="56" fillId="0" borderId="0" xfId="0" applyFont="1">
      <alignment vertical="center" wrapText="1"/>
    </xf>
    <xf numFmtId="0" fontId="66" fillId="36" borderId="0" xfId="0" applyFont="1" applyFill="1">
      <alignment vertical="center" wrapText="1"/>
    </xf>
    <xf numFmtId="0" fontId="66" fillId="36" borderId="0" xfId="0" applyFont="1" applyFill="1">
      <alignment horizontal="right" vertical="center"/>
    </xf>
    <xf numFmtId="0" fontId="66" fillId="36" borderId="0" xfId="0" applyFont="1" applyFill="1">
      <alignment horizontal="right" vertical="center" wrapText="1"/>
    </xf>
    <xf numFmtId="0" fontId="22" fillId="0" borderId="0" xfId="0" applyFont="1">
      <alignment horizontal="center" vertical="center" wrapText="1"/>
    </xf>
    <xf numFmtId="0" fontId="51" fillId="0" borderId="0" xfId="0" applyFont="1">
      <alignment vertical="center" wrapText="1"/>
    </xf>
    <xf numFmtId="4" fontId="66" fillId="0" borderId="0" xfId="0" applyFont="1" applyNumberFormat="1">
      <alignment horizontal="right" vertical="center" wrapText="1"/>
    </xf>
    <xf numFmtId="0" fontId="0" fillId="36" borderId="13" xfId="0" applyFont="1" applyFill="1" applyBorder="1">
      <alignment horizontal="center" vertical="center" wrapText="1"/>
    </xf>
    <xf numFmtId="0" fontId="23" fillId="36" borderId="13" xfId="0" applyFont="1" applyFill="1" applyBorder="1">
      <alignment horizontal="center" vertical="center" wrapText="1"/>
    </xf>
    <xf numFmtId="0" fontId="23" fillId="36" borderId="13" xfId="0" applyFont="1" applyFill="1" applyBorder="1">
      <alignment horizontal="center" vertical="center" wrapText="1"/>
    </xf>
    <xf numFmtId="0" fontId="23" fillId="36" borderId="13" xfId="0" applyFont="1" applyFill="1" applyBorder="1">
      <alignment horizontal="center" vertical="center" wrapText="1"/>
    </xf>
    <xf numFmtId="0" fontId="23" fillId="0" borderId="13" xfId="0" applyFont="1" applyBorder="1">
      <alignment horizontal="center" vertical="center" wrapText="1"/>
    </xf>
    <xf numFmtId="0" fontId="0" fillId="0" borderId="13" xfId="0" applyFont="1" applyBorder="1">
      <alignment horizontal="center" vertical="center" wrapText="1"/>
    </xf>
    <xf numFmtId="49" fontId="45" fillId="36" borderId="16" xfId="0" applyFont="1" applyFill="1" applyBorder="1" applyNumberFormat="1">
      <alignment horizontal="center" vertical="center" wrapText="1"/>
    </xf>
    <xf numFmtId="49" fontId="45" fillId="36" borderId="16" xfId="0" applyFont="1" applyFill="1" applyBorder="1" applyNumberFormat="1">
      <alignment horizontal="center" vertical="center" wrapText="1"/>
    </xf>
    <xf numFmtId="0" fontId="23" fillId="0" borderId="0" xfId="0" applyFont="1">
      <alignment vertical="center" wrapText="1"/>
    </xf>
    <xf numFmtId="0" fontId="46" fillId="36" borderId="0" xfId="0" applyFont="1" applyFill="1">
      <alignment horizontal="center" vertical="center" wrapText="1"/>
    </xf>
    <xf numFmtId="0" fontId="23" fillId="0" borderId="13" xfId="0" applyFont="1" applyBorder="1">
      <alignment horizontal="center" vertical="center" wrapText="1"/>
    </xf>
    <xf numFmtId="0" fontId="23" fillId="0" borderId="13" xfId="0" applyFont="1" applyBorder="1">
      <alignment horizontal="center" vertical="center" wrapText="1"/>
    </xf>
    <xf numFmtId="49" fontId="23" fillId="0" borderId="13" xfId="0" applyFont="1" applyBorder="1" applyNumberFormat="1">
      <alignment horizontal="left" vertical="center" wrapText="1"/>
    </xf>
    <xf numFmtId="49" fontId="23" fillId="0" borderId="0" xfId="0" applyFont="1" applyNumberFormat="1">
      <alignment vertical="top"/>
    </xf>
    <xf numFmtId="0" fontId="46" fillId="36" borderId="25" xfId="0" applyFont="1" applyFill="1" applyBorder="1">
      <alignment vertical="top" wrapText="1"/>
    </xf>
    <xf numFmtId="14" fontId="23" fillId="40" borderId="16" xfId="0" applyFont="1" applyFill="1" applyBorder="1" applyNumberFormat="1">
      <alignment horizontal="center" vertical="center" wrapText="1"/>
    </xf>
    <xf numFmtId="49" fontId="23" fillId="40" borderId="16" xfId="0" applyFont="1" applyFill="1" applyBorder="1" applyNumberFormat="1">
      <alignment horizontal="center" vertical="center" wrapText="1"/>
    </xf>
    <xf numFmtId="14" fontId="87" fillId="40" borderId="16" xfId="0" applyFont="1" applyFill="1" applyBorder="1" applyNumberFormat="1">
      <alignment horizontal="center" vertical="center" wrapText="1"/>
    </xf>
    <xf numFmtId="49" fontId="29" fillId="40" borderId="14" xfId="0" applyFont="1" applyFill="1" applyBorder="1" applyNumberFormat="1">
      <alignment horizontal="left" vertical="center" wrapText="1"/>
    </xf>
    <xf numFmtId="0" fontId="0" fillId="0" borderId="37" xfId="0" applyFont="1" applyBorder="1">
      <alignment horizontal="left" vertical="top" wrapText="1"/>
    </xf>
    <xf numFmtId="0" fontId="56" fillId="0" borderId="0" xfId="0" applyFont="1">
      <alignment horizontal="left" vertical="center" wrapText="1"/>
    </xf>
    <xf numFmtId="49" fontId="56" fillId="0" borderId="0" xfId="0" applyFont="1" applyNumberFormat="1">
      <alignment horizontal="left" vertical="center" wrapText="1"/>
    </xf>
    <xf numFmtId="0" fontId="46" fillId="36" borderId="0" xfId="0" applyFont="1" applyFill="1">
      <alignment vertical="top" wrapText="1"/>
    </xf>
    <xf numFmtId="0" fontId="56" fillId="36" borderId="24" xfId="0" applyFont="1" applyFill="1" applyBorder="1">
      <alignment horizontal="center" vertical="center" wrapText="1"/>
    </xf>
    <xf numFmtId="14" fontId="23" fillId="42" borderId="24" xfId="0" applyFont="1" applyFill="1" applyBorder="1" applyNumberFormat="1">
      <alignment horizontal="left" vertical="center" wrapText="1"/>
    </xf>
    <xf numFmtId="14" fontId="23" fillId="42" borderId="13" xfId="0" applyFont="1" applyFill="1" applyBorder="1" applyNumberFormat="1">
      <alignment horizontal="center" vertical="center" wrapText="1"/>
    </xf>
    <xf numFmtId="49" fontId="29" fillId="41" borderId="13" xfId="0" applyFont="1" applyFill="1" applyBorder="1" applyNumberFormat="1">
      <alignment horizontal="left" vertical="center" wrapText="1"/>
      <protection locked="0"/>
    </xf>
    <xf numFmtId="49" fontId="35" fillId="40" borderId="16" xfId="0" applyFont="1" applyFill="1" applyBorder="1" applyNumberFormat="1">
      <alignment horizontal="center" vertical="center"/>
    </xf>
    <xf numFmtId="49" fontId="76" fillId="40" borderId="16" xfId="0" applyFont="1" applyFill="1" applyBorder="1" applyNumberFormat="1">
      <alignment horizontal="left" vertical="center" indent="1"/>
    </xf>
    <xf numFmtId="49" fontId="76" fillId="40" borderId="14" xfId="0" applyFont="1" applyFill="1" applyBorder="1" applyNumberFormat="1">
      <alignment horizontal="left" vertical="center" indent="1"/>
    </xf>
    <xf numFmtId="0" fontId="66" fillId="0" borderId="0" xfId="0" applyFont="1">
      <alignment vertical="center" wrapText="1"/>
    </xf>
    <xf numFmtId="0" fontId="85" fillId="0" borderId="0" xfId="0" applyFont="1">
      <alignment horizontal="center" vertical="center" wrapText="1"/>
    </xf>
    <xf numFmtId="0" fontId="54" fillId="0" borderId="0" xfId="0" applyFont="1">
      <alignment vertical="top" wrapText="1"/>
    </xf>
    <xf numFmtId="0" fontId="23" fillId="0" borderId="0" xfId="0" applyFont="1">
      <alignment horizontal="right" vertical="top" wrapText="1"/>
    </xf>
    <xf numFmtId="0" fontId="54" fillId="0" borderId="0" xfId="0" applyFont="1">
      <alignment vertical="top"/>
    </xf>
    <xf numFmtId="49" fontId="101" fillId="0" borderId="13" xfId="0" applyFont="1" applyBorder="1" applyNumberFormat="1">
      <alignment vertical="top" wrapText="1"/>
    </xf>
    <xf numFmtId="49" fontId="97" fillId="0" borderId="13" xfId="0" applyFont="1" applyBorder="1" applyNumberFormat="1">
      <alignment horizontal="center" vertical="top" wrapText="1"/>
    </xf>
    <xf numFmtId="49" fontId="97" fillId="34" borderId="13" xfId="0" applyFont="1" applyFill="1" applyBorder="1" applyNumberFormat="1">
      <alignment horizontal="center" vertical="top"/>
    </xf>
    <xf numFmtId="49" fontId="97" fillId="0" borderId="13" xfId="0" applyFont="1" applyBorder="1" applyNumberFormat="1">
      <alignment vertical="top" wrapText="1"/>
    </xf>
    <xf numFmtId="0" fontId="97" fillId="0" borderId="13" xfId="0" applyFont="1" applyBorder="1">
      <alignment vertical="top" wrapText="1"/>
    </xf>
    <xf numFmtId="49" fontId="97" fillId="0" borderId="13" xfId="0" applyFont="1" applyBorder="1" applyNumberFormat="1">
      <alignment vertical="top"/>
    </xf>
    <xf numFmtId="49" fontId="101" fillId="0" borderId="13" xfId="0" applyFont="1" applyBorder="1" applyNumberFormat="1">
      <alignment vertical="top"/>
    </xf>
    <xf numFmtId="0" fontId="101" fillId="0" borderId="13" xfId="0" applyFont="1" applyBorder="1">
      <alignment vertical="top" wrapText="1"/>
    </xf>
    <xf numFmtId="49" fontId="101" fillId="0" borderId="0" xfId="0" applyFont="1" applyNumberFormat="1">
      <alignment vertical="top" wrapText="1"/>
    </xf>
    <xf numFmtId="49" fontId="101" fillId="0" borderId="0" xfId="0" applyFont="1" applyNumberFormat="1">
      <alignment vertical="top"/>
    </xf>
    <xf numFmtId="49" fontId="101" fillId="0" borderId="0" xfId="0" applyFont="1" applyNumberFormat="1">
      <alignment horizontal="center" vertical="top" wrapText="1"/>
    </xf>
    <xf numFmtId="49" fontId="101" fillId="0" borderId="13" xfId="0" applyFont="1" applyBorder="1" applyNumberFormat="1">
      <alignment horizontal="center" vertical="top" wrapText="1"/>
    </xf>
    <xf numFmtId="49" fontId="101" fillId="0" borderId="13" xfId="0" applyFont="1" applyBorder="1" applyNumberFormat="1">
      <alignment horizontal="center" vertical="top" wrapText="1"/>
    </xf>
    <xf numFmtId="49" fontId="101" fillId="34" borderId="13" xfId="0" applyFont="1" applyFill="1" applyBorder="1" applyNumberFormat="1">
      <alignment horizontal="center" vertical="top" wrapText="1"/>
    </xf>
    <xf numFmtId="49" fontId="97" fillId="34" borderId="13" xfId="0" applyFont="1" applyFill="1" applyBorder="1" applyNumberFormat="1">
      <alignment horizontal="center" vertical="top" wrapText="1"/>
    </xf>
    <xf numFmtId="49" fontId="101" fillId="0" borderId="13" xfId="0" applyFont="1" applyBorder="1" applyNumberFormat="1">
      <alignment horizontal="left" vertical="top" wrapText="1"/>
    </xf>
    <xf numFmtId="0" fontId="97" fillId="34" borderId="13" xfId="0" applyFont="1" applyFill="1" applyBorder="1">
      <alignment horizontal="center" vertical="top" wrapText="1"/>
    </xf>
    <xf numFmtId="0" fontId="101" fillId="34" borderId="13" xfId="0" applyFont="1" applyFill="1" applyBorder="1">
      <alignment horizontal="right" vertical="center" wrapText="1"/>
    </xf>
    <xf numFmtId="49" fontId="101" fillId="0" borderId="15" xfId="0" applyFont="1" applyBorder="1" applyNumberFormat="1">
      <alignment horizontal="center" vertical="top" wrapText="1"/>
    </xf>
    <xf numFmtId="49" fontId="101" fillId="0" borderId="16" xfId="0" applyFont="1" applyBorder="1" applyNumberFormat="1">
      <alignment horizontal="center" vertical="top" wrapText="1"/>
    </xf>
    <xf numFmtId="49" fontId="101" fillId="0" borderId="14" xfId="0" applyFont="1" applyBorder="1" applyNumberFormat="1">
      <alignment horizontal="center" vertical="top" wrapText="1"/>
    </xf>
    <xf numFmtId="0" fontId="101" fillId="0" borderId="13" xfId="0" applyFont="1" applyBorder="1">
      <alignment horizontal="left" vertical="top" wrapText="1"/>
    </xf>
    <xf numFmtId="49" fontId="101" fillId="34" borderId="13" xfId="0" applyFont="1" applyFill="1" applyBorder="1" applyNumberFormat="1">
      <alignment horizontal="left" vertical="top" wrapText="1"/>
    </xf>
    <xf numFmtId="0" fontId="101" fillId="34" borderId="13" xfId="0" applyFont="1" applyFill="1" applyBorder="1">
      <alignment horizontal="center" vertical="center" wrapText="1"/>
    </xf>
    <xf numFmtId="0" fontId="101" fillId="34" borderId="13" xfId="0" applyFont="1" applyFill="1" applyBorder="1">
      <alignment horizontal="center" vertical="center" wrapText="1"/>
    </xf>
    <xf numFmtId="49" fontId="101" fillId="0" borderId="18" xfId="0" applyFont="1" applyBorder="1" applyNumberFormat="1">
      <alignment horizontal="center" vertical="top" wrapText="1"/>
    </xf>
    <xf numFmtId="49" fontId="101" fillId="0" borderId="37" xfId="0" applyFont="1" applyBorder="1" applyNumberFormat="1">
      <alignment horizontal="center" vertical="top" wrapText="1"/>
    </xf>
    <xf numFmtId="49" fontId="101" fillId="0" borderId="18" xfId="0" applyFont="1" applyBorder="1" applyNumberFormat="1">
      <alignment horizontal="center" vertical="top" wrapText="1"/>
    </xf>
    <xf numFmtId="0" fontId="101" fillId="0" borderId="18" xfId="0" applyFont="1" applyBorder="1">
      <alignment horizontal="left" vertical="top" wrapText="1"/>
    </xf>
    <xf numFmtId="49" fontId="101" fillId="0" borderId="38" xfId="0" applyFont="1" applyBorder="1" applyNumberFormat="1">
      <alignment horizontal="center" vertical="top" wrapText="1"/>
    </xf>
    <xf numFmtId="49" fontId="101" fillId="0" borderId="38" xfId="0" applyFont="1" applyBorder="1" applyNumberFormat="1">
      <alignment horizontal="center" vertical="top" wrapText="1"/>
    </xf>
    <xf numFmtId="0" fontId="101" fillId="0" borderId="14" xfId="0" applyFont="1" applyBorder="1">
      <alignment horizontal="left" vertical="top" wrapText="1"/>
    </xf>
    <xf numFmtId="49" fontId="101" fillId="0" borderId="24" xfId="0" applyFont="1" applyBorder="1" applyNumberFormat="1">
      <alignment horizontal="center" vertical="top" wrapText="1"/>
    </xf>
    <xf numFmtId="49" fontId="101" fillId="0" borderId="28" xfId="0" applyFont="1" applyBorder="1" applyNumberFormat="1">
      <alignment horizontal="center" vertical="top" wrapText="1"/>
    </xf>
    <xf numFmtId="49" fontId="101" fillId="0" borderId="23" xfId="0" applyFont="1" applyBorder="1" applyNumberFormat="1">
      <alignment horizontal="center" vertical="top" wrapText="1"/>
    </xf>
    <xf numFmtId="0" fontId="101" fillId="0" borderId="18" xfId="0" applyFont="1" applyBorder="1">
      <alignment vertical="top" wrapText="1"/>
    </xf>
    <xf numFmtId="49" fontId="97" fillId="0" borderId="13" xfId="0" applyFont="1" applyBorder="1" applyNumberFormat="1">
      <alignment horizontal="left" vertical="top" wrapText="1"/>
    </xf>
    <xf numFmtId="0" fontId="97" fillId="0" borderId="15" xfId="0" applyFont="1" applyBorder="1">
      <alignment horizontal="center" vertical="center" wrapText="1"/>
    </xf>
    <xf numFmtId="0" fontId="97" fillId="0" borderId="15" xfId="0" applyFont="1" applyBorder="1">
      <alignment horizontal="center" vertical="center"/>
    </xf>
    <xf numFmtId="49" fontId="97" fillId="0" borderId="13" xfId="0" applyFont="1" applyBorder="1" applyNumberFormat="1">
      <alignment horizontal="center" vertical="center" wrapText="1"/>
    </xf>
    <xf numFmtId="0" fontId="97" fillId="0" borderId="13" xfId="0" applyFont="1" applyBorder="1">
      <alignment vertical="center" wrapText="1"/>
    </xf>
    <xf numFmtId="49" fontId="101" fillId="0" borderId="15" xfId="0" applyFont="1" applyBorder="1" applyNumberFormat="1">
      <alignment horizontal="left" vertical="top" wrapText="1"/>
    </xf>
    <xf numFmtId="0" fontId="97" fillId="0" borderId="13" xfId="0" applyFont="1" applyBorder="1">
      <alignment horizontal="center" vertical="center" wrapText="1"/>
    </xf>
    <xf numFmtId="0" fontId="97" fillId="0" borderId="18" xfId="0" applyFont="1" applyBorder="1">
      <alignment vertical="center" wrapText="1"/>
    </xf>
    <xf numFmtId="0" fontId="97" fillId="0" borderId="24" xfId="0" applyFont="1" applyBorder="1">
      <alignment vertical="center" wrapText="1"/>
    </xf>
    <xf numFmtId="49" fontId="101" fillId="0" borderId="28" xfId="0" applyFont="1" applyBorder="1" applyNumberFormat="1">
      <alignment horizontal="left" vertical="top" wrapText="1"/>
    </xf>
    <xf numFmtId="49" fontId="101" fillId="0" borderId="14" xfId="0" applyFont="1" applyBorder="1" applyNumberFormat="1">
      <alignment horizontal="left" vertical="top" wrapText="1"/>
    </xf>
    <xf numFmtId="49" fontId="97" fillId="0" borderId="18" xfId="0" applyFont="1" applyBorder="1" applyNumberFormat="1">
      <alignment horizontal="center" vertical="center" wrapText="1"/>
    </xf>
    <xf numFmtId="49" fontId="97" fillId="0" borderId="24" xfId="0" applyFont="1" applyBorder="1" applyNumberFormat="1">
      <alignment horizontal="center" vertical="center" wrapText="1"/>
    </xf>
    <xf numFmtId="0" fontId="97" fillId="0" borderId="18" xfId="0" applyFont="1" applyBorder="1">
      <alignment horizontal="center" vertical="center" wrapText="1"/>
    </xf>
    <xf numFmtId="49" fontId="101" fillId="0" borderId="37" xfId="0" applyFont="1" applyBorder="1" applyNumberFormat="1">
      <alignment horizontal="left" vertical="top" wrapText="1"/>
    </xf>
    <xf numFmtId="0" fontId="101" fillId="0" borderId="37" xfId="0" applyFont="1" applyBorder="1">
      <alignment horizontal="left" vertical="top" wrapText="1"/>
    </xf>
    <xf numFmtId="49" fontId="101" fillId="0" borderId="0" xfId="0" applyFont="1" applyNumberFormat="1">
      <alignment horizontal="left" vertical="top" wrapText="1"/>
    </xf>
    <xf numFmtId="49" fontId="101" fillId="34" borderId="0" xfId="0" applyFont="1" applyFill="1" applyNumberFormat="1">
      <alignment horizontal="left" vertical="top" wrapText="1"/>
    </xf>
    <xf numFmtId="0" fontId="101" fillId="0" borderId="0" xfId="0" applyFont="1">
      <alignment vertical="top" wrapText="1"/>
    </xf>
    <xf numFmtId="49" fontId="23" fillId="0" borderId="0" xfId="0" applyFont="1" applyNumberFormat="1">
      <alignment horizontal="center" vertical="top"/>
    </xf>
    <xf numFmtId="49" fontId="41" fillId="48" borderId="0" xfId="0" applyFont="1" applyFill="1" applyNumberFormat="1">
      <alignment horizontal="center" vertical="center"/>
    </xf>
    <xf numFmtId="49" fontId="23" fillId="0" borderId="13" xfId="0" applyFont="1" applyBorder="1" applyNumberFormat="1">
      <alignment horizontal="center" vertical="top"/>
    </xf>
    <xf numFmtId="49" fontId="55" fillId="48" borderId="0" xfId="0" applyFont="1" applyFill="1" applyNumberFormat="1">
      <alignment horizontal="center" vertical="center" wrapText="1"/>
    </xf>
    <xf numFmtId="0" fontId="0" fillId="50" borderId="13" xfId="0" applyFont="1" applyFill="1" applyBorder="1">
      <alignment horizontal="center" vertical="center"/>
    </xf>
    <xf numFmtId="49" fontId="0" fillId="0" borderId="0" xfId="0" applyFont="1" applyNumberFormat="1">
      <alignment vertical="center"/>
    </xf>
    <xf numFmtId="49" fontId="55" fillId="48" borderId="13" xfId="0" applyFont="1" applyFill="1" applyBorder="1" applyNumberFormat="1">
      <alignment horizontal="center" vertical="center"/>
    </xf>
    <xf numFmtId="49" fontId="55" fillId="51" borderId="13" xfId="0" applyFont="1" applyFill="1" applyBorder="1" applyNumberFormat="1">
      <alignment horizontal="center" vertical="center"/>
    </xf>
    <xf numFmtId="49" fontId="0" fillId="52" borderId="13" xfId="0" applyFont="1" applyFill="1" applyBorder="1" applyNumberFormat="1">
      <alignment horizontal="center" vertical="center"/>
    </xf>
    <xf numFmtId="49" fontId="23" fillId="0" borderId="0" xfId="0" applyFont="1" applyNumberFormat="1">
      <alignment horizontal="center" vertical="top"/>
    </xf>
    <xf numFmtId="49" fontId="23" fillId="0" borderId="0" xfId="0" applyFont="1" applyNumberFormat="1">
      <alignment vertical="top"/>
    </xf>
    <xf numFmtId="0" fontId="23" fillId="0" borderId="13" xfId="0" applyFont="1" applyBorder="1">
      <alignment vertical="center"/>
    </xf>
    <xf numFmtId="0" fontId="0" fillId="0" borderId="13" xfId="0" applyFont="1" applyBorder="1">
      <alignment vertical="center"/>
    </xf>
    <xf numFmtId="0" fontId="0" fillId="0" borderId="13" xfId="0" applyFont="1" applyBorder="1">
      <alignment vertical="center"/>
    </xf>
    <xf numFmtId="0" fontId="0" fillId="0" borderId="15" xfId="0" applyFont="1" applyBorder="1">
      <alignment vertical="center"/>
    </xf>
    <xf numFmtId="0" fontId="0" fillId="0" borderId="15" xfId="0" applyFont="1" applyBorder="1">
      <alignment vertical="center"/>
    </xf>
    <xf numFmtId="0" fontId="23" fillId="0" borderId="15" xfId="0" applyFont="1" applyBorder="1">
      <alignment horizontal="left" vertical="center"/>
    </xf>
    <xf numFmtId="49" fontId="23" fillId="0" borderId="45" xfId="0" applyFont="1" applyBorder="1" applyNumberFormat="1">
      <alignment vertical="center"/>
    </xf>
    <xf numFmtId="49" fontId="23" fillId="0" borderId="46" xfId="0" applyFont="1" applyBorder="1" applyNumberFormat="1">
      <alignment vertical="top"/>
    </xf>
    <xf numFmtId="49" fontId="23" fillId="0" borderId="17" xfId="0" applyFont="1" applyBorder="1" applyNumberFormat="1">
      <alignment vertical="top"/>
    </xf>
    <xf numFmtId="0" fontId="0" fillId="0" borderId="14" xfId="0" applyFont="1" applyBorder="1">
      <alignment vertical="center"/>
    </xf>
    <xf numFmtId="0" fontId="0" fillId="0" borderId="13" xfId="0" applyFont="1" applyBorder="1">
      <alignment horizontal="right" vertical="top"/>
    </xf>
    <xf numFmtId="0" fontId="0" fillId="0" borderId="13" xfId="0" applyFont="1" applyBorder="1">
      <alignment vertical="top"/>
    </xf>
    <xf numFmtId="0" fontId="23" fillId="0" borderId="14" xfId="0" applyFont="1" applyBorder="1">
      <alignment vertical="center"/>
    </xf>
    <xf numFmtId="49" fontId="23" fillId="0" borderId="13" xfId="0" applyFont="1" applyBorder="1" applyNumberFormat="1">
      <alignment vertical="center"/>
    </xf>
    <xf numFmtId="0" fontId="0" fillId="0" borderId="0" xfId="0" applyFont="1">
      <alignment vertical="top"/>
    </xf>
    <xf numFmtId="0" fontId="23" fillId="0" borderId="13" xfId="0" applyFont="1" applyBorder="1">
      <alignment vertical="top"/>
    </xf>
    <xf numFmtId="0" fontId="0" fillId="49" borderId="0" xfId="0" applyFont="1" applyFill="1">
      <alignment horizontal="right" vertical="center"/>
    </xf>
    <xf numFmtId="49" fontId="41" fillId="0" borderId="0" xfId="0" applyFont="1" applyNumberFormat="1">
      <alignment horizontal="center" vertical="center"/>
    </xf>
    <xf numFmtId="49" fontId="0" fillId="0" borderId="0" xfId="0" applyFont="1" applyNumberFormat="1">
      <alignment vertical="top"/>
    </xf>
    <xf numFmtId="49" fontId="41" fillId="48" borderId="0" xfId="0" applyFont="1" applyFill="1" applyNumberFormat="1">
      <alignment horizontal="center" vertical="center"/>
    </xf>
    <xf numFmtId="0" fontId="23" fillId="0" borderId="0" xfId="0" applyFont="1">
      <alignment vertical="center"/>
    </xf>
    <xf numFmtId="0" fontId="0" fillId="49" borderId="0" xfId="0" applyFont="1" applyFill="1">
      <alignment horizontal="left" vertical="center"/>
    </xf>
    <xf numFmtId="0" fontId="0" fillId="0" borderId="0" xfId="0" applyFont="1">
      <alignment horizontal="right" vertical="top"/>
    </xf>
    <xf numFmtId="0" fontId="0" fillId="0" borderId="0" xfId="0" applyFont="1">
      <alignment vertical="top"/>
    </xf>
    <xf numFmtId="0" fontId="0" fillId="0" borderId="0" xfId="0" applyFont="1">
      <alignment vertical="top"/>
    </xf>
    <xf numFmtId="0" fontId="0" fillId="0" borderId="0" xfId="0" applyFont="1">
      <alignment horizontal="right" vertical="top"/>
    </xf>
    <xf numFmtId="0" fontId="0" fillId="0" borderId="0" xfId="0" applyFont="1">
      <alignment vertical="top"/>
    </xf>
    <xf numFmtId="49" fontId="23" fillId="0" borderId="15" xfId="0" applyFont="1" applyBorder="1" applyNumberFormat="1">
      <alignment vertical="top"/>
    </xf>
    <xf numFmtId="0" fontId="0" fillId="49" borderId="0" xfId="0" applyFont="1" applyFill="1">
      <alignment horizontal="right" vertical="center"/>
    </xf>
    <xf numFmtId="0" fontId="0" fillId="0" borderId="0" xfId="0" applyFont="1">
      <alignment horizontal="left" vertical="center"/>
    </xf>
    <xf numFmtId="0" fontId="0" fillId="49" borderId="0" xfId="0" applyFont="1" applyFill="1">
      <alignment horizontal="right" vertical="center"/>
    </xf>
    <xf numFmtId="0" fontId="0" fillId="49" borderId="0" xfId="0" applyFont="1" applyFill="1">
      <alignment horizontal="left" vertical="center"/>
    </xf>
    <xf numFmtId="0" fontId="60" fillId="49" borderId="0" xfId="0" applyFont="1" applyFill="1">
      <alignment horizontal="left" vertical="center"/>
    </xf>
    <xf numFmtId="0" fontId="0" fillId="0" borderId="0" xfId="0" applyFont="1">
      <alignment vertical="center"/>
    </xf>
    <xf numFmtId="0" fontId="23" fillId="0" borderId="0" xfId="0" applyFont="1">
      <alignment vertical="top"/>
    </xf>
    <xf numFmtId="0" fontId="60" fillId="0" borderId="0" xfId="0" applyFont="1">
      <alignment horizontal="left" vertical="center"/>
    </xf>
    <xf numFmtId="49" fontId="0" fillId="0" borderId="15" xfId="0" applyFont="1" applyBorder="1" applyNumberFormat="1">
      <alignment vertical="top"/>
    </xf>
    <xf numFmtId="49" fontId="23" fillId="0" borderId="13" xfId="0" applyFont="1" applyBorder="1" applyNumberFormat="1">
      <alignment horizontal="right" vertical="top"/>
    </xf>
    <xf numFmtId="0" fontId="0" fillId="0" borderId="15" xfId="0" applyFont="1" applyBorder="1">
      <alignment horizontal="left" vertical="center"/>
    </xf>
    <xf numFmtId="0" fontId="60" fillId="49" borderId="0" xfId="0" applyFont="1" applyFill="1">
      <alignment horizontal="left" vertical="center"/>
    </xf>
    <xf numFmtId="49" fontId="23" fillId="0" borderId="18" xfId="0" applyFont="1" applyBorder="1" applyNumberFormat="1">
      <alignment horizontal="right" vertical="top"/>
    </xf>
    <xf numFmtId="0" fontId="0" fillId="0" borderId="18" xfId="0" applyFont="1" applyBorder="1">
      <alignment vertical="top"/>
    </xf>
    <xf numFmtId="0" fontId="23" fillId="0" borderId="18" xfId="0" applyFont="1" applyBorder="1">
      <alignment vertical="center"/>
    </xf>
    <xf numFmtId="49" fontId="23" fillId="0" borderId="32" xfId="0" applyFont="1" applyBorder="1" applyNumberFormat="1">
      <alignment horizontal="center" vertical="center"/>
    </xf>
    <xf numFmtId="49" fontId="23" fillId="0" borderId="13" xfId="0" applyFont="1" applyBorder="1" applyNumberFormat="1">
      <alignment horizontal="right" vertical="center"/>
    </xf>
    <xf numFmtId="49" fontId="23" fillId="0" borderId="13" xfId="0" applyFont="1" applyBorder="1" applyNumberFormat="1">
      <alignment vertical="top"/>
    </xf>
    <xf numFmtId="49" fontId="0" fillId="0" borderId="0" xfId="0" applyFont="1" applyNumberFormat="1">
      <alignment vertical="center"/>
    </xf>
    <xf numFmtId="0" fontId="23" fillId="49" borderId="0" xfId="0" applyFont="1" applyFill="1">
      <alignment horizontal="left" vertical="center"/>
    </xf>
    <xf numFmtId="0" fontId="0" fillId="49" borderId="12" xfId="0" applyFont="1" applyFill="1" applyBorder="1">
      <alignment horizontal="center"/>
    </xf>
    <xf numFmtId="49" fontId="110" fillId="0" borderId="17" xfId="0" applyFont="1" applyBorder="1" applyNumberFormat="1">
      <alignment vertical="top"/>
    </xf>
    <xf numFmtId="49" fontId="0" fillId="0" borderId="0" xfId="0" applyFont="1" applyNumberFormat="1">
      <alignment vertical="center"/>
    </xf>
    <xf numFmtId="0" fontId="0" fillId="0" borderId="12" xfId="0" applyFont="1" applyBorder="1">
      <alignment horizontal="center"/>
    </xf>
    <xf numFmtId="49" fontId="23" fillId="49" borderId="0" xfId="0" applyFont="1" applyFill="1" applyNumberFormat="1">
      <alignment horizontal="center" vertical="center"/>
    </xf>
    <xf numFmtId="49" fontId="23" fillId="0" borderId="0" xfId="0" applyFont="1" applyNumberFormat="1">
      <alignment vertical="top"/>
    </xf>
    <xf numFmtId="49" fontId="0" fillId="33" borderId="32" xfId="0" applyFont="1" applyFill="1" applyBorder="1" applyNumberFormat="1">
      <alignment horizontal="left" vertical="center"/>
      <protection locked="0"/>
    </xf>
    <xf numFmtId="49" fontId="0" fillId="0" borderId="13" xfId="0" applyFont="1" applyBorder="1" applyNumberFormat="1">
      <alignment horizontal="center" vertical="center"/>
    </xf>
    <xf numFmtId="49" fontId="0" fillId="0" borderId="32" xfId="0" applyFont="1" applyBorder="1" applyNumberFormat="1">
      <alignment horizontal="right" vertical="center"/>
    </xf>
    <xf numFmtId="0" fontId="0" fillId="38" borderId="32" xfId="0" applyFont="1" applyFill="1" applyBorder="1">
      <alignment horizontal="center" vertical="center"/>
    </xf>
    <xf numFmtId="49" fontId="0" fillId="0" borderId="32" xfId="0" applyFont="1" applyBorder="1" applyNumberFormat="1">
      <alignment horizontal="center" vertical="center"/>
    </xf>
    <xf numFmtId="49" fontId="0" fillId="0" borderId="0" xfId="0" applyFont="1" applyNumberFormat="1">
      <alignment horizontal="left" vertical="center"/>
    </xf>
    <xf numFmtId="0" fontId="0" fillId="0" borderId="0" xfId="0" applyFont="1">
      <alignment horizontal="center" vertical="center"/>
    </xf>
    <xf numFmtId="0" fontId="108" fillId="0" borderId="47" xfId="0" applyFont="1" applyBorder="1">
      <alignment horizontal="center" vertical="center"/>
    </xf>
    <xf numFmtId="0" fontId="0" fillId="0" borderId="47" xfId="0" applyFont="1" applyBorder="1">
      <alignment horizontal="center" vertical="center"/>
    </xf>
    <xf numFmtId="49" fontId="41" fillId="48" borderId="13" xfId="0" applyFont="1" applyFill="1" applyBorder="1" applyNumberFormat="1">
      <alignment horizontal="right" vertical="center"/>
    </xf>
    <xf numFmtId="49" fontId="23" fillId="33" borderId="38" xfId="0" applyFont="1" applyFill="1" applyBorder="1" applyNumberFormat="1">
      <alignment vertical="top"/>
      <protection locked="0"/>
    </xf>
    <xf numFmtId="0" fontId="23" fillId="0" borderId="13" xfId="0" applyFont="1" applyBorder="1">
      <alignment vertical="top"/>
    </xf>
    <xf numFmtId="0" fontId="0" fillId="34" borderId="13" xfId="0" applyFont="1" applyFill="1" applyBorder="1">
      <alignment horizontal="right" vertical="center"/>
    </xf>
    <xf numFmtId="49" fontId="23" fillId="34" borderId="24" xfId="0" applyFont="1" applyFill="1" applyBorder="1" applyNumberFormat="1">
      <alignment vertical="top"/>
    </xf>
    <xf numFmtId="49" fontId="23" fillId="34" borderId="13" xfId="0" applyFont="1" applyFill="1" applyBorder="1" applyNumberFormat="1">
      <alignment vertical="top"/>
    </xf>
    <xf numFmtId="49" fontId="23" fillId="0" borderId="15" xfId="0" applyFont="1" applyBorder="1" applyNumberFormat="1">
      <alignment horizontal="center" vertical="top"/>
    </xf>
    <xf numFmtId="49" fontId="23" fillId="0" borderId="14" xfId="0" applyFont="1" applyBorder="1" applyNumberFormat="1">
      <alignment horizontal="center" vertical="top"/>
    </xf>
    <xf numFmtId="0" fontId="23" fillId="38" borderId="28" xfId="0" applyFont="1" applyFill="1" applyBorder="1">
      <alignment horizontal="center" vertical="top"/>
    </xf>
    <xf numFmtId="0" fontId="23" fillId="38" borderId="28" xfId="0" applyFont="1" applyFill="1" applyBorder="1">
      <alignment horizontal="left" vertical="top"/>
    </xf>
    <xf numFmtId="0" fontId="0" fillId="0" borderId="33" xfId="0" applyFont="1" applyBorder="1">
      <alignment horizontal="center" vertical="center"/>
    </xf>
    <xf numFmtId="0" fontId="0" fillId="0" borderId="35" xfId="0" applyFont="1" applyBorder="1">
      <alignment horizontal="center" vertical="center"/>
    </xf>
    <xf numFmtId="0" fontId="23" fillId="0" borderId="13" xfId="0" applyFont="1" applyBorder="1">
      <alignment horizontal="left" vertical="top"/>
    </xf>
    <xf numFmtId="49" fontId="23" fillId="0" borderId="0" xfId="0" applyFont="1" applyNumberFormat="1">
      <alignment horizontal="left" vertical="top"/>
    </xf>
    <xf numFmtId="0" fontId="0" fillId="0" borderId="32" xfId="0" applyFont="1" applyBorder="1">
      <alignment horizontal="center" vertical="center"/>
    </xf>
    <xf numFmtId="0" fontId="0" fillId="0" borderId="34" xfId="0" applyFont="1" applyBorder="1">
      <alignment horizontal="center" vertical="center"/>
    </xf>
    <xf numFmtId="49" fontId="41" fillId="48" borderId="15" xfId="0" applyFont="1" applyFill="1" applyBorder="1" applyNumberFormat="1">
      <alignment horizontal="right" vertical="center"/>
    </xf>
    <xf numFmtId="49" fontId="23" fillId="0" borderId="13" xfId="0" applyFont="1" applyBorder="1" applyNumberFormat="1">
      <alignment vertical="top"/>
    </xf>
    <xf numFmtId="49" fontId="0" fillId="0" borderId="0" xfId="0" applyFont="1" applyNumberFormat="1">
      <alignment vertical="center"/>
    </xf>
    <xf numFmtId="49" fontId="0" fillId="0" borderId="0" xfId="0" applyFont="1" applyNumberFormat="1">
      <alignment vertical="top"/>
    </xf>
    <xf numFmtId="49" fontId="23" fillId="0" borderId="0" xfId="0" applyFont="1" applyNumberFormat="1">
      <alignment vertical="center"/>
    </xf>
    <xf numFmtId="49" fontId="0" fillId="0" borderId="0" xfId="0" applyFont="1" applyNumberFormat="1">
      <alignment vertical="top"/>
    </xf>
    <xf numFmtId="49" fontId="23" fillId="0" borderId="0" xfId="0" applyFont="1" applyNumberFormat="1">
      <alignment vertical="top"/>
    </xf>
    <xf numFmtId="49" fontId="23" fillId="0" borderId="0" xfId="0" applyFont="1" applyNumberFormat="1">
      <alignment vertical="top"/>
    </xf>
    <xf numFmtId="49" fontId="0" fillId="0" borderId="0" xfId="0" applyFont="1" applyNumberFormat="1">
      <alignment vertical="center" wrapText="1"/>
    </xf>
    <xf numFmtId="49" fontId="0" fillId="0" borderId="0" xfId="0" applyFont="1" applyNumberFormat="1">
      <alignment vertical="center"/>
    </xf>
    <xf numFmtId="49" fontId="23" fillId="0" borderId="0" xfId="0" applyFont="1" applyNumberFormat="1">
      <alignment vertical="top"/>
    </xf>
    <xf numFmtId="49" fontId="0" fillId="0" borderId="0" xfId="0" applyFont="1" applyNumberFormat="1">
      <alignment vertical="top"/>
    </xf>
    <xf numFmtId="49" fontId="0" fillId="39" borderId="0" xfId="0" applyFont="1" applyFill="1" applyNumberFormat="1">
      <alignment vertical="top"/>
    </xf>
    <xf numFmtId="49" fontId="0" fillId="39" borderId="0" xfId="0" applyFont="1" applyFill="1" applyNumberFormat="1">
      <alignment vertical="top"/>
    </xf>
    <xf numFmtId="0" fontId="23" fillId="0" borderId="0" xfId="0" applyFont="1"/>
    <xf numFmtId="0" fontId="46" fillId="36" borderId="0" xfId="0" applyFont="1" applyFill="1">
      <alignment horizontal="center" vertical="center" wrapText="1"/>
    </xf>
    <xf numFmtId="0" fontId="23" fillId="36" borderId="13" xfId="0" applyFont="1" applyFill="1" applyBorder="1">
      <alignment horizontal="center" vertical="center"/>
    </xf>
    <xf numFmtId="49" fontId="23" fillId="41" borderId="13" xfId="0" applyFont="1" applyFill="1" applyBorder="1" applyNumberFormat="1">
      <alignment horizontal="left" vertical="center" wrapText="1"/>
      <protection locked="0"/>
    </xf>
    <xf numFmtId="0" fontId="46" fillId="36" borderId="0" xfId="0" applyFont="1" applyFill="1">
      <alignment horizontal="center"/>
    </xf>
    <xf numFmtId="49" fontId="23" fillId="33" borderId="13" xfId="0" applyFont="1" applyFill="1" applyBorder="1" applyNumberFormat="1">
      <alignment horizontal="left" vertical="center" wrapText="1"/>
      <protection locked="0"/>
    </xf>
    <xf numFmtId="0" fontId="46" fillId="0" borderId="0" xfId="0" applyFont="1">
      <alignment horizontal="center" vertical="center" wrapText="1"/>
    </xf>
    <xf numFmtId="0" fontId="56" fillId="0" borderId="13" xfId="0" applyFont="1" applyBorder="1">
      <alignment horizontal="center" vertical="center"/>
    </xf>
    <xf numFmtId="0" fontId="23" fillId="0" borderId="24" xfId="0" applyFont="1" applyBorder="1">
      <alignment horizontal="center" vertical="center" wrapText="1"/>
    </xf>
    <xf numFmtId="0" fontId="55" fillId="0" borderId="24" xfId="0" applyFont="1" applyBorder="1">
      <alignment horizontal="center" vertical="center" wrapText="1"/>
    </xf>
    <xf numFmtId="49" fontId="0" fillId="40" borderId="16" xfId="0" applyFont="1" applyFill="1" applyBorder="1" applyNumberFormat="1">
      <alignment horizontal="right" vertical="center" wrapText="1"/>
    </xf>
    <xf numFmtId="49" fontId="0" fillId="40" borderId="14" xfId="0" applyFont="1" applyFill="1" applyBorder="1" applyNumberFormat="1">
      <alignment horizontal="right" vertical="center" wrapText="1"/>
    </xf>
    <xf numFmtId="49" fontId="59" fillId="39" borderId="0" xfId="0" applyFont="1" applyFill="1" applyNumberFormat="1">
      <alignment vertical="top"/>
    </xf>
    <xf numFmtId="49" fontId="59" fillId="0" borderId="0" xfId="0" applyFont="1" applyNumberFormat="1">
      <alignment vertical="top"/>
    </xf>
    <xf numFmtId="0" fontId="45" fillId="0" borderId="25" xfId="0" applyFont="1" applyBorder="1">
      <alignment horizontal="center" vertical="center" wrapText="1"/>
    </xf>
    <xf numFmtId="0" fontId="23" fillId="42" borderId="13" xfId="0" applyFont="1" applyFill="1" applyBorder="1">
      <alignment horizontal="center" vertical="center" wrapText="1"/>
    </xf>
    <xf numFmtId="14" fontId="87" fillId="0" borderId="18" xfId="0" applyFont="1" applyBorder="1" applyNumberFormat="1">
      <alignment horizontal="center" vertical="center" wrapText="1"/>
    </xf>
    <xf numFmtId="0" fontId="81" fillId="0" borderId="13" xfId="0" applyFont="1" applyBorder="1">
      <alignment horizontal="left" vertical="center" wrapText="1" indent="1"/>
    </xf>
    <xf numFmtId="0" fontId="87" fillId="0" borderId="18" xfId="0" applyFont="1" applyBorder="1">
      <alignment horizontal="center" vertical="center" wrapText="1"/>
    </xf>
    <xf numFmtId="49" fontId="23" fillId="0" borderId="13" xfId="0" applyFont="1" applyBorder="1" applyNumberFormat="1">
      <alignment horizontal="center" vertical="center" wrapText="1"/>
    </xf>
    <xf numFmtId="49" fontId="81" fillId="0" borderId="13" xfId="0" applyFont="1" applyBorder="1" applyNumberFormat="1">
      <alignment horizontal="left" vertical="center" wrapText="1" indent="1"/>
    </xf>
    <xf numFmtId="14" fontId="87" fillId="0" borderId="37" xfId="0" applyFont="1" applyBorder="1" applyNumberFormat="1">
      <alignment horizontal="center" vertical="center" wrapText="1"/>
    </xf>
    <xf numFmtId="0" fontId="81" fillId="0" borderId="13" xfId="0" applyFont="1" applyBorder="1">
      <alignment horizontal="left" vertical="top" indent="1"/>
    </xf>
    <xf numFmtId="0" fontId="45" fillId="0" borderId="13" xfId="0" applyFont="1" applyBorder="1">
      <alignment horizontal="center" vertical="center" wrapText="1"/>
    </xf>
    <xf numFmtId="0" fontId="23" fillId="42" borderId="13" xfId="0" applyFont="1" applyFill="1" applyBorder="1">
      <alignment horizontal="left" vertical="center" wrapText="1" indent="1"/>
    </xf>
    <xf numFmtId="0" fontId="23" fillId="36" borderId="0" xfId="0" applyFont="1" applyFill="1">
      <alignment horizontal="center" vertical="top" wrapText="1"/>
    </xf>
    <xf numFmtId="49" fontId="23" fillId="42" borderId="15" xfId="0" applyFont="1" applyFill="1" applyBorder="1" applyNumberFormat="1">
      <alignment horizontal="left" vertical="center" wrapText="1"/>
    </xf>
    <xf numFmtId="49" fontId="0" fillId="0" borderId="13" xfId="0" applyFont="1" applyBorder="1" applyNumberFormat="1">
      <alignment vertical="top"/>
    </xf>
    <xf numFmtId="49" fontId="0" fillId="0" borderId="0" xfId="0" applyFont="1" applyNumberFormat="1">
      <alignment vertical="top"/>
    </xf>
    <xf numFmtId="0" fontId="23" fillId="36" borderId="15" xfId="0" applyFont="1" applyFill="1" applyBorder="1">
      <alignment horizontal="center" vertical="center" wrapText="1"/>
    </xf>
    <xf numFmtId="0" fontId="56" fillId="36" borderId="13" xfId="0" applyFont="1" applyFill="1" applyBorder="1">
      <alignment horizontal="center" vertical="center" wrapText="1"/>
    </xf>
    <xf numFmtId="14" fontId="23" fillId="42" borderId="31" xfId="0" applyFont="1" applyFill="1" applyBorder="1" applyNumberFormat="1">
      <alignment horizontal="left" vertical="center" wrapText="1"/>
    </xf>
    <xf numFmtId="49" fontId="29" fillId="41" borderId="13" xfId="0" applyFont="1" applyFill="1" applyBorder="1" applyNumberFormat="1">
      <alignment horizontal="left" vertical="center" wrapText="1"/>
      <protection locked="0"/>
    </xf>
    <xf numFmtId="49" fontId="0" fillId="0" borderId="13" xfId="0" applyFont="1" applyBorder="1" applyNumberFormat="1">
      <alignment horizontal="left" vertical="center" wrapText="1"/>
    </xf>
    <xf numFmtId="49" fontId="23" fillId="0" borderId="0" xfId="0" applyFont="1" applyNumberFormat="1">
      <alignment vertical="top"/>
    </xf>
    <xf numFmtId="49" fontId="55" fillId="0" borderId="0" xfId="0" applyFont="1" applyNumberFormat="1">
      <alignment vertical="top"/>
    </xf>
    <xf numFmtId="49" fontId="23" fillId="0" borderId="0" xfId="0" applyFont="1" applyNumberFormat="1">
      <alignment vertical="top"/>
    </xf>
    <xf numFmtId="49" fontId="46" fillId="0" borderId="0" xfId="0" applyFont="1" applyNumberFormat="1">
      <alignment horizontal="center" vertical="center" wrapText="1"/>
    </xf>
    <xf numFmtId="49" fontId="23" fillId="0" borderId="13" xfId="0" applyFont="1" applyBorder="1" applyNumberFormat="1">
      <alignment horizontal="center" vertical="center" wrapText="1"/>
    </xf>
    <xf numFmtId="49" fontId="23" fillId="41" borderId="13" xfId="0" applyFont="1" applyFill="1" applyBorder="1" applyNumberFormat="1">
      <alignment horizontal="left" vertical="center" wrapText="1"/>
      <protection locked="0"/>
    </xf>
    <xf numFmtId="250" fontId="0" fillId="41" borderId="13" xfId="0" applyFont="1" applyFill="1" applyBorder="1" applyNumberFormat="1">
      <alignment horizontal="center" vertical="center" wrapText="1"/>
      <protection locked="0"/>
    </xf>
    <xf numFmtId="49" fontId="29" fillId="41" borderId="13" xfId="0" applyFont="1" applyFill="1" applyBorder="1" applyNumberFormat="1">
      <alignment horizontal="left" vertical="center" wrapText="1"/>
      <protection locked="0"/>
    </xf>
    <xf numFmtId="49" fontId="0" fillId="41" borderId="13" xfId="0" applyFont="1" applyFill="1" applyBorder="1" applyNumberFormat="1">
      <alignment horizontal="center" vertical="center" wrapText="1"/>
      <protection locked="0"/>
    </xf>
    <xf numFmtId="0" fontId="56" fillId="0" borderId="0" xfId="0" applyFont="1">
      <alignment vertical="top"/>
    </xf>
    <xf numFmtId="49" fontId="56" fillId="0" borderId="0" xfId="0" applyFont="1" applyNumberFormat="1">
      <alignment vertical="top"/>
    </xf>
    <xf numFmtId="49" fontId="23" fillId="0" borderId="0" xfId="0" applyFont="1" applyNumberFormat="1">
      <alignment vertical="top"/>
    </xf>
    <xf numFmtId="0" fontId="48" fillId="36" borderId="0" xfId="0" applyFont="1" applyFill="1">
      <alignment vertical="center" wrapText="1"/>
    </xf>
    <xf numFmtId="49" fontId="0" fillId="36" borderId="13" xfId="0" applyFont="1" applyFill="1" applyBorder="1" applyNumberFormat="1">
      <alignment horizontal="center" vertical="center" wrapText="1"/>
    </xf>
    <xf numFmtId="0" fontId="132" fillId="41" borderId="15" xfId="0" applyFont="1" applyFill="1" applyBorder="1">
      <alignment horizontal="left" vertical="center" wrapText="1" indent="2"/>
      <protection locked="0"/>
    </xf>
    <xf numFmtId="0" fontId="23" fillId="0" borderId="0" xfId="0" applyFont="1">
      <alignment vertical="center" wrapText="1"/>
    </xf>
    <xf numFmtId="49" fontId="55" fillId="0" borderId="0" xfId="0" applyFont="1" applyNumberFormat="1">
      <alignment horizontal="center" vertical="center" wrapText="1"/>
    </xf>
    <xf numFmtId="0" fontId="55" fillId="0" borderId="0" xfId="0" applyFont="1">
      <alignment vertical="center" wrapText="1"/>
    </xf>
    <xf numFmtId="0" fontId="46" fillId="0" borderId="25" xfId="0" applyFont="1" applyBorder="1">
      <alignment horizontal="center" vertical="center" wrapText="1"/>
    </xf>
    <xf numFmtId="49" fontId="23" fillId="0" borderId="13" xfId="0" applyFont="1" applyBorder="1" applyNumberFormat="1">
      <alignment horizontal="center" vertical="top" wrapText="1"/>
    </xf>
    <xf numFmtId="0" fontId="0" fillId="38" borderId="13" xfId="0" applyFont="1" applyFill="1" applyBorder="1">
      <alignment horizontal="left" vertical="top" wrapText="1" indent="1"/>
    </xf>
    <xf numFmtId="49" fontId="23" fillId="42" borderId="18" xfId="0" applyFont="1" applyFill="1" applyBorder="1" applyNumberFormat="1">
      <alignment horizontal="center" vertical="top" wrapText="1"/>
    </xf>
    <xf numFmtId="250" fontId="0" fillId="41" borderId="13" xfId="0" applyFont="1" applyFill="1" applyBorder="1" applyNumberFormat="1">
      <alignment horizontal="center" vertical="top" wrapText="1"/>
      <protection locked="0"/>
    </xf>
    <xf numFmtId="250" fontId="0" fillId="33" borderId="13" xfId="0" applyFont="1" applyFill="1" applyBorder="1" applyNumberFormat="1">
      <alignment horizontal="center" vertical="top" wrapText="1"/>
      <protection locked="0"/>
    </xf>
    <xf numFmtId="49" fontId="23" fillId="42" borderId="13" xfId="0" applyFont="1" applyFill="1" applyBorder="1" applyNumberFormat="1">
      <alignment horizontal="left" vertical="top" wrapText="1"/>
    </xf>
    <xf numFmtId="49" fontId="23" fillId="41" borderId="13" xfId="0" applyFont="1" applyFill="1" applyBorder="1" applyNumberFormat="1">
      <alignment horizontal="left" vertical="top" wrapText="1"/>
      <protection locked="0"/>
    </xf>
    <xf numFmtId="49" fontId="0" fillId="38" borderId="13" xfId="0" applyFont="1" applyFill="1" applyBorder="1" applyNumberFormat="1">
      <alignment horizontal="center" vertical="top" wrapText="1"/>
    </xf>
    <xf numFmtId="0" fontId="23" fillId="38" borderId="13" xfId="0" applyFont="1" applyFill="1" applyBorder="1">
      <alignment horizontal="center" vertical="top" wrapText="1"/>
    </xf>
    <xf numFmtId="0" fontId="23" fillId="33" borderId="13" xfId="0" applyFont="1" applyFill="1" applyBorder="1">
      <alignment horizontal="left" vertical="top" wrapText="1"/>
      <protection locked="0"/>
    </xf>
    <xf numFmtId="49" fontId="23" fillId="42" borderId="13" xfId="0" applyFont="1" applyFill="1" applyBorder="1" applyNumberFormat="1">
      <alignment horizontal="center" vertical="top" wrapText="1"/>
    </xf>
    <xf numFmtId="0" fontId="23" fillId="0" borderId="37" xfId="0" applyFont="1" applyBorder="1">
      <alignment horizontal="center" vertical="center" wrapText="1"/>
    </xf>
    <xf numFmtId="0" fontId="23" fillId="0" borderId="13" xfId="0" applyFont="1" applyBorder="1">
      <alignment horizontal="center" vertical="center" wrapText="1"/>
    </xf>
    <xf numFmtId="49" fontId="23" fillId="41" borderId="18" xfId="0" applyFont="1" applyFill="1" applyBorder="1" applyNumberFormat="1">
      <alignment horizontal="left" vertical="center" wrapText="1" indent="1"/>
      <protection locked="0"/>
    </xf>
    <xf numFmtId="0" fontId="23" fillId="0" borderId="25" xfId="0" applyFont="1" applyBorder="1">
      <alignment vertical="top" wrapText="1"/>
    </xf>
    <xf numFmtId="49" fontId="23" fillId="42" borderId="24" xfId="0" applyFont="1" applyFill="1" applyBorder="1" applyNumberFormat="1">
      <alignment horizontal="center" vertical="top" wrapText="1"/>
    </xf>
    <xf numFmtId="49" fontId="0" fillId="41" borderId="13" xfId="0" applyFont="1" applyFill="1" applyBorder="1" applyNumberFormat="1">
      <alignment horizontal="center" vertical="top" wrapText="1"/>
      <protection locked="0"/>
    </xf>
    <xf numFmtId="49" fontId="0" fillId="33" borderId="13" xfId="0" applyFont="1" applyFill="1" applyBorder="1" applyNumberFormat="1">
      <alignment horizontal="center" vertical="top" wrapText="1"/>
      <protection locked="0"/>
    </xf>
    <xf numFmtId="49" fontId="23" fillId="42" borderId="15" xfId="0" applyFont="1" applyFill="1" applyBorder="1" applyNumberFormat="1">
      <alignment horizontal="center" vertical="top" wrapText="1"/>
    </xf>
    <xf numFmtId="0" fontId="23" fillId="40" borderId="15" xfId="0" applyFont="1" applyFill="1" applyBorder="1">
      <alignment vertical="center" wrapText="1"/>
    </xf>
    <xf numFmtId="0" fontId="23" fillId="40" borderId="16" xfId="0" applyFont="1" applyFill="1" applyBorder="1">
      <alignment vertical="center" wrapText="1"/>
    </xf>
    <xf numFmtId="49" fontId="49" fillId="40" borderId="14" xfId="0" applyFont="1" applyFill="1" applyBorder="1" applyNumberFormat="1">
      <alignment horizontal="left" vertical="center" indent="1"/>
    </xf>
    <xf numFmtId="0" fontId="23" fillId="0" borderId="0" xfId="0" applyFont="1">
      <alignment vertical="center" wrapText="1"/>
    </xf>
    <xf numFmtId="0" fontId="46" fillId="0" borderId="25" xfId="0" applyFont="1" applyBorder="1">
      <alignment horizontal="center" vertical="center" wrapText="1"/>
    </xf>
    <xf numFmtId="49" fontId="23" fillId="0" borderId="37" xfId="0" applyFont="1" applyBorder="1" applyNumberFormat="1">
      <alignment horizontal="center" vertical="top" wrapText="1"/>
    </xf>
    <xf numFmtId="0" fontId="0" fillId="38" borderId="37" xfId="0" applyFont="1" applyFill="1" applyBorder="1">
      <alignment horizontal="left" vertical="top" wrapText="1" indent="1"/>
    </xf>
    <xf numFmtId="49" fontId="23" fillId="42" borderId="37" xfId="0" applyFont="1" applyFill="1" applyBorder="1" applyNumberFormat="1">
      <alignment horizontal="center" vertical="top" wrapText="1"/>
    </xf>
    <xf numFmtId="49" fontId="0" fillId="41" borderId="37" xfId="0" applyFont="1" applyFill="1" applyBorder="1" applyNumberFormat="1">
      <alignment horizontal="center" vertical="top" wrapText="1"/>
      <protection locked="0"/>
    </xf>
    <xf numFmtId="49" fontId="0" fillId="33" borderId="37" xfId="0" applyFont="1" applyFill="1" applyBorder="1" applyNumberFormat="1">
      <alignment horizontal="center" vertical="top" wrapText="1"/>
      <protection locked="0"/>
    </xf>
    <xf numFmtId="49" fontId="23" fillId="42" borderId="37" xfId="0" applyFont="1" applyFill="1" applyBorder="1" applyNumberFormat="1">
      <alignment horizontal="left" vertical="top" wrapText="1"/>
    </xf>
    <xf numFmtId="49" fontId="23" fillId="41" borderId="37" xfId="0" applyFont="1" applyFill="1" applyBorder="1" applyNumberFormat="1">
      <alignment horizontal="left" vertical="top" wrapText="1"/>
      <protection locked="0"/>
    </xf>
    <xf numFmtId="49" fontId="0" fillId="38" borderId="37" xfId="0" applyFont="1" applyFill="1" applyBorder="1" applyNumberFormat="1">
      <alignment horizontal="center" vertical="top" wrapText="1"/>
    </xf>
    <xf numFmtId="0" fontId="23" fillId="38" borderId="37" xfId="0" applyFont="1" applyFill="1" applyBorder="1">
      <alignment horizontal="center" vertical="top" wrapText="1"/>
    </xf>
    <xf numFmtId="0" fontId="23" fillId="33" borderId="37" xfId="0" applyFont="1" applyFill="1" applyBorder="1">
      <alignment horizontal="left" vertical="top" wrapText="1"/>
      <protection locked="0"/>
    </xf>
    <xf numFmtId="0" fontId="23" fillId="0" borderId="37" xfId="0" applyFont="1" applyBorder="1">
      <alignment horizontal="center" vertical="center" wrapText="1"/>
    </xf>
    <xf numFmtId="0" fontId="23" fillId="0" borderId="13" xfId="0" applyFont="1" applyBorder="1">
      <alignment horizontal="center" vertical="center" wrapText="1"/>
    </xf>
    <xf numFmtId="0" fontId="56" fillId="0" borderId="0" xfId="0" applyFont="1">
      <alignment vertical="center" wrapText="1"/>
    </xf>
    <xf numFmtId="49" fontId="56" fillId="0" borderId="0" xfId="0" applyFont="1" applyNumberFormat="1">
      <alignment horizontal="center" vertical="center" wrapText="1"/>
    </xf>
    <xf numFmtId="0" fontId="23" fillId="36" borderId="0" xfId="0" applyFont="1" applyFill="1">
      <alignment vertical="center" wrapText="1"/>
    </xf>
    <xf numFmtId="0" fontId="109" fillId="0" borderId="49" xfId="0" applyFont="1" applyBorder="1">
      <alignment horizontal="left" vertical="center" indent="1"/>
    </xf>
    <xf numFmtId="0" fontId="109" fillId="0" borderId="50" xfId="0" applyFont="1" applyBorder="1">
      <alignment horizontal="left" vertical="center" indent="1"/>
    </xf>
    <xf numFmtId="0" fontId="0" fillId="0" borderId="50" xfId="0" applyFont="1" applyBorder="1">
      <alignment horizontal="left" vertical="center" wrapText="1"/>
    </xf>
    <xf numFmtId="0" fontId="23" fillId="0" borderId="50" xfId="0" applyFont="1" applyBorder="1">
      <alignment vertical="center" wrapText="1"/>
    </xf>
    <xf numFmtId="0" fontId="23" fillId="0" borderId="55" xfId="0" applyFont="1" applyBorder="1">
      <alignment vertical="center" wrapText="1"/>
    </xf>
    <xf numFmtId="0" fontId="23" fillId="0" borderId="56" xfId="0" applyFont="1" applyBorder="1">
      <alignment vertical="center" wrapText="1"/>
    </xf>
    <xf numFmtId="0" fontId="23" fillId="0" borderId="39" xfId="0" applyFont="1" applyBorder="1">
      <alignment vertical="center" wrapText="1"/>
    </xf>
    <xf numFmtId="49" fontId="23" fillId="0" borderId="0" xfId="0" applyFont="1" applyNumberFormat="1">
      <alignment vertical="top"/>
    </xf>
    <xf numFmtId="49" fontId="23" fillId="38" borderId="13" xfId="0" applyFont="1" applyFill="1" applyBorder="1" applyNumberFormat="1">
      <alignment horizontal="center" vertical="center" wrapText="1"/>
    </xf>
    <xf numFmtId="49" fontId="23" fillId="0" borderId="14" xfId="0" applyFont="1" applyBorder="1" applyNumberFormat="1">
      <alignment horizontal="center" vertical="center" wrapText="1"/>
    </xf>
    <xf numFmtId="49" fontId="23" fillId="42" borderId="14" xfId="0" applyFont="1" applyFill="1" applyBorder="1" applyNumberFormat="1">
      <alignment horizontal="left" vertical="center" wrapText="1"/>
    </xf>
    <xf numFmtId="49" fontId="23" fillId="42" borderId="13" xfId="0" applyFont="1" applyFill="1" applyBorder="1" applyNumberFormat="1">
      <alignment horizontal="left" vertical="center" wrapText="1"/>
    </xf>
    <xf numFmtId="49" fontId="23" fillId="41" borderId="13" xfId="0" applyFont="1" applyFill="1" applyBorder="1" applyNumberFormat="1">
      <alignment horizontal="left" vertical="center" wrapText="1"/>
      <protection locked="0"/>
    </xf>
    <xf numFmtId="49" fontId="23" fillId="42" borderId="15" xfId="0" applyFont="1" applyFill="1" applyBorder="1" applyNumberFormat="1">
      <alignment horizontal="center" vertical="center" wrapText="1"/>
    </xf>
    <xf numFmtId="49" fontId="23" fillId="0" borderId="13" xfId="0" applyFont="1" applyBorder="1" applyNumberFormat="1">
      <alignment horizontal="center" vertical="center" wrapText="1"/>
    </xf>
    <xf numFmtId="49" fontId="111" fillId="40" borderId="44" xfId="0" applyFont="1" applyFill="1" applyBorder="1" applyNumberFormat="1">
      <alignment horizontal="left" vertical="center" indent="1"/>
    </xf>
    <xf numFmtId="49" fontId="100" fillId="40" borderId="44" xfId="0" applyFont="1" applyFill="1" applyBorder="1" applyNumberFormat="1">
      <alignment horizontal="center" vertical="center"/>
    </xf>
    <xf numFmtId="3" fontId="23" fillId="41" borderId="13" xfId="0" applyFont="1" applyFill="1" applyBorder="1" applyNumberFormat="1">
      <alignment horizontal="center" vertical="center" wrapText="1"/>
      <protection locked="0"/>
    </xf>
    <xf numFmtId="0" fontId="23" fillId="0" borderId="0" xfId="0" applyFont="1">
      <alignment vertical="center" wrapText="1"/>
    </xf>
    <xf numFmtId="49" fontId="112" fillId="0" borderId="14" xfId="0" applyFont="1" applyBorder="1" applyNumberFormat="1">
      <alignment horizontal="center" vertical="center" wrapText="1"/>
    </xf>
    <xf numFmtId="0" fontId="54" fillId="0" borderId="13" xfId="0" applyFont="1" applyBorder="1">
      <alignment horizontal="center" vertical="center"/>
    </xf>
    <xf numFmtId="49" fontId="129" fillId="42" borderId="18" xfId="0" applyFont="1" applyFill="1" applyBorder="1" applyNumberFormat="1">
      <alignment horizontal="left" vertical="center" wrapText="1" indent="1"/>
    </xf>
    <xf numFmtId="49" fontId="129" fillId="0" borderId="13" xfId="0" applyFont="1" applyBorder="1" applyNumberFormat="1">
      <alignment horizontal="left" vertical="center" wrapText="1"/>
    </xf>
    <xf numFmtId="49" fontId="111" fillId="40" borderId="15" xfId="0" applyFont="1" applyFill="1" applyBorder="1" applyNumberFormat="1">
      <alignment horizontal="left" vertical="center" indent="1"/>
    </xf>
    <xf numFmtId="49" fontId="111" fillId="40" borderId="16" xfId="0" applyFont="1" applyFill="1" applyBorder="1" applyNumberFormat="1">
      <alignment horizontal="left" vertical="center" indent="1"/>
    </xf>
    <xf numFmtId="49" fontId="133" fillId="40" borderId="16" xfId="0" applyFont="1" applyFill="1" applyBorder="1" applyNumberFormat="1">
      <alignment vertical="top" wrapText="1"/>
    </xf>
    <xf numFmtId="49" fontId="133" fillId="40" borderId="14" xfId="0" applyFont="1" applyFill="1" applyBorder="1" applyNumberFormat="1">
      <alignment vertical="top" wrapText="1"/>
    </xf>
    <xf numFmtId="49" fontId="129" fillId="42" borderId="37" xfId="0" applyFont="1" applyFill="1" applyBorder="1" applyNumberFormat="1">
      <alignment horizontal="left" vertical="center" wrapText="1" indent="1"/>
    </xf>
    <xf numFmtId="49" fontId="129" fillId="38" borderId="13" xfId="0" applyFont="1" applyFill="1" applyBorder="1" applyNumberFormat="1">
      <alignment horizontal="left" vertical="center" wrapText="1"/>
    </xf>
    <xf numFmtId="49" fontId="112" fillId="0" borderId="0" xfId="0" applyFont="1" applyNumberFormat="1">
      <alignment horizontal="center" vertical="top" wrapText="1"/>
    </xf>
    <xf numFmtId="0" fontId="54" fillId="0" borderId="13" xfId="0" applyFont="1" applyBorder="1">
      <alignment horizontal="center" vertical="center"/>
    </xf>
    <xf numFmtId="0" fontId="133" fillId="42" borderId="13" xfId="0" applyFont="1" applyFill="1" applyBorder="1">
      <alignment horizontal="left" vertical="center" wrapText="1" indent="1"/>
    </xf>
    <xf numFmtId="4" fontId="23" fillId="41" borderId="32" xfId="0" applyFont="1" applyFill="1" applyBorder="1" applyNumberFormat="1">
      <alignment horizontal="right" vertical="center" wrapText="1"/>
      <protection locked="0"/>
    </xf>
    <xf numFmtId="49" fontId="129" fillId="42" borderId="24" xfId="0" applyFont="1" applyFill="1" applyBorder="1" applyNumberFormat="1">
      <alignment horizontal="left" vertical="center" wrapText="1" indent="1"/>
    </xf>
    <xf numFmtId="49" fontId="49" fillId="40" borderId="16" xfId="0" applyFont="1" applyFill="1" applyBorder="1" applyNumberFormat="1">
      <alignment horizontal="left" vertical="center" indent="1"/>
    </xf>
    <xf numFmtId="49" fontId="133" fillId="40" borderId="53" xfId="0" applyFont="1" applyFill="1" applyBorder="1" applyNumberFormat="1">
      <alignment vertical="top" wrapText="1"/>
    </xf>
    <xf numFmtId="49" fontId="49" fillId="40" borderId="16" xfId="0" applyFont="1" applyFill="1" applyBorder="1" applyNumberFormat="1">
      <alignment horizontal="left" vertical="center" indent="1"/>
    </xf>
    <xf numFmtId="49" fontId="111" fillId="40" borderId="53" xfId="0" applyFont="1" applyFill="1" applyBorder="1" applyNumberFormat="1">
      <alignment horizontal="left" vertical="center" indent="1"/>
    </xf>
    <xf numFmtId="49" fontId="23" fillId="38" borderId="59" xfId="0" applyFont="1" applyFill="1" applyBorder="1" applyNumberFormat="1">
      <alignment horizontal="center" vertical="center" wrapText="1"/>
    </xf>
    <xf numFmtId="0" fontId="0" fillId="40" borderId="51" xfId="0" applyFont="1" applyFill="1" applyBorder="1">
      <alignment horizontal="left" vertical="center"/>
    </xf>
    <xf numFmtId="49" fontId="49" fillId="40" borderId="52" xfId="0" applyFont="1" applyFill="1" applyBorder="1" applyNumberFormat="1">
      <alignment horizontal="left" vertical="center" indent="1"/>
    </xf>
    <xf numFmtId="0" fontId="23" fillId="40" borderId="51" xfId="0" applyFont="1" applyFill="1" applyBorder="1">
      <alignment vertical="center" wrapText="1"/>
    </xf>
    <xf numFmtId="0" fontId="23" fillId="40" borderId="52" xfId="0" applyFont="1" applyFill="1" applyBorder="1">
      <alignment vertical="center" wrapText="1"/>
    </xf>
    <xf numFmtId="0" fontId="23" fillId="40" borderId="54" xfId="0" applyFont="1" applyFill="1" applyBorder="1">
      <alignment vertical="center" wrapText="1"/>
    </xf>
    <xf numFmtId="49" fontId="0" fillId="38" borderId="37" xfId="0" applyFont="1" applyFill="1" applyBorder="1" applyNumberFormat="1">
      <alignment vertical="top"/>
    </xf>
    <xf numFmtId="49" fontId="0" fillId="0" borderId="37" xfId="0" applyFont="1" applyBorder="1" applyNumberFormat="1">
      <alignment vertical="top"/>
    </xf>
    <xf numFmtId="49" fontId="129" fillId="42" borderId="18" xfId="0" applyFont="1" applyFill="1" applyBorder="1" applyNumberFormat="1">
      <alignment vertical="center" wrapText="1"/>
    </xf>
    <xf numFmtId="49" fontId="0" fillId="41" borderId="37" xfId="0" applyFont="1" applyFill="1" applyBorder="1" applyNumberFormat="1">
      <alignment vertical="top"/>
      <protection locked="0"/>
    </xf>
    <xf numFmtId="49" fontId="112" fillId="0" borderId="13" xfId="0" applyFont="1" applyBorder="1" applyNumberFormat="1">
      <alignment horizontal="center" vertical="center" wrapText="1"/>
    </xf>
    <xf numFmtId="49" fontId="0" fillId="41" borderId="18" xfId="0" applyFont="1" applyFill="1" applyBorder="1" applyNumberFormat="1">
      <alignment vertical="top"/>
      <protection locked="0"/>
    </xf>
    <xf numFmtId="14" fontId="23" fillId="42" borderId="37" xfId="0" applyFont="1" applyFill="1" applyBorder="1" applyNumberFormat="1">
      <alignment horizontal="left" vertical="center" wrapText="1" indent="1"/>
    </xf>
    <xf numFmtId="49" fontId="129" fillId="42" borderId="37" xfId="0" applyFont="1" applyFill="1" applyBorder="1" applyNumberFormat="1">
      <alignment vertical="center" wrapText="1"/>
    </xf>
    <xf numFmtId="0" fontId="54" fillId="0" borderId="13" xfId="0" applyFont="1" applyBorder="1">
      <alignment horizontal="center" vertical="center"/>
    </xf>
    <xf numFmtId="4" fontId="23" fillId="41" borderId="34" xfId="0" applyFont="1" applyFill="1" applyBorder="1" applyNumberFormat="1">
      <alignment horizontal="right" vertical="center" wrapText="1"/>
      <protection locked="0"/>
    </xf>
    <xf numFmtId="49" fontId="129" fillId="42" borderId="24" xfId="0" applyFont="1" applyFill="1" applyBorder="1" applyNumberFormat="1">
      <alignment vertical="center" wrapText="1"/>
    </xf>
    <xf numFmtId="49" fontId="0" fillId="41" borderId="24" xfId="0" applyFont="1" applyFill="1" applyBorder="1" applyNumberFormat="1">
      <alignment vertical="top"/>
      <protection locked="0"/>
    </xf>
    <xf numFmtId="49" fontId="54" fillId="0" borderId="0" xfId="0" applyFont="1" applyNumberFormat="1">
      <alignment vertical="center"/>
    </xf>
    <xf numFmtId="49" fontId="105" fillId="0" borderId="0" xfId="0" applyFont="1" applyNumberFormat="1">
      <alignment vertical="center"/>
    </xf>
    <xf numFmtId="49" fontId="54" fillId="0" borderId="0" xfId="0" applyFont="1" applyNumberFormat="1">
      <alignment vertical="center"/>
    </xf>
    <xf numFmtId="49" fontId="54" fillId="36" borderId="0" xfId="0" applyFont="1" applyFill="1" applyNumberFormat="1">
      <alignment vertical="center"/>
    </xf>
    <xf numFmtId="0" fontId="109" fillId="0" borderId="48" xfId="0" applyFont="1" applyBorder="1">
      <alignment horizontal="left" vertical="center" indent="1"/>
    </xf>
    <xf numFmtId="49" fontId="23" fillId="0" borderId="57" xfId="0" applyFont="1" applyBorder="1" applyNumberFormat="1">
      <alignment horizontal="center" vertical="center"/>
    </xf>
    <xf numFmtId="0" fontId="23" fillId="0" borderId="57" xfId="0" applyFont="1" applyBorder="1">
      <alignment horizontal="right" vertical="center"/>
    </xf>
    <xf numFmtId="0" fontId="23" fillId="0" borderId="57" xfId="0" applyFont="1" applyBorder="1">
      <alignment horizontal="center" vertical="center"/>
    </xf>
    <xf numFmtId="0" fontId="23" fillId="0" borderId="16" xfId="0" applyFont="1" applyBorder="1">
      <alignment horizontal="right" vertical="center"/>
    </xf>
    <xf numFmtId="0" fontId="23" fillId="0" borderId="14" xfId="0" applyFont="1" applyBorder="1">
      <alignment horizontal="right" vertical="center"/>
    </xf>
    <xf numFmtId="0" fontId="23" fillId="0" borderId="13" xfId="0" applyFont="1" applyBorder="1">
      <alignment horizontal="right" vertical="center"/>
    </xf>
    <xf numFmtId="49" fontId="23" fillId="0" borderId="0" xfId="0" applyFont="1" applyNumberFormat="1">
      <alignment vertical="center"/>
    </xf>
    <xf numFmtId="49" fontId="105" fillId="0" borderId="0" xfId="0" applyFont="1" applyNumberFormat="1">
      <alignment vertical="center"/>
    </xf>
    <xf numFmtId="49" fontId="0" fillId="0" borderId="0" xfId="0" applyFont="1" applyNumberFormat="1">
      <alignment vertical="top"/>
    </xf>
    <xf numFmtId="0" fontId="23" fillId="36" borderId="13" xfId="0" applyFont="1" applyFill="1" applyBorder="1">
      <alignment horizontal="center" vertical="center"/>
    </xf>
    <xf numFmtId="0" fontId="129" fillId="42" borderId="13" xfId="0" applyFont="1" applyFill="1" applyBorder="1">
      <alignment horizontal="left" vertical="center" wrapText="1" indent="1"/>
    </xf>
    <xf numFmtId="0" fontId="129" fillId="41" borderId="13" xfId="0" applyFont="1" applyFill="1" applyBorder="1">
      <alignment horizontal="left" vertical="center" wrapText="1" indent="1"/>
      <protection locked="0"/>
    </xf>
    <xf numFmtId="0" fontId="23" fillId="33" borderId="13" xfId="0" applyFont="1" applyFill="1" applyBorder="1">
      <alignment horizontal="left" vertical="center" indent="1"/>
      <protection locked="0"/>
    </xf>
    <xf numFmtId="0" fontId="23" fillId="34" borderId="13" xfId="0" applyFont="1" applyFill="1" applyBorder="1">
      <alignment horizontal="right" vertical="center"/>
    </xf>
    <xf numFmtId="3" fontId="23" fillId="33" borderId="13" xfId="0" applyFont="1" applyFill="1" applyBorder="1" applyNumberFormat="1">
      <alignment horizontal="right" vertical="center"/>
      <protection locked="0"/>
    </xf>
    <xf numFmtId="4" fontId="23" fillId="33" borderId="13" xfId="0" applyFont="1" applyFill="1" applyBorder="1" applyNumberFormat="1">
      <alignment horizontal="right" vertical="center"/>
      <protection locked="0"/>
    </xf>
    <xf numFmtId="49" fontId="49" fillId="40" borderId="58" xfId="0" applyFont="1" applyFill="1" applyBorder="1" applyNumberFormat="1">
      <alignment horizontal="left" vertical="center" indent="1"/>
    </xf>
    <xf numFmtId="49" fontId="49" fillId="40" borderId="52" xfId="0" applyFont="1" applyFill="1" applyBorder="1" applyNumberFormat="1">
      <alignment horizontal="left" vertical="center" indent="1"/>
    </xf>
    <xf numFmtId="49" fontId="49" fillId="40" borderId="52" xfId="0" applyFont="1" applyFill="1" applyBorder="1" applyNumberFormat="1">
      <alignment horizontal="left" vertical="center" indent="1"/>
    </xf>
    <xf numFmtId="49" fontId="49" fillId="53" borderId="14" xfId="0" applyFont="1" applyFill="1" applyBorder="1" applyNumberFormat="1">
      <alignment horizontal="left" vertical="center" indent="1"/>
    </xf>
    <xf numFmtId="49" fontId="23" fillId="0" borderId="0" xfId="0" applyFont="1" applyNumberFormat="1">
      <alignment vertical="top"/>
    </xf>
    <xf numFmtId="49" fontId="54" fillId="0" borderId="0" xfId="0" applyFont="1" applyNumberFormat="1">
      <alignment vertical="top"/>
    </xf>
    <xf numFmtId="0" fontId="0" fillId="0" borderId="0" xfId="0" applyFont="1">
      <alignment vertical="top"/>
    </xf>
    <xf numFmtId="49" fontId="0" fillId="0" borderId="0" xfId="0" applyFont="1" applyNumberFormat="1">
      <alignment vertical="top"/>
    </xf>
    <xf numFmtId="49" fontId="23" fillId="0" borderId="18" xfId="0" applyFont="1" applyBorder="1" applyNumberFormat="1">
      <alignment horizontal="center" vertical="center" wrapText="1"/>
    </xf>
    <xf numFmtId="0" fontId="0" fillId="0" borderId="15" xfId="0" applyFont="1" applyBorder="1">
      <alignment horizontal="right" vertical="center" wrapText="1" indent="1"/>
    </xf>
    <xf numFmtId="0" fontId="0" fillId="0" borderId="16" xfId="0" applyFont="1" applyBorder="1">
      <alignment horizontal="right" vertical="center" wrapText="1" indent="1"/>
    </xf>
    <xf numFmtId="0" fontId="0" fillId="0" borderId="14" xfId="0" applyFont="1" applyBorder="1">
      <alignment horizontal="right" vertical="center" wrapText="1" indent="1"/>
    </xf>
    <xf numFmtId="0" fontId="0" fillId="38" borderId="13" xfId="0" applyFont="1" applyFill="1" applyBorder="1">
      <alignment horizontal="left" vertical="center" wrapText="1" indent="1"/>
    </xf>
    <xf numFmtId="0" fontId="23" fillId="0" borderId="14" xfId="0" applyFont="1" applyBorder="1">
      <alignment horizontal="left" vertical="center" wrapText="1" indent="1"/>
    </xf>
    <xf numFmtId="49" fontId="56" fillId="0" borderId="23" xfId="0" applyFont="1" applyBorder="1" applyNumberFormat="1">
      <alignment vertical="top"/>
    </xf>
    <xf numFmtId="49" fontId="56" fillId="0" borderId="0" xfId="0" applyFont="1" applyNumberFormat="1">
      <alignment vertical="top"/>
    </xf>
    <xf numFmtId="49" fontId="55" fillId="0" borderId="0" xfId="0" applyFont="1" applyNumberFormat="1">
      <alignment vertical="top"/>
    </xf>
    <xf numFmtId="49" fontId="56" fillId="0" borderId="0" xfId="0" applyFont="1" applyNumberFormat="1">
      <alignment vertical="top"/>
    </xf>
    <xf numFmtId="49" fontId="55" fillId="0" borderId="0" xfId="0" applyFont="1" applyNumberFormat="1">
      <alignment vertical="top"/>
    </xf>
    <xf numFmtId="0" fontId="55" fillId="0" borderId="0" xfId="0" applyFont="1">
      <alignment horizontal="center" vertical="top"/>
    </xf>
    <xf numFmtId="49" fontId="55" fillId="0" borderId="0" xfId="0" applyFont="1" applyNumberFormat="1">
      <alignment vertical="top"/>
    </xf>
    <xf numFmtId="0" fontId="55" fillId="0" borderId="0" xfId="0" applyFont="1">
      <alignment vertical="top"/>
    </xf>
    <xf numFmtId="0" fontId="80" fillId="0" borderId="0" xfId="0" applyFont="1">
      <alignment vertical="top"/>
    </xf>
    <xf numFmtId="0" fontId="93" fillId="0" borderId="0" xfId="0" applyFont="1">
      <alignment vertical="top"/>
    </xf>
    <xf numFmtId="49" fontId="23" fillId="0" borderId="37" xfId="0" applyFont="1" applyBorder="1" applyNumberFormat="1">
      <alignment horizontal="center" vertical="center" wrapText="1"/>
    </xf>
    <xf numFmtId="0" fontId="55" fillId="0" borderId="0" xfId="0" applyFont="1">
      <alignment horizontal="center" vertical="center" wrapText="1"/>
    </xf>
    <xf numFmtId="0" fontId="23" fillId="0" borderId="24" xfId="0" applyFont="1" applyBorder="1">
      <alignment horizontal="left" vertical="center" wrapText="1"/>
    </xf>
    <xf numFmtId="4" fontId="23" fillId="38" borderId="13" xfId="0" applyFont="1" applyFill="1" applyBorder="1" applyNumberFormat="1">
      <alignment horizontal="right" vertical="center" wrapText="1"/>
    </xf>
    <xf numFmtId="2" fontId="23" fillId="0" borderId="24" xfId="0" applyFont="1" applyBorder="1" applyNumberFormat="1">
      <alignment horizontal="center" vertical="center" wrapText="1"/>
    </xf>
    <xf numFmtId="0" fontId="23" fillId="0" borderId="13" xfId="0" applyFont="1" applyBorder="1">
      <alignment horizontal="left" vertical="center" wrapText="1"/>
    </xf>
    <xf numFmtId="49" fontId="56" fillId="0" borderId="23" xfId="0" applyFont="1" applyBorder="1" applyNumberFormat="1">
      <alignment vertical="top"/>
    </xf>
    <xf numFmtId="0" fontId="56" fillId="0" borderId="0" xfId="0" applyFont="1">
      <alignment horizontal="center" vertical="center" wrapText="1"/>
    </xf>
    <xf numFmtId="0" fontId="56" fillId="0" borderId="0" xfId="0" applyFont="1">
      <alignment horizontal="center" vertical="center" wrapText="1"/>
    </xf>
    <xf numFmtId="0" fontId="56" fillId="0" borderId="13" xfId="0" applyFont="1" applyBorder="1">
      <alignment horizontal="left" vertical="center" wrapText="1"/>
    </xf>
    <xf numFmtId="0" fontId="56" fillId="0" borderId="13" xfId="0" applyFont="1" applyBorder="1">
      <alignment vertical="center" wrapText="1"/>
    </xf>
    <xf numFmtId="0" fontId="56" fillId="0" borderId="23" xfId="0" applyFont="1" applyBorder="1">
      <alignment vertical="center" wrapText="1"/>
    </xf>
    <xf numFmtId="49" fontId="49" fillId="40" borderId="15" xfId="0" applyFont="1" applyFill="1" applyBorder="1" applyNumberFormat="1">
      <alignment horizontal="left" vertical="center"/>
    </xf>
    <xf numFmtId="49" fontId="49" fillId="40" borderId="16" xfId="0" applyFont="1" applyFill="1" applyBorder="1" applyNumberFormat="1">
      <alignment horizontal="left" vertical="center" indent="1"/>
    </xf>
    <xf numFmtId="49" fontId="49" fillId="40" borderId="16" xfId="0" applyFont="1" applyFill="1" applyBorder="1" applyNumberFormat="1">
      <alignment horizontal="left" vertical="center"/>
    </xf>
    <xf numFmtId="0" fontId="49" fillId="0" borderId="13" xfId="0" applyFont="1" applyBorder="1">
      <alignment horizontal="left" vertical="center" indent="1"/>
    </xf>
    <xf numFmtId="0" fontId="55" fillId="0" borderId="0" xfId="0" applyFont="1">
      <alignment horizontal="center" vertical="top"/>
    </xf>
    <xf numFmtId="49" fontId="23" fillId="0" borderId="24" xfId="0" applyFont="1" applyBorder="1" applyNumberFormat="1">
      <alignment horizontal="center" vertical="center" wrapText="1"/>
    </xf>
    <xf numFmtId="0" fontId="23" fillId="0" borderId="13" xfId="0" applyFont="1" applyBorder="1">
      <alignment horizontal="left" vertical="center" wrapText="1"/>
    </xf>
    <xf numFmtId="0" fontId="56" fillId="0" borderId="0" xfId="0" applyFont="1">
      <alignment horizontal="center" vertical="center" wrapText="1"/>
    </xf>
    <xf numFmtId="0" fontId="56" fillId="0" borderId="24" xfId="0" applyFont="1" applyBorder="1">
      <alignment vertical="center" wrapText="1"/>
    </xf>
    <xf numFmtId="4" fontId="56" fillId="0" borderId="13" xfId="0" applyFont="1" applyBorder="1" applyNumberFormat="1">
      <alignment horizontal="right" vertical="center" wrapText="1"/>
    </xf>
    <xf numFmtId="2" fontId="56" fillId="0" borderId="24" xfId="0" applyFont="1" applyBorder="1" applyNumberFormat="1">
      <alignment horizontal="center" vertical="center" wrapText="1"/>
    </xf>
    <xf numFmtId="0" fontId="56" fillId="0" borderId="13" xfId="0" applyFont="1" applyBorder="1">
      <alignment horizontal="left" vertical="center" wrapText="1"/>
    </xf>
    <xf numFmtId="0" fontId="56" fillId="0" borderId="0" xfId="0" applyFont="1">
      <alignment horizontal="center" vertical="top"/>
    </xf>
    <xf numFmtId="49" fontId="56" fillId="0" borderId="0" xfId="0" applyFont="1" applyNumberFormat="1">
      <alignment vertical="top"/>
    </xf>
    <xf numFmtId="49" fontId="56" fillId="0" borderId="15" xfId="0" applyFont="1" applyBorder="1" applyNumberFormat="1">
      <alignment horizontal="left" vertical="center"/>
    </xf>
    <xf numFmtId="49" fontId="56" fillId="0" borderId="16" xfId="0" applyFont="1" applyBorder="1" applyNumberFormat="1">
      <alignment horizontal="left" vertical="center" indent="1"/>
    </xf>
    <xf numFmtId="49" fontId="56" fillId="0" borderId="16" xfId="0" applyFont="1" applyBorder="1" applyNumberFormat="1">
      <alignment horizontal="left" vertical="center"/>
    </xf>
    <xf numFmtId="49" fontId="56" fillId="0" borderId="14" xfId="0" applyFont="1" applyBorder="1" applyNumberFormat="1">
      <alignment horizontal="left" vertical="center" indent="1"/>
    </xf>
    <xf numFmtId="0" fontId="56" fillId="0" borderId="13" xfId="0" applyFont="1" applyBorder="1">
      <alignment horizontal="left" vertical="center" indent="1"/>
    </xf>
    <xf numFmtId="49" fontId="0" fillId="0" borderId="20" xfId="0" applyFont="1" applyBorder="1" applyNumberFormat="1">
      <alignment vertical="top"/>
    </xf>
    <xf numFmtId="49" fontId="46" fillId="0" borderId="18" xfId="0" applyFont="1" applyBorder="1" applyNumberFormat="1">
      <alignment horizontal="center" vertical="top" wrapText="1"/>
    </xf>
    <xf numFmtId="49" fontId="23" fillId="41" borderId="15" xfId="0" applyFont="1" applyFill="1" applyBorder="1" applyNumberFormat="1">
      <alignment horizontal="left" vertical="center" wrapText="1" indent="1"/>
      <protection locked="0"/>
    </xf>
    <xf numFmtId="0" fontId="23" fillId="0" borderId="13" xfId="0" applyFont="1" applyBorder="1">
      <alignment vertical="center" wrapText="1"/>
    </xf>
    <xf numFmtId="49" fontId="0" fillId="0" borderId="14" xfId="0" applyFont="1" applyBorder="1" applyNumberFormat="1">
      <alignment horizontal="center" vertical="center" wrapText="1"/>
    </xf>
    <xf numFmtId="0" fontId="0" fillId="0" borderId="13" xfId="0" applyFont="1" applyBorder="1">
      <alignment horizontal="left" vertical="center" wrapText="1"/>
    </xf>
    <xf numFmtId="49" fontId="0" fillId="0" borderId="13" xfId="0" applyFont="1" applyBorder="1" applyNumberFormat="1">
      <alignment horizontal="center" vertical="center"/>
    </xf>
    <xf numFmtId="0" fontId="0" fillId="0" borderId="13" xfId="0" applyFont="1" applyBorder="1">
      <alignment horizontal="center" vertical="center" wrapText="1"/>
    </xf>
    <xf numFmtId="4" fontId="0" fillId="38" borderId="13" xfId="0" applyFont="1" applyFill="1" applyBorder="1" applyNumberFormat="1">
      <alignment horizontal="right" vertical="center" wrapText="1"/>
    </xf>
    <xf numFmtId="0" fontId="23" fillId="0" borderId="13" xfId="0" applyFont="1" applyBorder="1">
      <alignment horizontal="left" vertical="center" wrapText="1"/>
    </xf>
    <xf numFmtId="49" fontId="23" fillId="0" borderId="37" xfId="0" applyFont="1" applyBorder="1" applyNumberFormat="1">
      <alignment horizontal="center" vertical="top" wrapText="1"/>
    </xf>
    <xf numFmtId="0" fontId="0" fillId="41" borderId="13" xfId="0" applyFont="1" applyFill="1" applyBorder="1">
      <alignment horizontal="left" vertical="center" wrapText="1"/>
      <protection locked="0"/>
    </xf>
    <xf numFmtId="49" fontId="0" fillId="41" borderId="15" xfId="0" applyFont="1" applyFill="1" applyBorder="1" applyNumberFormat="1">
      <alignment horizontal="left" vertical="center" wrapText="1"/>
      <protection locked="0"/>
    </xf>
    <xf numFmtId="0" fontId="0" fillId="0" borderId="13" xfId="0" applyFont="1" applyBorder="1">
      <alignment vertical="center" wrapText="1"/>
    </xf>
    <xf numFmtId="49" fontId="0" fillId="0" borderId="31" xfId="0" applyFont="1" applyBorder="1" applyNumberFormat="1">
      <alignment horizontal="center" vertical="center" wrapText="1"/>
    </xf>
    <xf numFmtId="49" fontId="0" fillId="41" borderId="13" xfId="0" applyFont="1" applyFill="1" applyBorder="1" applyNumberFormat="1">
      <alignment horizontal="left" vertical="center" wrapText="1"/>
      <protection locked="0"/>
    </xf>
    <xf numFmtId="4" fontId="0" fillId="41" borderId="13" xfId="0" applyFont="1" applyFill="1" applyBorder="1" applyNumberFormat="1">
      <alignment horizontal="right" vertical="center" wrapText="1"/>
      <protection locked="0"/>
    </xf>
    <xf numFmtId="49" fontId="0" fillId="41" borderId="13" xfId="0" applyFont="1" applyFill="1" applyBorder="1" applyNumberFormat="1">
      <alignment horizontal="center" vertical="center" wrapText="1"/>
      <protection locked="0"/>
    </xf>
    <xf numFmtId="4" fontId="55" fillId="0" borderId="13" xfId="0" applyFont="1" applyBorder="1" applyNumberFormat="1">
      <alignment horizontal="right" vertical="center" wrapText="1"/>
    </xf>
    <xf numFmtId="49" fontId="0" fillId="41" borderId="13" xfId="0" applyFont="1" applyFill="1" applyBorder="1" applyNumberFormat="1">
      <alignment horizontal="left" vertical="center" wrapText="1"/>
      <protection locked="0"/>
    </xf>
    <xf numFmtId="49" fontId="0" fillId="40" borderId="28" xfId="0" applyFont="1" applyFill="1" applyBorder="1" applyNumberFormat="1">
      <alignment horizontal="center" vertical="center"/>
    </xf>
    <xf numFmtId="49" fontId="0" fillId="40" borderId="16" xfId="0" applyFont="1" applyFill="1" applyBorder="1" applyNumberFormat="1">
      <alignment horizontal="center" vertical="center"/>
    </xf>
    <xf numFmtId="49" fontId="49" fillId="40" borderId="16" xfId="0" applyFont="1" applyFill="1" applyBorder="1" applyNumberFormat="1">
      <alignment horizontal="left" vertical="center"/>
    </xf>
    <xf numFmtId="49" fontId="49" fillId="40" borderId="14" xfId="0" applyFont="1" applyFill="1" applyBorder="1" applyNumberFormat="1">
      <alignment horizontal="left" vertical="center" indent="1"/>
    </xf>
    <xf numFmtId="49" fontId="23" fillId="0" borderId="24" xfId="0" applyFont="1" applyBorder="1" applyNumberFormat="1">
      <alignment horizontal="center" vertical="top" wrapText="1"/>
    </xf>
    <xf numFmtId="49" fontId="23" fillId="41" borderId="13" xfId="0" applyFont="1" applyFill="1" applyBorder="1" applyNumberFormat="1">
      <alignment horizontal="left" vertical="center" wrapText="1" indent="1"/>
      <protection locked="0"/>
    </xf>
    <xf numFmtId="0" fontId="55" fillId="0" borderId="0" xfId="0" applyFont="1">
      <alignment horizontal="center" vertical="center" wrapText="1"/>
    </xf>
    <xf numFmtId="49" fontId="0" fillId="41" borderId="13" xfId="0" applyFont="1" applyFill="1" applyBorder="1" applyNumberFormat="1">
      <alignment horizontal="left" vertical="center" wrapText="1"/>
      <protection locked="0"/>
    </xf>
    <xf numFmtId="49" fontId="0" fillId="0" borderId="23" xfId="0" applyFont="1" applyBorder="1" applyNumberFormat="1">
      <alignment vertical="top"/>
    </xf>
    <xf numFmtId="49" fontId="0" fillId="0" borderId="0" xfId="0" applyFont="1" applyNumberFormat="1">
      <alignment vertical="top"/>
    </xf>
    <xf numFmtId="49" fontId="0" fillId="0" borderId="25" xfId="0" applyFont="1" applyBorder="1" applyNumberFormat="1">
      <alignment vertical="top"/>
    </xf>
    <xf numFmtId="49" fontId="0" fillId="0" borderId="0" xfId="0" applyFont="1" applyNumberFormat="1">
      <alignment horizontal="left" vertical="top"/>
    </xf>
    <xf numFmtId="49" fontId="0" fillId="0" borderId="0" xfId="0" applyFont="1" applyNumberFormat="1">
      <alignment vertical="top"/>
    </xf>
    <xf numFmtId="0" fontId="0" fillId="0" borderId="13" xfId="0" applyFont="1" applyBorder="1">
      <alignment horizontal="center" vertical="center"/>
    </xf>
    <xf numFmtId="49" fontId="23" fillId="33" borderId="13" xfId="0" applyFont="1" applyFill="1" applyBorder="1" applyNumberFormat="1">
      <alignment horizontal="left" vertical="center" wrapText="1"/>
      <protection locked="0"/>
    </xf>
    <xf numFmtId="0" fontId="0" fillId="42" borderId="13" xfId="0" applyFont="1" applyFill="1" applyBorder="1">
      <alignment horizontal="left" vertical="center" wrapText="1"/>
      <protection locked="0"/>
    </xf>
    <xf numFmtId="49" fontId="0" fillId="41" borderId="13" xfId="0" applyFont="1" applyFill="1" applyBorder="1" applyNumberFormat="1">
      <alignment horizontal="left" vertical="center" wrapText="1"/>
      <protection locked="0"/>
    </xf>
    <xf numFmtId="49" fontId="23" fillId="0" borderId="13" xfId="0" applyFont="1" applyBorder="1" applyNumberFormat="1">
      <alignment horizontal="center" vertical="center" wrapText="1"/>
    </xf>
    <xf numFmtId="49" fontId="0" fillId="41" borderId="13" xfId="0" applyFont="1" applyFill="1" applyBorder="1" applyNumberFormat="1">
      <alignment horizontal="left" vertical="center" wrapText="1"/>
      <protection locked="0"/>
    </xf>
    <xf numFmtId="49" fontId="23" fillId="33" borderId="13" xfId="0" applyFont="1" applyFill="1" applyBorder="1" applyNumberFormat="1">
      <alignment horizontal="left" vertical="center" wrapText="1"/>
      <protection locked="0"/>
    </xf>
    <xf numFmtId="0" fontId="49" fillId="40" borderId="15" xfId="0" applyFont="1" applyFill="1" applyBorder="1">
      <alignment horizontal="left" vertical="center"/>
    </xf>
    <xf numFmtId="0" fontId="49" fillId="40" borderId="16" xfId="0" applyFont="1" applyFill="1" applyBorder="1">
      <alignment horizontal="left" vertical="center"/>
    </xf>
    <xf numFmtId="0" fontId="49" fillId="40" borderId="14" xfId="0" applyFont="1" applyFill="1" applyBorder="1">
      <alignment horizontal="left" vertical="center"/>
    </xf>
    <xf numFmtId="49" fontId="0" fillId="0" borderId="13" xfId="0" applyFont="1" applyBorder="1" applyNumberFormat="1">
      <alignment vertical="top"/>
    </xf>
    <xf numFmtId="49" fontId="0" fillId="33" borderId="13" xfId="0" applyFont="1" applyFill="1" applyBorder="1" applyNumberFormat="1">
      <alignment horizontal="left" vertical="top"/>
      <protection locked="0"/>
    </xf>
    <xf numFmtId="49" fontId="0" fillId="42" borderId="13" xfId="0" applyFont="1" applyFill="1" applyBorder="1" applyNumberFormat="1">
      <alignment horizontal="left" vertical="center" wrapText="1"/>
      <protection locked="0"/>
    </xf>
    <xf numFmtId="0" fontId="0" fillId="40" borderId="16" xfId="0" applyFont="1" applyFill="1" applyBorder="1">
      <alignment vertical="center"/>
    </xf>
    <xf numFmtId="49" fontId="0" fillId="0" borderId="37" xfId="0" applyFont="1" applyBorder="1" applyNumberFormat="1">
      <alignment horizontal="left" vertical="top"/>
    </xf>
    <xf numFmtId="0" fontId="23" fillId="42" borderId="37" xfId="0" applyFont="1" applyFill="1" applyBorder="1">
      <alignment horizontal="center" vertical="top" wrapText="1"/>
    </xf>
    <xf numFmtId="49" fontId="0" fillId="42" borderId="37" xfId="0" applyFont="1" applyFill="1" applyBorder="1" applyNumberFormat="1">
      <alignment horizontal="left" vertical="top"/>
    </xf>
    <xf numFmtId="49" fontId="23" fillId="0" borderId="13" xfId="0" applyFont="1" applyBorder="1" applyNumberFormat="1">
      <alignment horizontal="center" vertical="center" wrapText="1"/>
    </xf>
    <xf numFmtId="49" fontId="0" fillId="41" borderId="13" xfId="0" applyFont="1" applyFill="1" applyBorder="1" applyNumberFormat="1">
      <alignment horizontal="left" vertical="center" wrapText="1"/>
      <protection locked="0"/>
    </xf>
    <xf numFmtId="49" fontId="23" fillId="33" borderId="13" xfId="0" applyFont="1" applyFill="1" applyBorder="1" applyNumberFormat="1">
      <alignment horizontal="left" vertical="center" wrapText="1"/>
      <protection locked="0"/>
    </xf>
    <xf numFmtId="49" fontId="0" fillId="33" borderId="37" xfId="0" applyFont="1" applyFill="1" applyBorder="1" applyNumberFormat="1">
      <alignment horizontal="left" vertical="top"/>
      <protection locked="0"/>
    </xf>
    <xf numFmtId="49" fontId="23" fillId="42" borderId="0" xfId="0" applyFont="1" applyFill="1" applyNumberFormat="1">
      <alignment horizontal="center" vertical="center" wrapText="1"/>
    </xf>
    <xf numFmtId="0" fontId="49" fillId="0" borderId="37" xfId="0" applyFont="1" applyBorder="1">
      <alignment horizontal="left" vertical="center"/>
    </xf>
    <xf numFmtId="49" fontId="0" fillId="42" borderId="37" xfId="0" applyFont="1" applyFill="1" applyBorder="1" applyNumberFormat="1">
      <alignment horizontal="left" vertical="center" wrapText="1"/>
      <protection locked="0"/>
    </xf>
    <xf numFmtId="49" fontId="23" fillId="42" borderId="37" xfId="0" applyFont="1" applyFill="1" applyBorder="1" applyNumberFormat="1">
      <alignment horizontal="center" vertical="center" wrapText="1"/>
    </xf>
    <xf numFmtId="0" fontId="23" fillId="42" borderId="37" xfId="0" applyFont="1" applyFill="1" applyBorder="1">
      <alignment horizontal="center" vertical="top" wrapText="1"/>
    </xf>
    <xf numFmtId="0" fontId="49" fillId="33" borderId="37" xfId="0" applyFont="1" applyFill="1" applyBorder="1">
      <alignment horizontal="left" vertical="center"/>
      <protection locked="0"/>
    </xf>
    <xf numFmtId="0" fontId="49" fillId="41" borderId="37" xfId="0" applyFont="1" applyFill="1" applyBorder="1">
      <alignment horizontal="left" vertical="center"/>
      <protection locked="0"/>
    </xf>
    <xf numFmtId="49" fontId="23" fillId="0" borderId="13" xfId="0" applyFont="1" applyBorder="1" applyNumberFormat="1">
      <alignment horizontal="center" vertical="center" wrapText="1"/>
    </xf>
    <xf numFmtId="49" fontId="0" fillId="41" borderId="13" xfId="0" applyFont="1" applyFill="1" applyBorder="1" applyNumberFormat="1">
      <alignment horizontal="left" vertical="center" wrapText="1"/>
      <protection locked="0"/>
    </xf>
    <xf numFmtId="49" fontId="23" fillId="33" borderId="13" xfId="0" applyFont="1" applyFill="1" applyBorder="1" applyNumberFormat="1">
      <alignment horizontal="left" vertical="center" wrapText="1"/>
      <protection locked="0"/>
    </xf>
    <xf numFmtId="49" fontId="0" fillId="0" borderId="0" xfId="0" applyFont="1" applyNumberFormat="1">
      <alignment vertical="top"/>
    </xf>
    <xf numFmtId="49" fontId="56" fillId="0" borderId="13" xfId="0" applyFont="1" applyBorder="1" applyNumberFormat="1">
      <alignment horizontal="center" vertical="center" wrapText="1"/>
    </xf>
    <xf numFmtId="49" fontId="56" fillId="0" borderId="13" xfId="0" applyFont="1" applyBorder="1" applyNumberFormat="1">
      <alignment horizontal="center" vertical="center" wrapText="1"/>
    </xf>
    <xf numFmtId="49" fontId="56" fillId="0" borderId="15" xfId="0" applyFont="1" applyBorder="1" applyNumberFormat="1">
      <alignment horizontal="left" vertical="center" wrapText="1"/>
    </xf>
    <xf numFmtId="49" fontId="23" fillId="33" borderId="13" xfId="0" applyFont="1" applyFill="1" applyBorder="1" applyNumberFormat="1">
      <alignment horizontal="left" vertical="center" wrapText="1"/>
      <protection locked="0"/>
    </xf>
    <xf numFmtId="0" fontId="56" fillId="0" borderId="15" xfId="0" applyFont="1" applyBorder="1">
      <alignment horizontal="left" vertical="center"/>
    </xf>
    <xf numFmtId="0" fontId="56" fillId="0" borderId="16" xfId="0" applyFont="1" applyBorder="1">
      <alignment horizontal="left" vertical="center"/>
    </xf>
    <xf numFmtId="0" fontId="49" fillId="40" borderId="31" xfId="0" applyFont="1" applyFill="1" applyBorder="1">
      <alignment horizontal="left" vertical="center"/>
    </xf>
    <xf numFmtId="49" fontId="0" fillId="0" borderId="0" xfId="0" applyFont="1" applyNumberFormat="1">
      <alignment vertical="top"/>
    </xf>
    <xf numFmtId="49" fontId="56" fillId="0" borderId="13" xfId="0" applyFont="1" applyBorder="1" applyNumberFormat="1">
      <alignment horizontal="center" vertical="center" wrapText="1"/>
    </xf>
    <xf numFmtId="49" fontId="0" fillId="33" borderId="37" xfId="0" applyFont="1" applyFill="1" applyBorder="1" applyNumberFormat="1">
      <alignment vertical="top"/>
      <protection locked="0"/>
    </xf>
    <xf numFmtId="49" fontId="23" fillId="42" borderId="37" xfId="0" applyFont="1" applyFill="1" applyBorder="1" applyNumberFormat="1">
      <alignment horizontal="center" vertical="center" wrapText="1"/>
    </xf>
    <xf numFmtId="49" fontId="0" fillId="0" borderId="0" xfId="0" applyFont="1" applyNumberFormat="1">
      <alignment vertical="center"/>
    </xf>
    <xf numFmtId="0" fontId="0" fillId="0" borderId="0" xfId="0" applyFont="1">
      <alignment vertical="center"/>
    </xf>
    <xf numFmtId="0" fontId="0" fillId="0" borderId="0" xfId="0" applyFont="1">
      <alignment vertical="center"/>
    </xf>
    <xf numFmtId="0" fontId="0" fillId="0" borderId="13" xfId="0" applyFont="1" applyBorder="1">
      <alignment horizontal="center" vertical="center"/>
    </xf>
    <xf numFmtId="0" fontId="23" fillId="0" borderId="13" xfId="0" applyFont="1" applyBorder="1">
      <alignment horizontal="center" vertical="center" wrapText="1"/>
    </xf>
    <xf numFmtId="49" fontId="23" fillId="0" borderId="20" xfId="0" applyFont="1" applyBorder="1" applyNumberFormat="1">
      <alignment horizontal="center" vertical="center" wrapText="1"/>
    </xf>
    <xf numFmtId="49" fontId="0" fillId="0" borderId="20" xfId="0" applyFont="1" applyBorder="1" applyNumberFormat="1">
      <alignment horizontal="left" vertical="center" wrapText="1"/>
    </xf>
    <xf numFmtId="49" fontId="0" fillId="0" borderId="0" xfId="0" applyFont="1" applyNumberFormat="1">
      <alignment vertical="top"/>
    </xf>
    <xf numFmtId="0" fontId="0" fillId="0" borderId="0" xfId="0" applyFont="1">
      <alignment vertical="center"/>
    </xf>
    <xf numFmtId="49" fontId="23" fillId="0" borderId="0" xfId="0" applyFont="1" applyNumberFormat="1">
      <alignment horizontal="center" vertical="center" wrapText="1"/>
    </xf>
    <xf numFmtId="49" fontId="23" fillId="0" borderId="37" xfId="0" applyFont="1" applyBorder="1" applyNumberFormat="1">
      <alignment horizontal="center" vertical="center"/>
    </xf>
    <xf numFmtId="0" fontId="23" fillId="0" borderId="37" xfId="0" applyFont="1" applyBorder="1">
      <alignment horizontal="center" vertical="center" wrapText="1"/>
    </xf>
    <xf numFmtId="0" fontId="23" fillId="0" borderId="37" xfId="0" applyFont="1" applyBorder="1">
      <alignment horizontal="center" vertical="center" wrapText="1"/>
    </xf>
    <xf numFmtId="49" fontId="23" fillId="0" borderId="37" xfId="0" applyFont="1" applyBorder="1" applyNumberFormat="1">
      <alignment vertical="center" wrapText="1"/>
    </xf>
    <xf numFmtId="0" fontId="23" fillId="0" borderId="25" xfId="0" applyFont="1" applyBorder="1">
      <alignment horizontal="center" vertical="center"/>
    </xf>
    <xf numFmtId="49" fontId="23" fillId="0" borderId="18" xfId="0" applyFont="1" applyBorder="1" applyNumberFormat="1">
      <alignment horizontal="left" vertical="center" wrapText="1"/>
    </xf>
    <xf numFmtId="49" fontId="23" fillId="41" borderId="13" xfId="0" applyFont="1" applyFill="1" applyBorder="1" applyNumberFormat="1">
      <alignment horizontal="left" vertical="center" wrapText="1"/>
      <protection locked="0"/>
    </xf>
    <xf numFmtId="49" fontId="23" fillId="0" borderId="18" xfId="0" applyFont="1" applyBorder="1" applyNumberFormat="1">
      <alignment horizontal="left" vertical="center" wrapText="1"/>
    </xf>
    <xf numFmtId="49" fontId="23" fillId="42" borderId="18" xfId="0" applyFont="1" applyFill="1" applyBorder="1" applyNumberFormat="1">
      <alignment horizontal="center" vertical="center" wrapText="1"/>
    </xf>
    <xf numFmtId="49" fontId="46" fillId="0" borderId="37" xfId="0" applyFont="1" applyBorder="1" applyNumberFormat="1">
      <alignment vertical="center" wrapText="1"/>
    </xf>
    <xf numFmtId="0" fontId="23" fillId="42" borderId="18" xfId="0" applyFont="1" applyFill="1" applyBorder="1">
      <alignment horizontal="left" vertical="center" wrapText="1"/>
    </xf>
    <xf numFmtId="49" fontId="23" fillId="0" borderId="18" xfId="0" applyFont="1" applyBorder="1" applyNumberFormat="1">
      <alignment horizontal="center" vertical="center" wrapText="1"/>
    </xf>
    <xf numFmtId="49" fontId="23" fillId="42" borderId="18" xfId="0" applyFont="1" applyFill="1" applyBorder="1" applyNumberFormat="1">
      <alignment horizontal="left" vertical="center" wrapText="1"/>
    </xf>
    <xf numFmtId="0" fontId="23" fillId="0" borderId="18" xfId="0" applyFont="1" applyBorder="1">
      <alignment horizontal="left" vertical="center" wrapText="1"/>
    </xf>
    <xf numFmtId="49" fontId="23" fillId="0" borderId="18" xfId="0" applyFont="1" applyBorder="1" applyNumberFormat="1">
      <alignment horizontal="center" vertical="center" wrapText="1"/>
    </xf>
    <xf numFmtId="49" fontId="23" fillId="0" borderId="13" xfId="0" applyFont="1" applyBorder="1" applyNumberFormat="1">
      <alignment horizontal="center" vertical="center" wrapText="1"/>
    </xf>
    <xf numFmtId="49" fontId="23" fillId="42" borderId="18" xfId="0" applyFont="1" applyFill="1" applyBorder="1" applyNumberFormat="1">
      <alignment vertical="center" wrapText="1"/>
    </xf>
    <xf numFmtId="49" fontId="23" fillId="33" borderId="13" xfId="0" applyFont="1" applyFill="1" applyBorder="1" applyNumberFormat="1">
      <alignment horizontal="left" vertical="center" wrapText="1"/>
      <protection locked="0"/>
    </xf>
    <xf numFmtId="0" fontId="23" fillId="0" borderId="37" xfId="0" applyFont="1" applyBorder="1">
      <alignment horizontal="left" vertical="center" wrapText="1"/>
    </xf>
    <xf numFmtId="49" fontId="23" fillId="0" borderId="37" xfId="0" applyFont="1" applyBorder="1" applyNumberFormat="1">
      <alignment horizontal="left" vertical="center" wrapText="1"/>
    </xf>
    <xf numFmtId="49" fontId="23" fillId="42" borderId="37" xfId="0" applyFont="1" applyFill="1" applyBorder="1" applyNumberFormat="1">
      <alignment horizontal="center" vertical="center" wrapText="1"/>
    </xf>
    <xf numFmtId="0" fontId="23" fillId="42" borderId="37" xfId="0" applyFont="1" applyFill="1" applyBorder="1">
      <alignment horizontal="left" vertical="center" wrapText="1"/>
    </xf>
    <xf numFmtId="49" fontId="23" fillId="0" borderId="37" xfId="0" applyFont="1" applyBorder="1" applyNumberFormat="1">
      <alignment horizontal="center" vertical="center" wrapText="1"/>
    </xf>
    <xf numFmtId="49" fontId="23" fillId="42" borderId="24" xfId="0" applyFont="1" applyFill="1" applyBorder="1" applyNumberFormat="1">
      <alignment horizontal="left" vertical="center" wrapText="1"/>
    </xf>
    <xf numFmtId="0" fontId="23" fillId="0" borderId="24" xfId="0" applyFont="1" applyBorder="1">
      <alignment horizontal="left" vertical="center" wrapText="1"/>
    </xf>
    <xf numFmtId="0" fontId="49" fillId="0" borderId="24" xfId="0" applyFont="1" applyBorder="1">
      <alignment horizontal="left" vertical="center"/>
    </xf>
    <xf numFmtId="0" fontId="49" fillId="40" borderId="15" xfId="0" applyFont="1" applyFill="1" applyBorder="1">
      <alignment horizontal="left" vertical="center"/>
    </xf>
    <xf numFmtId="0" fontId="49" fillId="40" borderId="16" xfId="0" applyFont="1" applyFill="1" applyBorder="1">
      <alignment horizontal="left" vertical="center"/>
    </xf>
    <xf numFmtId="0" fontId="49" fillId="40" borderId="14" xfId="0" applyFont="1" applyFill="1" applyBorder="1">
      <alignment horizontal="left" vertical="center"/>
    </xf>
    <xf numFmtId="49" fontId="23" fillId="0" borderId="37" xfId="0" applyFont="1" applyBorder="1" applyNumberFormat="1">
      <alignment horizontal="center" vertical="center" wrapText="1"/>
    </xf>
    <xf numFmtId="0" fontId="49" fillId="40" borderId="38" xfId="0" applyFont="1" applyFill="1" applyBorder="1">
      <alignment horizontal="left" vertical="center"/>
    </xf>
    <xf numFmtId="0" fontId="49" fillId="40" borderId="20" xfId="0" applyFont="1" applyFill="1" applyBorder="1">
      <alignment horizontal="left" vertical="center"/>
    </xf>
    <xf numFmtId="0" fontId="49" fillId="40" borderId="21" xfId="0" applyFont="1" applyFill="1" applyBorder="1">
      <alignment horizontal="left" vertical="center"/>
    </xf>
    <xf numFmtId="49" fontId="23" fillId="41" borderId="18" xfId="0" applyFont="1" applyFill="1" applyBorder="1" applyNumberFormat="1">
      <alignment horizontal="left" vertical="center" wrapText="1"/>
      <protection locked="0"/>
    </xf>
    <xf numFmtId="49" fontId="46" fillId="0" borderId="37" xfId="0" applyFont="1" applyBorder="1" applyNumberFormat="1">
      <alignment horizontal="center" vertical="center" wrapText="1"/>
    </xf>
    <xf numFmtId="0" fontId="49" fillId="40" borderId="38" xfId="0" applyFont="1" applyFill="1" applyBorder="1">
      <alignment vertical="center"/>
    </xf>
    <xf numFmtId="0" fontId="49" fillId="0" borderId="37" xfId="0" applyFont="1" applyBorder="1">
      <alignment horizontal="left" vertical="center"/>
    </xf>
    <xf numFmtId="49" fontId="23" fillId="33" borderId="18" xfId="0" applyFont="1" applyFill="1" applyBorder="1" applyNumberFormat="1">
      <alignment horizontal="left" vertical="center" wrapText="1"/>
      <protection locked="0"/>
    </xf>
    <xf numFmtId="49" fontId="73" fillId="40" borderId="15" xfId="0" applyFont="1" applyFill="1" applyBorder="1" applyNumberFormat="1">
      <alignment vertical="top"/>
    </xf>
    <xf numFmtId="49" fontId="73" fillId="40" borderId="16" xfId="0" applyFont="1" applyFill="1" applyBorder="1" applyNumberFormat="1">
      <alignment vertical="top"/>
    </xf>
    <xf numFmtId="49" fontId="0" fillId="0" borderId="0" xfId="0" applyFont="1" applyNumberFormat="1">
      <alignment vertical="top"/>
    </xf>
    <xf numFmtId="0" fontId="23" fillId="0" borderId="0" xfId="0" applyFont="1">
      <alignment horizontal="left" vertical="center" wrapText="1" indent="2"/>
    </xf>
    <xf numFmtId="0" fontId="48" fillId="36" borderId="0" xfId="0" applyFont="1" applyFill="1">
      <alignment vertical="center" wrapText="1"/>
    </xf>
    <xf numFmtId="0" fontId="23" fillId="36" borderId="0" xfId="0" applyFont="1" applyFill="1">
      <alignment vertical="center" wrapText="1"/>
    </xf>
    <xf numFmtId="0" fontId="23" fillId="36" borderId="0" xfId="0" applyFont="1" applyFill="1">
      <alignment horizontal="right" vertical="center" wrapText="1"/>
    </xf>
    <xf numFmtId="0" fontId="23" fillId="0" borderId="21" xfId="0" applyFont="1" applyBorder="1">
      <alignment horizontal="left" vertical="center" wrapText="1" indent="1"/>
    </xf>
    <xf numFmtId="0" fontId="23" fillId="0" borderId="18" xfId="0" applyFont="1" applyBorder="1">
      <alignment horizontal="left" vertical="center" wrapText="1" indent="1"/>
    </xf>
    <xf numFmtId="0" fontId="23" fillId="0" borderId="38" xfId="0" applyFont="1" applyBorder="1">
      <alignment horizontal="left" vertical="center" wrapText="1" indent="1"/>
    </xf>
    <xf numFmtId="49" fontId="23" fillId="0" borderId="0" xfId="0" applyFont="1" applyNumberFormat="1">
      <alignment vertical="center" wrapText="1"/>
    </xf>
    <xf numFmtId="0" fontId="23" fillId="0" borderId="31" xfId="0" applyFont="1" applyBorder="1">
      <alignment horizontal="left" vertical="center" wrapText="1" indent="1"/>
    </xf>
    <xf numFmtId="0" fontId="23" fillId="0" borderId="24" xfId="0" applyFont="1" applyBorder="1">
      <alignment horizontal="left" vertical="center" wrapText="1" indent="1"/>
    </xf>
    <xf numFmtId="0" fontId="23" fillId="0" borderId="28" xfId="0" applyFont="1" applyBorder="1">
      <alignment horizontal="left" vertical="center" wrapText="1" indent="1"/>
    </xf>
    <xf numFmtId="0" fontId="23" fillId="36" borderId="0" xfId="0" applyFont="1" applyFill="1">
      <alignment horizontal="center" vertical="center" wrapText="1"/>
    </xf>
    <xf numFmtId="0" fontId="23" fillId="36" borderId="0" xfId="0" applyFont="1" applyFill="1">
      <alignment horizontal="right" vertical="center"/>
    </xf>
    <xf numFmtId="49" fontId="23" fillId="0" borderId="0" xfId="0" applyFont="1" applyNumberFormat="1">
      <alignment vertical="center" wrapText="1"/>
    </xf>
    <xf numFmtId="0" fontId="23" fillId="36" borderId="0" xfId="0" applyFont="1" applyFill="1">
      <alignment vertical="center" wrapText="1"/>
    </xf>
    <xf numFmtId="0" fontId="23" fillId="36" borderId="0" xfId="0" applyFont="1" applyFill="1">
      <alignment horizontal="center" vertical="center" wrapText="1"/>
    </xf>
    <xf numFmtId="0" fontId="23" fillId="36" borderId="13" xfId="0" applyFont="1" applyFill="1" applyBorder="1">
      <alignment horizontal="center" vertical="center"/>
    </xf>
    <xf numFmtId="0" fontId="23" fillId="36" borderId="13" xfId="0" applyFont="1" applyFill="1" applyBorder="1">
      <alignment horizontal="center" vertical="center" wrapText="1"/>
    </xf>
    <xf numFmtId="0" fontId="0" fillId="0" borderId="13" xfId="0" applyFont="1" applyBorder="1">
      <alignment horizontal="center" vertical="center" wrapText="1"/>
    </xf>
    <xf numFmtId="49" fontId="45" fillId="36" borderId="0" xfId="0" applyFont="1" applyFill="1" applyNumberFormat="1">
      <alignment horizontal="center" vertical="center" wrapText="1"/>
    </xf>
    <xf numFmtId="49" fontId="23" fillId="0" borderId="0" xfId="0" applyFont="1" applyNumberFormat="1">
      <alignment vertical="top"/>
    </xf>
    <xf numFmtId="49" fontId="0" fillId="36" borderId="13" xfId="0" applyFont="1" applyFill="1" applyBorder="1" applyNumberFormat="1">
      <alignment horizontal="center" vertical="center" wrapText="1"/>
    </xf>
    <xf numFmtId="0" fontId="0" fillId="0" borderId="13" xfId="0" applyFont="1" applyBorder="1">
      <alignment vertical="center" wrapText="1"/>
    </xf>
    <xf numFmtId="0" fontId="0" fillId="0" borderId="13" xfId="0" applyFont="1" applyBorder="1">
      <alignment horizontal="center" vertical="center" wrapText="1"/>
    </xf>
    <xf numFmtId="0" fontId="23" fillId="0" borderId="13" xfId="0" applyFont="1" applyBorder="1">
      <alignment vertical="center" wrapText="1"/>
    </xf>
    <xf numFmtId="0" fontId="0" fillId="0" borderId="13" xfId="0" applyFont="1" applyBorder="1">
      <alignment horizontal="left" vertical="center" wrapText="1" indent="1"/>
    </xf>
    <xf numFmtId="0" fontId="132" fillId="41" borderId="13" xfId="0" applyFont="1" applyFill="1" applyBorder="1">
      <alignment horizontal="left" vertical="center" wrapText="1" indent="2"/>
      <protection locked="0"/>
    </xf>
    <xf numFmtId="49" fontId="29" fillId="41" borderId="13" xfId="0" applyFont="1" applyFill="1" applyBorder="1" applyNumberFormat="1">
      <alignment horizontal="left" vertical="center" wrapText="1"/>
      <protection locked="0"/>
    </xf>
    <xf numFmtId="0" fontId="23" fillId="40" borderId="15" xfId="0" applyFont="1" applyFill="1" applyBorder="1">
      <alignment vertical="center" wrapText="1"/>
    </xf>
    <xf numFmtId="49" fontId="49" fillId="40" borderId="16" xfId="0" applyFont="1" applyFill="1" applyBorder="1" applyNumberFormat="1">
      <alignment horizontal="left" vertical="center" indent="2"/>
    </xf>
    <xf numFmtId="49" fontId="53" fillId="40" borderId="14" xfId="0" applyFont="1" applyFill="1" applyBorder="1" applyNumberFormat="1">
      <alignment horizontal="center" vertical="top"/>
    </xf>
    <xf numFmtId="0" fontId="23" fillId="0" borderId="18" xfId="0" applyFont="1" applyBorder="1">
      <alignment vertical="center" wrapText="1"/>
    </xf>
    <xf numFmtId="49" fontId="29" fillId="41" borderId="15" xfId="0" applyFont="1" applyFill="1" applyBorder="1" applyNumberFormat="1">
      <alignment horizontal="left" vertical="center" wrapText="1"/>
      <protection locked="0"/>
    </xf>
    <xf numFmtId="0" fontId="23" fillId="0" borderId="0" xfId="0" applyFont="1">
      <alignment vertical="center" wrapText="1"/>
    </xf>
    <xf numFmtId="0" fontId="55" fillId="0" borderId="0" xfId="0" applyFont="1">
      <alignment vertical="center" wrapText="1"/>
    </xf>
    <xf numFmtId="0" fontId="48" fillId="36" borderId="0" xfId="0" applyFont="1" applyFill="1">
      <alignment vertical="center" wrapText="1"/>
    </xf>
    <xf numFmtId="49" fontId="53" fillId="40" borderId="16" xfId="0" applyFont="1" applyFill="1" applyBorder="1" applyNumberFormat="1">
      <alignment horizontal="center" vertical="top"/>
    </xf>
    <xf numFmtId="0" fontId="56" fillId="0" borderId="0" xfId="0" applyFont="1">
      <alignment vertical="center"/>
    </xf>
    <xf numFmtId="0" fontId="0" fillId="0" borderId="13" xfId="0" applyFont="1" applyBorder="1">
      <alignment horizontal="left" vertical="center" wrapText="1" indent="1"/>
    </xf>
    <xf numFmtId="0" fontId="0" fillId="36" borderId="13" xfId="0" applyFont="1" applyFill="1" applyBorder="1">
      <alignment horizontal="center" vertical="center" wrapText="1"/>
    </xf>
    <xf numFmtId="0" fontId="0" fillId="0" borderId="13" xfId="0" applyFont="1" applyBorder="1">
      <alignment horizontal="left" vertical="center" wrapText="1" indent="1"/>
    </xf>
    <xf numFmtId="49" fontId="73" fillId="0" borderId="13" xfId="0" applyFont="1" applyBorder="1" applyNumberFormat="1">
      <alignment horizontal="center" vertical="center" wrapText="1"/>
    </xf>
    <xf numFmtId="0" fontId="134" fillId="0" borderId="13" xfId="0" applyFont="1" applyBorder="1">
      <alignment horizontal="left" vertical="center" wrapText="1" indent="2"/>
    </xf>
    <xf numFmtId="49" fontId="77" fillId="0" borderId="15" xfId="0" applyFont="1" applyBorder="1" applyNumberFormat="1">
      <alignment horizontal="left" vertical="center" wrapText="1"/>
    </xf>
    <xf numFmtId="0" fontId="23" fillId="0" borderId="18" xfId="0" applyFont="1" applyBorder="1">
      <alignment vertical="top" wrapText="1"/>
    </xf>
    <xf numFmtId="0" fontId="78" fillId="0" borderId="0" xfId="0" applyFont="1">
      <alignment vertical="center" wrapText="1"/>
    </xf>
    <xf numFmtId="49" fontId="49" fillId="40" borderId="16" xfId="0" applyFont="1" applyFill="1" applyBorder="1" applyNumberFormat="1">
      <alignment horizontal="left" vertical="center" indent="1"/>
    </xf>
    <xf numFmtId="0" fontId="23" fillId="0" borderId="24" xfId="0" applyFont="1" applyBorder="1">
      <alignment vertical="top" wrapText="1"/>
    </xf>
    <xf numFmtId="49" fontId="0" fillId="36" borderId="13" xfId="0" applyFont="1" applyFill="1" applyBorder="1" applyNumberFormat="1">
      <alignment horizontal="center" vertical="center" wrapText="1"/>
    </xf>
    <xf numFmtId="0" fontId="0" fillId="0" borderId="13" xfId="0" applyFont="1" applyBorder="1">
      <alignment horizontal="center" vertical="center" wrapText="1"/>
    </xf>
    <xf numFmtId="0" fontId="23" fillId="0" borderId="13" xfId="0" applyFont="1" applyBorder="1">
      <alignment vertical="center" wrapText="1"/>
    </xf>
    <xf numFmtId="0" fontId="0" fillId="0" borderId="13" xfId="0" applyFont="1" applyBorder="1">
      <alignment horizontal="left" vertical="center" wrapText="1" indent="1"/>
    </xf>
    <xf numFmtId="0" fontId="23" fillId="0" borderId="0" xfId="0" applyFont="1">
      <alignment vertical="top"/>
    </xf>
    <xf numFmtId="0" fontId="23" fillId="0" borderId="0" xfId="0" applyFont="1">
      <alignment vertical="top" wrapText="1"/>
    </xf>
    <xf numFmtId="0" fontId="23" fillId="0" borderId="0" xfId="0" applyFont="1">
      <alignment vertical="center"/>
    </xf>
    <xf numFmtId="49" fontId="23" fillId="0" borderId="0" xfId="0" applyFont="1" applyNumberFormat="1">
      <alignment vertical="center" wrapText="1"/>
    </xf>
    <xf numFmtId="0" fontId="55" fillId="0" borderId="0" xfId="0" applyFont="1">
      <alignment vertical="center" wrapText="1"/>
    </xf>
    <xf numFmtId="0" fontId="48" fillId="0" borderId="0" xfId="0" applyFont="1">
      <alignment vertical="center" wrapText="1"/>
    </xf>
    <xf numFmtId="0" fontId="23" fillId="0" borderId="0" xfId="0" applyFont="1">
      <alignment vertical="center" wrapText="1"/>
    </xf>
    <xf numFmtId="0" fontId="55" fillId="0" borderId="0" xfId="0" applyFont="1">
      <alignment horizontal="left" vertical="center" indent="1"/>
    </xf>
    <xf numFmtId="0" fontId="55" fillId="0" borderId="13" xfId="0" applyFont="1" applyBorder="1">
      <alignment horizontal="center" vertical="center"/>
    </xf>
    <xf numFmtId="0" fontId="55" fillId="0" borderId="0" xfId="0" applyFont="1">
      <alignment horizontal="center" vertical="center"/>
    </xf>
    <xf numFmtId="0" fontId="55" fillId="0" borderId="0" xfId="0" applyFont="1">
      <alignment horizontal="left" vertical="center" wrapText="1"/>
    </xf>
    <xf numFmtId="49" fontId="23" fillId="0" borderId="0" xfId="0" applyFont="1" applyNumberFormat="1">
      <alignment vertical="center" wrapText="1"/>
    </xf>
    <xf numFmtId="49" fontId="23" fillId="0" borderId="0" xfId="0" applyFont="1" applyNumberFormat="1">
      <alignment vertical="top"/>
    </xf>
    <xf numFmtId="49" fontId="23" fillId="0" borderId="25" xfId="0" applyFont="1" applyBorder="1" applyNumberFormat="1">
      <alignment vertical="top"/>
    </xf>
    <xf numFmtId="0" fontId="23" fillId="36" borderId="13" xfId="0" applyFont="1" applyFill="1" applyBorder="1">
      <alignment horizontal="left" vertical="center" wrapText="1"/>
    </xf>
    <xf numFmtId="0" fontId="23" fillId="0" borderId="13" xfId="0" applyFont="1" applyBorder="1">
      <alignment vertical="center" wrapText="1"/>
    </xf>
    <xf numFmtId="0" fontId="23" fillId="0" borderId="13" xfId="0" applyFont="1" applyBorder="1">
      <alignment horizontal="left" vertical="center" wrapText="1" indent="6"/>
    </xf>
    <xf numFmtId="4" fontId="129" fillId="38" borderId="15" xfId="0" applyFont="1" applyFill="1" applyBorder="1" applyNumberFormat="1">
      <alignment horizontal="left" vertical="center" wrapText="1"/>
    </xf>
    <xf numFmtId="4" fontId="129" fillId="38" borderId="16" xfId="0" applyFont="1" applyFill="1" applyBorder="1" applyNumberFormat="1">
      <alignment horizontal="left" vertical="center" wrapText="1"/>
    </xf>
    <xf numFmtId="4" fontId="129" fillId="38" borderId="14" xfId="0" applyFont="1" applyFill="1" applyBorder="1" applyNumberFormat="1">
      <alignment horizontal="left" vertical="center" wrapText="1"/>
    </xf>
    <xf numFmtId="0" fontId="54" fillId="0" borderId="13" xfId="0" applyFont="1" applyBorder="1">
      <alignment vertical="top" wrapText="1"/>
    </xf>
    <xf numFmtId="0" fontId="55" fillId="0" borderId="15" xfId="0" applyFont="1" applyBorder="1">
      <alignment horizontal="center" vertical="center"/>
    </xf>
    <xf numFmtId="0" fontId="23" fillId="0" borderId="0" xfId="0" applyFont="1">
      <alignment horizontal="center" vertical="center" wrapText="1"/>
    </xf>
    <xf numFmtId="0" fontId="51" fillId="36" borderId="0" xfId="0" applyFont="1" applyFill="1">
      <alignment horizontal="center" vertical="center" wrapText="1"/>
    </xf>
    <xf numFmtId="0" fontId="23" fillId="0" borderId="25" xfId="0" applyFont="1" applyBorder="1">
      <alignment vertical="center" wrapText="1"/>
    </xf>
    <xf numFmtId="0" fontId="23" fillId="36" borderId="13" xfId="0" applyFont="1" applyFill="1" applyBorder="1">
      <alignment horizontal="left" vertical="center" wrapText="1" indent="1"/>
    </xf>
    <xf numFmtId="0" fontId="46" fillId="0" borderId="0" xfId="0" applyFont="1">
      <alignment vertical="center" wrapText="1"/>
    </xf>
    <xf numFmtId="0" fontId="23" fillId="36" borderId="13" xfId="0" applyFont="1" applyFill="1" applyBorder="1">
      <alignment horizontal="left" vertical="center" wrapText="1" indent="2"/>
    </xf>
    <xf numFmtId="0" fontId="23" fillId="36" borderId="13" xfId="0" applyFont="1" applyFill="1" applyBorder="1">
      <alignment horizontal="left" vertical="center" wrapText="1" indent="3"/>
    </xf>
    <xf numFmtId="0" fontId="55" fillId="0" borderId="13" xfId="0" applyFont="1" applyBorder="1">
      <alignment horizontal="center" vertical="center" wrapText="1"/>
    </xf>
    <xf numFmtId="0" fontId="55" fillId="0" borderId="0" xfId="0" applyFont="1">
      <alignment vertical="center" wrapText="1"/>
    </xf>
    <xf numFmtId="0" fontId="56" fillId="0" borderId="0" xfId="0" applyFont="1">
      <alignment horizontal="center" vertical="center" wrapText="1"/>
    </xf>
    <xf numFmtId="0" fontId="56" fillId="0" borderId="0" xfId="0" applyFont="1">
      <alignment horizontal="center" vertical="center" wrapText="1"/>
    </xf>
    <xf numFmtId="0" fontId="56" fillId="0" borderId="25" xfId="0" applyFont="1" applyBorder="1">
      <alignment horizontal="center" vertical="center" wrapText="1"/>
    </xf>
    <xf numFmtId="0" fontId="23" fillId="36" borderId="13" xfId="0" applyFont="1" applyFill="1" applyBorder="1">
      <alignment horizontal="left" vertical="center" wrapText="1" indent="4"/>
    </xf>
    <xf numFmtId="0" fontId="23" fillId="42" borderId="15" xfId="0" applyFont="1" applyFill="1" applyBorder="1">
      <alignment horizontal="left" vertical="center" wrapText="1"/>
    </xf>
    <xf numFmtId="0" fontId="23" fillId="42" borderId="16" xfId="0" applyFont="1" applyFill="1" applyBorder="1">
      <alignment horizontal="left" vertical="center" wrapText="1"/>
    </xf>
    <xf numFmtId="0" fontId="23" fillId="42" borderId="14" xfId="0" applyFont="1" applyFill="1" applyBorder="1">
      <alignment horizontal="left" vertical="center" wrapText="1"/>
    </xf>
    <xf numFmtId="0" fontId="55" fillId="0" borderId="15" xfId="0" applyFont="1" applyBorder="1">
      <alignment horizontal="center" vertical="center" wrapText="1"/>
    </xf>
    <xf numFmtId="0" fontId="55" fillId="0" borderId="13" xfId="0" applyFont="1" applyBorder="1">
      <alignment horizontal="center" vertical="center" wrapText="1"/>
    </xf>
    <xf numFmtId="0" fontId="55" fillId="0" borderId="0" xfId="0" applyFont="1">
      <alignment vertical="center" wrapText="1"/>
    </xf>
    <xf numFmtId="0" fontId="56" fillId="0" borderId="25" xfId="0" applyFont="1" applyBorder="1">
      <alignment vertical="center" wrapText="1"/>
    </xf>
    <xf numFmtId="0" fontId="23" fillId="36" borderId="13" xfId="0" applyFont="1" applyFill="1" applyBorder="1">
      <alignment horizontal="left" vertical="center" wrapText="1" indent="5"/>
    </xf>
    <xf numFmtId="0" fontId="55" fillId="0" borderId="15" xfId="0" applyFont="1" applyBorder="1">
      <alignment horizontal="center" vertical="center" wrapText="1"/>
    </xf>
    <xf numFmtId="0" fontId="23" fillId="42" borderId="13" xfId="0" applyFont="1" applyFill="1" applyBorder="1">
      <alignment horizontal="left" vertical="center" wrapText="1" indent="6"/>
    </xf>
    <xf numFmtId="4" fontId="129" fillId="33" borderId="13" xfId="0" applyFont="1" applyFill="1" applyBorder="1" applyNumberFormat="1">
      <alignment horizontal="right" vertical="center" wrapText="1"/>
      <protection locked="0"/>
    </xf>
    <xf numFmtId="4" fontId="129" fillId="0" borderId="13" xfId="0" applyFont="1" applyBorder="1" applyNumberFormat="1">
      <alignment horizontal="right" vertical="center" wrapText="1"/>
    </xf>
    <xf numFmtId="247" fontId="129" fillId="33" borderId="13" xfId="0" applyFont="1" applyFill="1" applyBorder="1" applyNumberFormat="1">
      <alignment horizontal="right" vertical="center" wrapText="1"/>
      <protection locked="0"/>
    </xf>
    <xf numFmtId="250" fontId="0" fillId="41" borderId="13" xfId="0" applyFont="1" applyFill="1" applyBorder="1" applyNumberFormat="1">
      <alignment horizontal="center" vertical="center" wrapText="1"/>
      <protection locked="0"/>
    </xf>
    <xf numFmtId="0" fontId="54" fillId="0" borderId="18" xfId="0" applyFont="1" applyBorder="1">
      <alignment horizontal="left" vertical="top" wrapText="1"/>
    </xf>
    <xf numFmtId="49" fontId="23" fillId="0" borderId="13" xfId="0" applyFont="1" applyBorder="1" applyNumberFormat="1">
      <alignment horizontal="left" vertical="center" wrapText="1"/>
    </xf>
    <xf numFmtId="4" fontId="131" fillId="0" borderId="13" xfId="0" applyFont="1" applyBorder="1" applyNumberFormat="1">
      <alignment horizontal="center" vertical="center" wrapText="1"/>
    </xf>
    <xf numFmtId="49" fontId="0" fillId="41" borderId="13" xfId="0" applyFont="1" applyFill="1" applyBorder="1" applyNumberFormat="1">
      <alignment horizontal="center" vertical="center" wrapText="1"/>
      <protection locked="0"/>
    </xf>
    <xf numFmtId="0" fontId="54" fillId="0" borderId="37" xfId="0" applyFont="1" applyBorder="1">
      <alignment horizontal="left" vertical="top" wrapText="1"/>
    </xf>
    <xf numFmtId="49" fontId="76" fillId="40" borderId="15" xfId="0" applyFont="1" applyFill="1" applyBorder="1" applyNumberFormat="1">
      <alignment horizontal="left" vertical="center"/>
    </xf>
    <xf numFmtId="49" fontId="49" fillId="40" borderId="16" xfId="0" applyFont="1" applyFill="1" applyBorder="1" applyNumberFormat="1">
      <alignment horizontal="left" vertical="center" indent="6"/>
    </xf>
    <xf numFmtId="49" fontId="23" fillId="40" borderId="14" xfId="0" applyFont="1" applyFill="1" applyBorder="1" applyNumberFormat="1">
      <alignment horizontal="center" vertical="center" wrapText="1"/>
    </xf>
    <xf numFmtId="0" fontId="54" fillId="0" borderId="24" xfId="0" applyFont="1" applyBorder="1">
      <alignment horizontal="left" vertical="top" wrapText="1"/>
    </xf>
    <xf numFmtId="49" fontId="49" fillId="40" borderId="16" xfId="0" applyFont="1" applyFill="1" applyBorder="1" applyNumberFormat="1">
      <alignment horizontal="left" vertical="center" indent="5"/>
    </xf>
    <xf numFmtId="49" fontId="0" fillId="40" borderId="16" xfId="0" applyFont="1" applyFill="1" applyBorder="1" applyNumberFormat="1">
      <alignment horizontal="center" vertical="center" wrapText="1"/>
    </xf>
    <xf numFmtId="49" fontId="0" fillId="40" borderId="14" xfId="0" applyFont="1" applyFill="1" applyBorder="1" applyNumberFormat="1">
      <alignment horizontal="center" vertical="center" wrapText="1"/>
    </xf>
    <xf numFmtId="49" fontId="48" fillId="0" borderId="0" xfId="0" applyFont="1" applyNumberFormat="1">
      <alignment vertical="top"/>
    </xf>
    <xf numFmtId="49" fontId="49" fillId="40" borderId="16" xfId="0" applyFont="1" applyFill="1" applyBorder="1" applyNumberFormat="1">
      <alignment horizontal="left" vertical="center" indent="4"/>
    </xf>
    <xf numFmtId="0" fontId="56" fillId="0" borderId="0" xfId="0" applyFont="1">
      <alignment vertical="center" wrapText="1"/>
    </xf>
    <xf numFmtId="0" fontId="56" fillId="0" borderId="0" xfId="0" applyFont="1">
      <alignment horizontal="left" vertical="center" indent="1"/>
    </xf>
    <xf numFmtId="0" fontId="56" fillId="0" borderId="0" xfId="0" applyFont="1">
      <alignment horizontal="center" vertical="center"/>
    </xf>
    <xf numFmtId="0" fontId="56" fillId="0" borderId="0" xfId="0" applyFont="1">
      <alignment horizontal="left" vertical="center" wrapText="1"/>
    </xf>
    <xf numFmtId="49" fontId="56" fillId="0" borderId="0" xfId="0" applyFont="1" applyNumberFormat="1">
      <alignment vertical="top"/>
    </xf>
    <xf numFmtId="49" fontId="114" fillId="0" borderId="0" xfId="0" applyFont="1" applyNumberFormat="1">
      <alignment vertical="top"/>
    </xf>
    <xf numFmtId="49" fontId="103" fillId="0" borderId="20" xfId="0" applyFont="1" applyBorder="1" applyNumberFormat="1">
      <alignment horizontal="left" vertical="center"/>
    </xf>
    <xf numFmtId="49" fontId="56" fillId="0" borderId="20" xfId="0" applyFont="1" applyBorder="1" applyNumberFormat="1">
      <alignment horizontal="left" vertical="center" indent="3"/>
    </xf>
    <xf numFmtId="49" fontId="56" fillId="0" borderId="20" xfId="0" applyFont="1" applyBorder="1" applyNumberFormat="1">
      <alignment horizontal="center" vertical="center" wrapText="1"/>
    </xf>
    <xf numFmtId="49" fontId="56" fillId="0" borderId="0" xfId="0" applyFont="1" applyNumberFormat="1">
      <alignment horizontal="left" vertical="center"/>
    </xf>
    <xf numFmtId="49" fontId="103" fillId="0" borderId="0" xfId="0" applyFont="1" applyNumberFormat="1">
      <alignment horizontal="left" vertical="center"/>
    </xf>
    <xf numFmtId="49" fontId="56" fillId="0" borderId="0" xfId="0" applyFont="1" applyNumberFormat="1">
      <alignment horizontal="left" vertical="center" indent="2"/>
    </xf>
    <xf numFmtId="49" fontId="56" fillId="0" borderId="0" xfId="0" applyFont="1" applyNumberFormat="1">
      <alignment horizontal="center" vertical="center" wrapText="1"/>
    </xf>
    <xf numFmtId="49" fontId="56" fillId="0" borderId="0" xfId="0" applyFont="1" applyNumberFormat="1">
      <alignment horizontal="left" vertical="center" indent="1"/>
    </xf>
    <xf numFmtId="49" fontId="23" fillId="0" borderId="0" xfId="0" applyFont="1" applyNumberFormat="1">
      <alignment vertical="center" wrapText="1"/>
    </xf>
    <xf numFmtId="4" fontId="130" fillId="0" borderId="13" xfId="0" applyFont="1" applyBorder="1" applyNumberFormat="1">
      <alignment horizontal="right" vertical="center" wrapText="1"/>
    </xf>
    <xf numFmtId="247" fontId="130" fillId="0" borderId="13" xfId="0" applyFont="1" applyBorder="1" applyNumberFormat="1">
      <alignment horizontal="right" vertical="center" wrapText="1"/>
    </xf>
    <xf numFmtId="250" fontId="55" fillId="0" borderId="13" xfId="0" applyFont="1" applyBorder="1" applyNumberFormat="1">
      <alignment horizontal="center" vertical="center" wrapText="1"/>
    </xf>
    <xf numFmtId="49" fontId="55" fillId="0" borderId="13" xfId="0" applyFont="1" applyBorder="1" applyNumberFormat="1">
      <alignment horizontal="center" vertical="center" wrapText="1"/>
    </xf>
    <xf numFmtId="0" fontId="55" fillId="0" borderId="0" xfId="0" applyFont="1">
      <alignment vertical="center" wrapText="1"/>
    </xf>
    <xf numFmtId="0" fontId="55" fillId="0" borderId="0" xfId="0" applyFont="1">
      <alignment horizontal="center" vertical="center" wrapText="1"/>
    </xf>
    <xf numFmtId="49" fontId="55" fillId="0" borderId="0" xfId="0" applyFont="1" applyNumberFormat="1">
      <alignment vertical="center" wrapText="1"/>
    </xf>
    <xf numFmtId="49" fontId="55" fillId="0" borderId="13" xfId="0" applyFont="1" applyBorder="1" applyNumberFormat="1">
      <alignment vertical="center" wrapText="1"/>
    </xf>
    <xf numFmtId="0" fontId="75" fillId="0" borderId="0" xfId="0" applyFont="1">
      <alignment vertical="center" wrapText="1"/>
    </xf>
    <xf numFmtId="0" fontId="55" fillId="0" borderId="0" xfId="0" applyFont="1">
      <alignment horizontal="left" vertical="center" wrapText="1"/>
    </xf>
    <xf numFmtId="0" fontId="23" fillId="36" borderId="0" xfId="0" applyFont="1" applyFill="1">
      <alignment horizontal="left" vertical="center" wrapText="1"/>
    </xf>
    <xf numFmtId="0" fontId="22" fillId="0" borderId="20" xfId="0" applyFont="1" applyBorder="1">
      <alignment horizontal="left" vertical="center" wrapText="1" indent="1"/>
    </xf>
    <xf numFmtId="0" fontId="22" fillId="0" borderId="0" xfId="0" applyFont="1">
      <alignment vertical="center" wrapText="1"/>
    </xf>
    <xf numFmtId="0" fontId="22" fillId="0" borderId="29" xfId="0" applyFont="1" applyBorder="1">
      <alignment horizontal="left" vertical="center" wrapText="1" indent="1"/>
    </xf>
    <xf numFmtId="0" fontId="35" fillId="36" borderId="0" xfId="0" applyFont="1" applyFill="1">
      <alignment horizontal="center" vertical="center" wrapText="1"/>
    </xf>
    <xf numFmtId="0" fontId="0" fillId="0" borderId="0" xfId="0" applyFont="1">
      <alignment vertical="center"/>
    </xf>
    <xf numFmtId="0" fontId="55" fillId="0" borderId="0" xfId="0" applyFont="1">
      <alignment vertical="center"/>
    </xf>
    <xf numFmtId="0" fontId="55" fillId="0" borderId="0" xfId="0" applyFont="1">
      <alignment horizontal="center" vertical="center"/>
    </xf>
    <xf numFmtId="0" fontId="0" fillId="36" borderId="13" xfId="0" applyFont="1" applyFill="1" applyBorder="1">
      <alignment horizontal="right" vertical="center" wrapText="1" indent="1"/>
    </xf>
    <xf numFmtId="0" fontId="0" fillId="0" borderId="16" xfId="0" applyFont="1" applyBorder="1">
      <alignment vertical="center"/>
    </xf>
    <xf numFmtId="0" fontId="23" fillId="38" borderId="13" xfId="0" applyFont="1" applyFill="1" applyBorder="1">
      <alignment horizontal="left" vertical="center" wrapText="1" indent="1"/>
    </xf>
    <xf numFmtId="0" fontId="23" fillId="0" borderId="0" xfId="0" applyFont="1">
      <alignment vertical="center" wrapText="1"/>
    </xf>
    <xf numFmtId="0" fontId="74" fillId="0" borderId="0" xfId="0" applyFont="1">
      <alignment vertical="center"/>
    </xf>
    <xf numFmtId="0" fontId="56" fillId="0" borderId="0" xfId="0" applyFont="1">
      <alignment vertical="center"/>
    </xf>
    <xf numFmtId="49" fontId="23" fillId="0" borderId="0" xfId="0" applyFont="1" applyNumberFormat="1">
      <alignment vertical="center" wrapText="1"/>
    </xf>
    <xf numFmtId="0" fontId="23" fillId="0" borderId="0" xfId="0" applyFont="1">
      <alignment horizontal="right" vertical="center" wrapText="1"/>
    </xf>
    <xf numFmtId="0" fontId="56" fillId="0" borderId="0" xfId="0" applyFont="1">
      <alignment vertical="center" wrapText="1"/>
    </xf>
    <xf numFmtId="0" fontId="23" fillId="36" borderId="29" xfId="0" applyFont="1" applyFill="1" applyBorder="1">
      <alignment vertical="center" wrapText="1"/>
    </xf>
    <xf numFmtId="0" fontId="46" fillId="0" borderId="29" xfId="0" applyFont="1" applyBorder="1">
      <alignment horizontal="center" vertical="center" wrapText="1"/>
    </xf>
    <xf numFmtId="0" fontId="23" fillId="36" borderId="13" xfId="0" applyFont="1" applyFill="1" applyBorder="1">
      <alignment horizontal="left" vertical="center" wrapText="1"/>
    </xf>
    <xf numFmtId="0" fontId="23" fillId="0" borderId="18" xfId="0" applyFont="1" applyBorder="1">
      <alignment vertical="center" wrapText="1"/>
    </xf>
    <xf numFmtId="0" fontId="0" fillId="36" borderId="15" xfId="0" applyFont="1" applyFill="1" applyBorder="1">
      <alignment horizontal="center" vertical="center" wrapText="1"/>
    </xf>
    <xf numFmtId="0" fontId="0" fillId="36" borderId="16" xfId="0" applyFont="1" applyFill="1" applyBorder="1">
      <alignment horizontal="center" vertical="center" wrapText="1"/>
    </xf>
    <xf numFmtId="0" fontId="0" fillId="36" borderId="14" xfId="0" applyFont="1" applyFill="1" applyBorder="1">
      <alignment horizontal="center" vertical="center" wrapText="1"/>
    </xf>
    <xf numFmtId="0" fontId="23" fillId="36" borderId="18" xfId="0" applyFont="1" applyFill="1" applyBorder="1">
      <alignment horizontal="center" vertical="center" wrapText="1"/>
    </xf>
    <xf numFmtId="49" fontId="49" fillId="40" borderId="18" xfId="0" applyFont="1" applyFill="1" applyBorder="1" applyNumberFormat="1">
      <alignment horizontal="center" vertical="center" textRotation="90" wrapText="1"/>
    </xf>
    <xf numFmtId="0" fontId="23" fillId="0" borderId="37" xfId="0" applyFont="1" applyBorder="1">
      <alignment vertical="center" wrapText="1"/>
    </xf>
    <xf numFmtId="0" fontId="23" fillId="0" borderId="18" xfId="0" applyFont="1" applyBorder="1">
      <alignment horizontal="center" vertical="center" wrapText="1"/>
    </xf>
    <xf numFmtId="0" fontId="55" fillId="0" borderId="18" xfId="0" applyFont="1" applyBorder="1">
      <alignment horizontal="center" vertical="center" wrapText="1"/>
    </xf>
    <xf numFmtId="0" fontId="23" fillId="0" borderId="15" xfId="0" applyFont="1" applyBorder="1">
      <alignment horizontal="center" vertical="center" wrapText="1"/>
    </xf>
    <xf numFmtId="0" fontId="23" fillId="0" borderId="14" xfId="0" applyFont="1" applyBorder="1">
      <alignment horizontal="center" vertical="center" wrapText="1"/>
    </xf>
    <xf numFmtId="0" fontId="23" fillId="0" borderId="15" xfId="0" applyFont="1" applyBorder="1">
      <alignment horizontal="center" vertical="center" wrapText="1"/>
    </xf>
    <xf numFmtId="0" fontId="23" fillId="0" borderId="16" xfId="0" applyFont="1" applyBorder="1">
      <alignment horizontal="center" vertical="center" wrapText="1"/>
    </xf>
    <xf numFmtId="0" fontId="23" fillId="0" borderId="14" xfId="0" applyFont="1" applyBorder="1">
      <alignment horizontal="center" vertical="center" wrapText="1"/>
    </xf>
    <xf numFmtId="0" fontId="23" fillId="36" borderId="37" xfId="0" applyFont="1" applyFill="1" applyBorder="1">
      <alignment horizontal="center" vertical="center" wrapText="1"/>
    </xf>
    <xf numFmtId="49" fontId="49" fillId="40" borderId="37" xfId="0" applyFont="1" applyFill="1" applyBorder="1" applyNumberFormat="1">
      <alignment horizontal="center" vertical="center" textRotation="90" wrapText="1"/>
    </xf>
    <xf numFmtId="0" fontId="23" fillId="0" borderId="24" xfId="0" applyFont="1" applyBorder="1">
      <alignment vertical="center" wrapText="1"/>
    </xf>
    <xf numFmtId="0" fontId="23" fillId="0" borderId="24" xfId="0" applyFont="1" applyBorder="1">
      <alignment horizontal="center" vertical="center" wrapText="1"/>
    </xf>
    <xf numFmtId="0" fontId="55" fillId="0" borderId="24" xfId="0" applyFont="1" applyBorder="1">
      <alignment horizontal="center" vertical="center" wrapText="1"/>
    </xf>
    <xf numFmtId="0" fontId="0" fillId="0" borderId="13" xfId="0" applyFont="1" applyBorder="1">
      <alignment horizontal="center" vertical="center" wrapText="1"/>
    </xf>
    <xf numFmtId="0" fontId="0" fillId="0" borderId="13" xfId="0" applyFont="1" applyBorder="1">
      <alignment horizontal="center" vertical="center" wrapText="1"/>
    </xf>
    <xf numFmtId="0" fontId="0" fillId="0" borderId="15" xfId="0" applyFont="1" applyBorder="1">
      <alignment horizontal="center" vertical="center" wrapText="1"/>
    </xf>
    <xf numFmtId="0" fontId="0" fillId="0" borderId="14" xfId="0" applyFont="1" applyBorder="1">
      <alignment horizontal="center" vertical="center" wrapText="1"/>
    </xf>
    <xf numFmtId="0" fontId="23" fillId="36" borderId="24" xfId="0" applyFont="1" applyFill="1" applyBorder="1">
      <alignment horizontal="center" vertical="center" wrapText="1"/>
    </xf>
    <xf numFmtId="0" fontId="0" fillId="0" borderId="13" xfId="0" applyFont="1" applyBorder="1">
      <alignment horizontal="center" vertical="center" wrapText="1"/>
    </xf>
    <xf numFmtId="49" fontId="49" fillId="40" borderId="24" xfId="0" applyFont="1" applyFill="1" applyBorder="1" applyNumberFormat="1">
      <alignment horizontal="center" vertical="center" textRotation="90" wrapText="1"/>
    </xf>
    <xf numFmtId="49" fontId="79" fillId="0" borderId="0" xfId="0" applyFont="1" applyNumberFormat="1">
      <alignment vertical="center" wrapText="1"/>
    </xf>
    <xf numFmtId="0" fontId="113" fillId="36" borderId="0" xfId="0" applyFont="1" applyFill="1">
      <alignment vertical="center" wrapText="1"/>
    </xf>
    <xf numFmtId="0" fontId="114" fillId="36" borderId="0" xfId="0" applyFont="1" applyFill="1">
      <alignment vertical="center" wrapText="1"/>
    </xf>
    <xf numFmtId="49" fontId="86" fillId="36" borderId="20" xfId="0" applyFont="1" applyFill="1" applyBorder="1" applyNumberFormat="1">
      <alignment horizontal="left" vertical="center" wrapText="1"/>
    </xf>
    <xf numFmtId="49" fontId="86" fillId="36" borderId="20" xfId="0" applyFont="1" applyFill="1" applyBorder="1" applyNumberFormat="1">
      <alignment horizontal="center" vertical="center" wrapText="1"/>
    </xf>
    <xf numFmtId="0" fontId="56" fillId="36" borderId="20" xfId="0" applyFont="1" applyFill="1" applyBorder="1">
      <alignment horizontal="center" vertical="center" wrapText="1"/>
    </xf>
    <xf numFmtId="0" fontId="86" fillId="36" borderId="20" xfId="0" applyFont="1" applyFill="1" applyBorder="1">
      <alignment horizontal="center" vertical="center" wrapText="1"/>
    </xf>
    <xf numFmtId="0" fontId="86" fillId="36" borderId="20" xfId="0" applyFont="1" applyFill="1" applyBorder="1">
      <alignment horizontal="center" vertical="center" wrapText="1"/>
    </xf>
    <xf numFmtId="0" fontId="86" fillId="36" borderId="20" xfId="0" applyFont="1" applyFill="1" applyBorder="1">
      <alignment horizontal="center" vertical="center" wrapText="1"/>
    </xf>
    <xf numFmtId="0" fontId="23" fillId="36" borderId="13" xfId="0" applyFont="1" applyFill="1" applyBorder="1">
      <alignment horizontal="left" vertical="center" wrapText="1"/>
    </xf>
    <xf numFmtId="0" fontId="23" fillId="0" borderId="0" xfId="0" applyFont="1">
      <alignment horizontal="center" vertical="center" wrapText="1"/>
    </xf>
    <xf numFmtId="0" fontId="56" fillId="0" borderId="0" xfId="0" applyFont="1">
      <alignment horizontal="center" vertical="center" wrapText="1"/>
    </xf>
    <xf numFmtId="250" fontId="0" fillId="41" borderId="18" xfId="0" applyFont="1" applyFill="1" applyBorder="1" applyNumberFormat="1">
      <alignment horizontal="center" vertical="center" wrapText="1"/>
      <protection locked="0"/>
    </xf>
    <xf numFmtId="4" fontId="129" fillId="0" borderId="18" xfId="0" applyFont="1" applyBorder="1" applyNumberFormat="1">
      <alignment horizontal="right" vertical="center" wrapText="1"/>
    </xf>
    <xf numFmtId="49" fontId="23" fillId="0" borderId="13" xfId="0" applyFont="1" applyBorder="1" applyNumberFormat="1">
      <alignment horizontal="left" vertical="center" wrapText="1"/>
    </xf>
    <xf numFmtId="49" fontId="0" fillId="41" borderId="24" xfId="0" applyFont="1" applyFill="1" applyBorder="1" applyNumberFormat="1">
      <alignment horizontal="center" vertical="center" wrapText="1"/>
      <protection locked="0"/>
    </xf>
    <xf numFmtId="4" fontId="129" fillId="0" borderId="24" xfId="0" applyFont="1" applyBorder="1" applyNumberFormat="1">
      <alignment horizontal="right" vertical="center" wrapText="1"/>
    </xf>
    <xf numFmtId="0" fontId="56" fillId="0" borderId="0" xfId="0" applyFont="1">
      <alignment vertical="center" wrapText="1"/>
    </xf>
    <xf numFmtId="0" fontId="56" fillId="0" borderId="0" xfId="0" applyFont="1">
      <alignment horizontal="center" vertical="center"/>
    </xf>
    <xf numFmtId="0" fontId="56" fillId="0" borderId="0" xfId="0" applyFont="1">
      <alignment vertical="center" wrapText="1"/>
    </xf>
    <xf numFmtId="49" fontId="56" fillId="0" borderId="0" xfId="0" applyFont="1" applyNumberFormat="1">
      <alignment vertical="top"/>
    </xf>
    <xf numFmtId="49" fontId="114" fillId="0" borderId="0" xfId="0" applyFont="1" applyNumberFormat="1">
      <alignment vertical="top"/>
    </xf>
    <xf numFmtId="0" fontId="23" fillId="0" borderId="0" xfId="0" applyFont="1">
      <alignment horizontal="right" vertical="top" wrapText="1"/>
    </xf>
    <xf numFmtId="0" fontId="23" fillId="0" borderId="0" xfId="0" applyFont="1">
      <alignment horizontal="left" vertical="top" wrapText="1"/>
    </xf>
    <xf numFmtId="49" fontId="23" fillId="0" borderId="0" xfId="0" applyFont="1" applyNumberFormat="1">
      <alignment vertical="center" wrapText="1"/>
    </xf>
    <xf numFmtId="0" fontId="55" fillId="0" borderId="0" xfId="0" applyFont="1">
      <alignment horizontal="center" vertical="center" wrapText="1"/>
    </xf>
    <xf numFmtId="49" fontId="55" fillId="0" borderId="0" xfId="0" applyFont="1" applyNumberFormat="1">
      <alignment vertical="center" wrapText="1"/>
    </xf>
    <xf numFmtId="49" fontId="23" fillId="0" borderId="0" xfId="0" applyFont="1" applyNumberFormat="1">
      <alignment vertical="center" wrapText="1"/>
    </xf>
    <xf numFmtId="0" fontId="48" fillId="0" borderId="0" xfId="0" applyFont="1">
      <alignment vertical="center" wrapText="1"/>
    </xf>
    <xf numFmtId="0" fontId="23" fillId="0" borderId="0" xfId="0" applyFont="1">
      <alignment horizontal="left" vertical="center" wrapText="1"/>
    </xf>
    <xf numFmtId="0" fontId="23" fillId="36" borderId="13" xfId="0" applyFont="1" applyFill="1" applyBorder="1">
      <alignment horizontal="left" vertical="center" wrapText="1"/>
    </xf>
    <xf numFmtId="0" fontId="23" fillId="0" borderId="0" xfId="0" applyFont="1">
      <alignment horizontal="center" vertical="center" wrapText="1"/>
    </xf>
    <xf numFmtId="0" fontId="56" fillId="0" borderId="0" xfId="0" applyFont="1">
      <alignment horizontal="center" vertical="center" wrapText="1"/>
    </xf>
    <xf numFmtId="49" fontId="23" fillId="0" borderId="13" xfId="0" applyFont="1" applyBorder="1" applyNumberFormat="1">
      <alignment horizontal="left" vertical="center" wrapText="1"/>
    </xf>
    <xf numFmtId="0" fontId="23" fillId="0" borderId="0" xfId="0" applyFont="1">
      <alignment horizontal="right" vertical="center" wrapText="1"/>
    </xf>
    <xf numFmtId="0" fontId="0" fillId="0" borderId="13" xfId="0" applyFont="1" applyBorder="1">
      <alignment horizontal="center" vertical="center" wrapText="1"/>
    </xf>
    <xf numFmtId="0" fontId="86" fillId="36" borderId="20" xfId="0" applyFont="1" applyFill="1" applyBorder="1">
      <alignment horizontal="center" vertical="center" wrapText="1"/>
    </xf>
    <xf numFmtId="49" fontId="23" fillId="0" borderId="0" xfId="0" applyFont="1" applyNumberFormat="1">
      <alignment vertical="center" wrapText="1"/>
    </xf>
    <xf numFmtId="247" fontId="129" fillId="0" borderId="13" xfId="0" applyFont="1" applyBorder="1" applyNumberFormat="1">
      <alignment horizontal="right" vertical="center" wrapText="1"/>
    </xf>
    <xf numFmtId="0" fontId="0" fillId="36" borderId="20" xfId="0" applyFont="1" applyFill="1" applyBorder="1">
      <alignment horizontal="center" vertical="center" wrapText="1"/>
    </xf>
    <xf numFmtId="0" fontId="56" fillId="0" borderId="18" xfId="0" applyFont="1" applyBorder="1">
      <alignment horizontal="center" vertical="center" wrapText="1"/>
    </xf>
    <xf numFmtId="0" fontId="23" fillId="0" borderId="38" xfId="0" applyFont="1" applyBorder="1">
      <alignment horizontal="center" vertical="center" wrapText="1"/>
    </xf>
    <xf numFmtId="0" fontId="56" fillId="0" borderId="13" xfId="0" applyFont="1" applyBorder="1">
      <alignment vertical="center" wrapText="1"/>
    </xf>
    <xf numFmtId="0" fontId="23" fillId="0" borderId="0" xfId="0" applyFont="1">
      <alignment vertical="center"/>
    </xf>
    <xf numFmtId="0" fontId="56" fillId="0" borderId="24" xfId="0" applyFont="1" applyBorder="1">
      <alignment horizontal="center" vertical="center" wrapText="1"/>
    </xf>
    <xf numFmtId="0" fontId="23" fillId="0" borderId="28" xfId="0" applyFont="1" applyBorder="1">
      <alignment horizontal="center" vertical="center" wrapText="1"/>
    </xf>
    <xf numFmtId="0" fontId="56" fillId="0" borderId="13" xfId="0" applyFont="1" applyBorder="1">
      <alignment horizontal="center" vertical="center" wrapText="1"/>
    </xf>
    <xf numFmtId="0" fontId="0" fillId="0" borderId="14" xfId="0" applyFont="1" applyBorder="1">
      <alignment horizontal="center" vertical="center" wrapText="1"/>
    </xf>
    <xf numFmtId="0" fontId="86" fillId="36" borderId="0" xfId="0" applyFont="1" applyFill="1">
      <alignment horizontal="center" vertical="center" wrapText="1"/>
    </xf>
    <xf numFmtId="0" fontId="56" fillId="0" borderId="13" xfId="0" applyFont="1" applyBorder="1">
      <alignment horizontal="left" vertical="center" wrapText="1" indent="4"/>
    </xf>
    <xf numFmtId="0" fontId="56" fillId="0" borderId="13" xfId="0" applyFont="1" applyBorder="1">
      <alignment horizontal="left" vertical="center" wrapText="1" indent="6"/>
    </xf>
    <xf numFmtId="0" fontId="56" fillId="0" borderId="15" xfId="0" applyFont="1" applyBorder="1">
      <alignment horizontal="left" vertical="center" wrapText="1"/>
    </xf>
    <xf numFmtId="0" fontId="56" fillId="0" borderId="16" xfId="0" applyFont="1" applyBorder="1">
      <alignment horizontal="left" vertical="center" wrapText="1"/>
    </xf>
    <xf numFmtId="0" fontId="56" fillId="0" borderId="14" xfId="0" applyFont="1" applyBorder="1">
      <alignment horizontal="left" vertical="center" wrapText="1"/>
    </xf>
    <xf numFmtId="0" fontId="56" fillId="0" borderId="13" xfId="0" applyFont="1" applyBorder="1">
      <alignment vertical="top" wrapText="1"/>
    </xf>
    <xf numFmtId="49" fontId="103" fillId="0" borderId="15" xfId="0" applyFont="1" applyBorder="1" applyNumberFormat="1">
      <alignment horizontal="left" vertical="center"/>
    </xf>
    <xf numFmtId="49" fontId="56" fillId="0" borderId="16" xfId="0" applyFont="1" applyBorder="1" applyNumberFormat="1">
      <alignment horizontal="left" vertical="center" indent="4"/>
    </xf>
    <xf numFmtId="49" fontId="56" fillId="0" borderId="16" xfId="0" applyFont="1" applyBorder="1" applyNumberFormat="1">
      <alignment horizontal="center" vertical="center" wrapText="1"/>
    </xf>
    <xf numFmtId="49" fontId="56" fillId="0" borderId="14" xfId="0" applyFont="1" applyBorder="1" applyNumberFormat="1">
      <alignment horizontal="center" vertical="center" wrapText="1"/>
    </xf>
    <xf numFmtId="49" fontId="56" fillId="0" borderId="0" xfId="0" applyFont="1" applyNumberFormat="1">
      <alignment vertical="center" wrapText="1"/>
    </xf>
    <xf numFmtId="0" fontId="0" fillId="0" borderId="0" xfId="0" applyFont="1">
      <alignment horizontal="left" vertical="top" wrapText="1"/>
    </xf>
    <xf numFmtId="0" fontId="23" fillId="0" borderId="13" xfId="0" applyFont="1" applyBorder="1">
      <alignment horizontal="center" vertical="center"/>
    </xf>
    <xf numFmtId="0" fontId="23" fillId="0" borderId="0" xfId="0" applyFont="1">
      <alignment horizontal="center" vertical="center"/>
    </xf>
    <xf numFmtId="0" fontId="23" fillId="0" borderId="0" xfId="0" applyFont="1">
      <alignment horizontal="left" vertical="center" wrapText="1"/>
    </xf>
    <xf numFmtId="0" fontId="23" fillId="0" borderId="15" xfId="0" applyFont="1" applyBorder="1">
      <alignment horizontal="center" vertical="center"/>
    </xf>
    <xf numFmtId="0" fontId="23" fillId="0" borderId="13" xfId="0" applyFont="1" applyBorder="1">
      <alignment horizontal="center" vertical="center" wrapText="1"/>
    </xf>
    <xf numFmtId="0" fontId="23" fillId="42" borderId="20" xfId="0" applyFont="1" applyFill="1" applyBorder="1">
      <alignment horizontal="left" vertical="center" wrapText="1"/>
    </xf>
    <xf numFmtId="0" fontId="23" fillId="42" borderId="21" xfId="0" applyFont="1" applyFill="1" applyBorder="1">
      <alignment horizontal="left" vertical="center" wrapText="1"/>
    </xf>
    <xf numFmtId="0" fontId="23" fillId="0" borderId="15" xfId="0" applyFont="1" applyBorder="1">
      <alignment horizontal="center" vertical="center" wrapText="1"/>
    </xf>
    <xf numFmtId="0" fontId="23" fillId="0" borderId="0" xfId="0" applyFont="1">
      <alignment horizontal="center" vertical="center" wrapText="1"/>
    </xf>
    <xf numFmtId="247" fontId="129" fillId="33" borderId="15" xfId="0" applyFont="1" applyFill="1" applyBorder="1" applyNumberFormat="1">
      <alignment horizontal="right" vertical="center" wrapText="1"/>
      <protection locked="0"/>
    </xf>
    <xf numFmtId="4" fontId="129" fillId="33" borderId="14" xfId="0" applyFont="1" applyFill="1" applyBorder="1" applyNumberFormat="1">
      <alignment horizontal="right" vertical="center" wrapText="1"/>
      <protection locked="0"/>
    </xf>
    <xf numFmtId="0" fontId="54" fillId="0" borderId="18" xfId="0" applyFont="1" applyBorder="1">
      <alignment vertical="top" wrapText="1"/>
    </xf>
    <xf numFmtId="0" fontId="23" fillId="33" borderId="13" xfId="0" applyFont="1" applyFill="1" applyBorder="1">
      <alignment horizontal="left" vertical="center" wrapText="1" indent="7"/>
      <protection locked="0"/>
    </xf>
    <xf numFmtId="49" fontId="0" fillId="41" borderId="13" xfId="0" applyFont="1" applyFill="1" applyBorder="1" applyNumberFormat="1">
      <alignment horizontal="center" vertical="center" wrapText="1"/>
      <protection locked="0"/>
    </xf>
    <xf numFmtId="4" fontId="131" fillId="0" borderId="15" xfId="0" applyFont="1" applyBorder="1" applyNumberFormat="1">
      <alignment horizontal="center" vertical="center" wrapText="1"/>
    </xf>
    <xf numFmtId="4" fontId="129" fillId="0" borderId="14" xfId="0" applyFont="1" applyBorder="1" applyNumberFormat="1">
      <alignment horizontal="right" vertical="center" wrapText="1"/>
    </xf>
    <xf numFmtId="0" fontId="23" fillId="40" borderId="16" xfId="0" applyFont="1" applyFill="1" applyBorder="1">
      <alignment horizontal="left" vertical="center" wrapText="1" indent="6"/>
    </xf>
    <xf numFmtId="4" fontId="129" fillId="40" borderId="16" xfId="0" applyFont="1" applyFill="1" applyBorder="1" applyNumberFormat="1">
      <alignment horizontal="right" vertical="center" wrapText="1"/>
    </xf>
    <xf numFmtId="4" fontId="131" fillId="40" borderId="16" xfId="0" applyFont="1" applyFill="1" applyBorder="1" applyNumberFormat="1">
      <alignment horizontal="center" vertical="center" wrapText="1"/>
    </xf>
    <xf numFmtId="4" fontId="129" fillId="40" borderId="14" xfId="0" applyFont="1" applyFill="1" applyBorder="1" applyNumberFormat="1">
      <alignment horizontal="right" vertical="center" wrapText="1"/>
    </xf>
    <xf numFmtId="49" fontId="23" fillId="40" borderId="29" xfId="0" applyFont="1" applyFill="1" applyBorder="1" applyNumberFormat="1">
      <alignment horizontal="center" vertical="center" wrapText="1"/>
    </xf>
    <xf numFmtId="0" fontId="79" fillId="0" borderId="0" xfId="0" applyFont="1">
      <alignment horizontal="left" vertical="center" indent="1"/>
    </xf>
    <xf numFmtId="0" fontId="79" fillId="0" borderId="0" xfId="0" applyFont="1">
      <alignment horizontal="center" vertical="center"/>
    </xf>
    <xf numFmtId="0" fontId="79" fillId="0" borderId="0" xfId="0" applyFont="1">
      <alignment horizontal="left" vertical="center" wrapText="1"/>
    </xf>
    <xf numFmtId="0" fontId="79" fillId="0" borderId="0" xfId="0" applyFont="1">
      <alignment vertical="center" wrapText="1"/>
    </xf>
    <xf numFmtId="49" fontId="79" fillId="0" borderId="0" xfId="0" applyFont="1" applyNumberFormat="1">
      <alignment horizontal="left" vertical="center"/>
    </xf>
    <xf numFmtId="0" fontId="23" fillId="0" borderId="0" xfId="0" applyFont="1">
      <alignment horizontal="center" vertical="center" wrapText="1"/>
    </xf>
    <xf numFmtId="49" fontId="23" fillId="0" borderId="13" xfId="0" applyFont="1" applyBorder="1" applyNumberFormat="1">
      <alignment vertical="center" wrapText="1"/>
    </xf>
    <xf numFmtId="0" fontId="23" fillId="0" borderId="0" xfId="0" applyFont="1">
      <alignment vertical="center"/>
    </xf>
    <xf numFmtId="0" fontId="23" fillId="0" borderId="0" xfId="0" applyFont="1">
      <alignment horizontal="center" vertical="center"/>
    </xf>
    <xf numFmtId="0" fontId="23" fillId="0" borderId="13" xfId="0" applyFont="1" applyBorder="1">
      <alignment horizontal="center" vertical="center" wrapText="1"/>
    </xf>
    <xf numFmtId="0" fontId="23" fillId="0" borderId="38" xfId="0" applyFont="1" applyBorder="1">
      <alignment horizontal="center" vertical="center" wrapText="1"/>
    </xf>
    <xf numFmtId="0" fontId="23" fillId="0" borderId="20" xfId="0" applyFont="1" applyBorder="1">
      <alignment horizontal="center" vertical="center" wrapText="1"/>
    </xf>
    <xf numFmtId="0" fontId="23" fillId="0" borderId="21" xfId="0" applyFont="1" applyBorder="1">
      <alignment horizontal="center" vertical="center" wrapText="1"/>
    </xf>
    <xf numFmtId="0" fontId="23" fillId="0" borderId="23" xfId="0" applyFont="1" applyBorder="1">
      <alignment horizontal="center" vertical="center" wrapText="1"/>
    </xf>
    <xf numFmtId="0" fontId="0" fillId="0" borderId="18" xfId="0" applyFont="1" applyBorder="1">
      <alignment horizontal="center" vertical="center" wrapText="1"/>
    </xf>
    <xf numFmtId="0" fontId="0" fillId="0" borderId="15" xfId="0" applyFont="1" applyBorder="1">
      <alignment horizontal="center" vertical="center" wrapText="1"/>
    </xf>
    <xf numFmtId="0" fontId="0" fillId="0" borderId="16" xfId="0" applyFont="1" applyBorder="1">
      <alignment horizontal="center" vertical="center" wrapText="1"/>
    </xf>
    <xf numFmtId="0" fontId="0" fillId="0" borderId="14" xfId="0" applyFont="1" applyBorder="1">
      <alignment horizontal="center" vertical="center" wrapText="1"/>
    </xf>
    <xf numFmtId="0" fontId="23" fillId="0" borderId="28" xfId="0" applyFont="1" applyBorder="1">
      <alignment horizontal="center" vertical="center" wrapText="1"/>
    </xf>
    <xf numFmtId="0" fontId="23" fillId="0" borderId="29" xfId="0" applyFont="1" applyBorder="1">
      <alignment horizontal="center" vertical="center" wrapText="1"/>
    </xf>
    <xf numFmtId="0" fontId="23" fillId="0" borderId="31" xfId="0" applyFont="1" applyBorder="1">
      <alignment horizontal="center" vertical="center" wrapText="1"/>
    </xf>
    <xf numFmtId="0" fontId="0" fillId="0" borderId="37" xfId="0" applyFont="1" applyBorder="1">
      <alignment horizontal="center" vertical="center" wrapText="1"/>
    </xf>
    <xf numFmtId="0" fontId="0" fillId="0" borderId="18" xfId="0" applyFont="1" applyBorder="1">
      <alignment horizontal="center" vertical="center" wrapText="1"/>
    </xf>
    <xf numFmtId="0" fontId="0" fillId="0" borderId="38" xfId="0" applyFont="1" applyBorder="1">
      <alignment horizontal="center" vertical="center" wrapText="1"/>
    </xf>
    <xf numFmtId="0" fontId="0" fillId="0" borderId="21" xfId="0" applyFont="1" applyBorder="1">
      <alignment horizontal="center" vertical="center" wrapText="1"/>
    </xf>
    <xf numFmtId="0" fontId="0" fillId="0" borderId="24" xfId="0" applyFont="1" applyBorder="1">
      <alignment horizontal="center" vertical="center" wrapText="1"/>
    </xf>
    <xf numFmtId="0" fontId="0" fillId="0" borderId="24" xfId="0" applyFont="1" applyBorder="1">
      <alignment horizontal="center" vertical="center" wrapText="1"/>
    </xf>
    <xf numFmtId="0" fontId="0" fillId="0" borderId="28" xfId="0" applyFont="1" applyBorder="1">
      <alignment horizontal="center" vertical="center" wrapText="1"/>
    </xf>
    <xf numFmtId="0" fontId="0" fillId="0" borderId="31" xfId="0" applyFont="1" applyBorder="1">
      <alignment horizontal="center" vertical="center" wrapText="1"/>
    </xf>
    <xf numFmtId="0" fontId="23" fillId="0" borderId="13" xfId="0" applyFont="1" applyBorder="1">
      <alignment horizontal="center" vertical="center"/>
    </xf>
    <xf numFmtId="0" fontId="79" fillId="0" borderId="0" xfId="0" applyFont="1">
      <alignment horizontal="left" vertical="center" indent="1"/>
    </xf>
    <xf numFmtId="0" fontId="23" fillId="0" borderId="15" xfId="0" applyFont="1" applyBorder="1">
      <alignment horizontal="center" vertical="center"/>
    </xf>
    <xf numFmtId="0" fontId="79" fillId="0" borderId="0" xfId="0" applyFont="1">
      <alignment horizontal="center" vertical="center"/>
    </xf>
    <xf numFmtId="0" fontId="23" fillId="0" borderId="0" xfId="0" applyFont="1">
      <alignment horizontal="center" vertical="center" wrapText="1"/>
    </xf>
    <xf numFmtId="49" fontId="55" fillId="0" borderId="0" xfId="0" applyFont="1" applyNumberFormat="1">
      <alignment vertical="center" wrapText="1"/>
    </xf>
    <xf numFmtId="0" fontId="55" fillId="0" borderId="0" xfId="0" applyFont="1">
      <alignment horizontal="center" vertical="center" wrapText="1"/>
    </xf>
    <xf numFmtId="0" fontId="62" fillId="36" borderId="0" xfId="0" applyFont="1" applyFill="1">
      <alignment horizontal="center" vertical="center" wrapText="1"/>
    </xf>
    <xf numFmtId="0" fontId="62" fillId="0" borderId="0" xfId="0" applyFont="1">
      <alignment vertical="center" wrapText="1"/>
    </xf>
    <xf numFmtId="0" fontId="56" fillId="0" borderId="13" xfId="0" applyFont="1" applyBorder="1">
      <alignment horizontal="left" vertical="center" wrapText="1" indent="5"/>
    </xf>
    <xf numFmtId="0" fontId="56" fillId="0" borderId="25" xfId="0" applyFont="1" applyBorder="1">
      <alignment horizontal="center" vertical="top" wrapText="1"/>
    </xf>
    <xf numFmtId="0" fontId="23" fillId="36" borderId="18" xfId="0" applyFont="1" applyFill="1" applyBorder="1">
      <alignment horizontal="left" vertical="center" wrapText="1"/>
    </xf>
    <xf numFmtId="49" fontId="23" fillId="41" borderId="18" xfId="0" applyFont="1" applyFill="1" applyBorder="1" applyNumberFormat="1">
      <alignment horizontal="left" vertical="center" wrapText="1" indent="6"/>
      <protection locked="0"/>
    </xf>
    <xf numFmtId="0" fontId="46" fillId="0" borderId="13" xfId="0" applyFont="1" applyBorder="1">
      <alignment horizontal="center" vertical="center" wrapText="1"/>
    </xf>
    <xf numFmtId="49" fontId="23" fillId="36" borderId="13" xfId="0" applyFont="1" applyFill="1" applyBorder="1" applyNumberFormat="1">
      <alignment horizontal="center" vertical="center" wrapText="1"/>
    </xf>
    <xf numFmtId="49" fontId="23" fillId="42" borderId="13" xfId="0" applyFont="1" applyFill="1" applyBorder="1" applyNumberFormat="1">
      <alignment horizontal="left" vertical="center" wrapText="1" indent="1"/>
    </xf>
    <xf numFmtId="0" fontId="23" fillId="0" borderId="13" xfId="0" applyFont="1" applyBorder="1">
      <alignment horizontal="left" vertical="center" wrapText="1" indent="4"/>
    </xf>
    <xf numFmtId="49" fontId="23" fillId="36" borderId="13" xfId="0" applyFont="1" applyFill="1" applyBorder="1" applyNumberFormat="1">
      <alignment horizontal="center" vertical="center" wrapText="1"/>
    </xf>
    <xf numFmtId="0" fontId="23" fillId="42" borderId="13" xfId="0" applyFont="1" applyFill="1" applyBorder="1">
      <alignment horizontal="left" vertical="center" wrapText="1" indent="1"/>
    </xf>
    <xf numFmtId="49" fontId="23" fillId="42" borderId="13" xfId="0" applyFont="1" applyFill="1" applyBorder="1" applyNumberFormat="1">
      <alignment horizontal="center" vertical="center" wrapText="1"/>
    </xf>
    <xf numFmtId="0" fontId="23" fillId="36" borderId="37" xfId="0" applyFont="1" applyFill="1" applyBorder="1">
      <alignment horizontal="left" vertical="center" wrapText="1"/>
    </xf>
    <xf numFmtId="49" fontId="23" fillId="41" borderId="37" xfId="0" applyFont="1" applyFill="1" applyBorder="1" applyNumberFormat="1">
      <alignment horizontal="left" vertical="center" wrapText="1" indent="6"/>
      <protection locked="0"/>
    </xf>
    <xf numFmtId="247" fontId="129" fillId="40" borderId="14" xfId="0" applyFont="1" applyFill="1" applyBorder="1" applyNumberFormat="1">
      <alignment horizontal="right" vertical="center" wrapText="1"/>
    </xf>
    <xf numFmtId="49" fontId="49" fillId="40" borderId="15" xfId="0" applyFont="1" applyFill="1" applyBorder="1" applyNumberFormat="1">
      <alignment horizontal="left" vertical="center"/>
    </xf>
    <xf numFmtId="247" fontId="129" fillId="40" borderId="16" xfId="0" applyFont="1" applyFill="1" applyBorder="1" applyNumberFormat="1">
      <alignment horizontal="right" vertical="center" wrapText="1"/>
    </xf>
    <xf numFmtId="4" fontId="129" fillId="0" borderId="37" xfId="0" applyFont="1" applyBorder="1" applyNumberFormat="1">
      <alignment horizontal="right" vertical="center" wrapText="1"/>
    </xf>
    <xf numFmtId="49" fontId="49" fillId="40" borderId="15" xfId="0" applyFont="1" applyFill="1" applyBorder="1" applyNumberFormat="1">
      <alignment horizontal="left" vertical="center" indent="1"/>
    </xf>
    <xf numFmtId="0" fontId="23" fillId="36" borderId="24" xfId="0" applyFont="1" applyFill="1" applyBorder="1">
      <alignment horizontal="left" vertical="center" wrapText="1"/>
    </xf>
    <xf numFmtId="49" fontId="23" fillId="41" borderId="24" xfId="0" applyFont="1" applyFill="1" applyBorder="1" applyNumberFormat="1">
      <alignment horizontal="left" vertical="center" wrapText="1" indent="6"/>
      <protection locked="0"/>
    </xf>
    <xf numFmtId="4" fontId="131" fillId="40" borderId="14" xfId="0" applyFont="1" applyFill="1" applyBorder="1" applyNumberFormat="1">
      <alignment horizontal="center" vertical="center" wrapText="1"/>
    </xf>
    <xf numFmtId="49" fontId="49" fillId="40" borderId="15" xfId="0" applyFont="1" applyFill="1" applyBorder="1" applyNumberFormat="1">
      <alignment vertical="center" wrapText="1"/>
    </xf>
    <xf numFmtId="49" fontId="49" fillId="40" borderId="16" xfId="0" applyFont="1" applyFill="1" applyBorder="1" applyNumberFormat="1">
      <alignment vertical="center" wrapText="1"/>
    </xf>
    <xf numFmtId="49" fontId="56" fillId="0" borderId="25" xfId="0" applyFont="1" applyBorder="1" applyNumberFormat="1">
      <alignment vertical="top"/>
    </xf>
    <xf numFmtId="0" fontId="118" fillId="0" borderId="0" xfId="0" applyFont="1">
      <alignment horizontal="center" vertical="center" wrapText="1"/>
    </xf>
    <xf numFmtId="49" fontId="56" fillId="0" borderId="0" xfId="0" applyFont="1" applyNumberFormat="1">
      <alignment horizontal="center" vertical="center" wrapText="1"/>
    </xf>
    <xf numFmtId="49" fontId="56" fillId="0" borderId="0" xfId="0" applyFont="1" applyNumberFormat="1">
      <alignment horizontal="left" vertical="center" wrapText="1" indent="1"/>
    </xf>
    <xf numFmtId="0" fontId="56" fillId="0" borderId="0" xfId="0" applyFont="1">
      <alignment horizontal="left" vertical="center" wrapText="1" indent="4"/>
    </xf>
    <xf numFmtId="0" fontId="56" fillId="0" borderId="25" xfId="0" applyFont="1" applyBorder="1">
      <alignment horizontal="left" vertical="center" wrapText="1" indent="1"/>
    </xf>
    <xf numFmtId="4" fontId="131" fillId="0" borderId="13" xfId="0" applyFont="1" applyBorder="1" applyNumberFormat="1">
      <alignment horizontal="right" vertical="center" wrapText="1"/>
    </xf>
    <xf numFmtId="247" fontId="131" fillId="0" borderId="13" xfId="0" applyFont="1" applyBorder="1" applyNumberFormat="1">
      <alignment horizontal="right" vertical="center" wrapText="1"/>
    </xf>
    <xf numFmtId="250" fontId="56" fillId="0" borderId="13" xfId="0" applyFont="1" applyBorder="1" applyNumberFormat="1">
      <alignment horizontal="center" vertical="center" wrapText="1"/>
    </xf>
    <xf numFmtId="49" fontId="56" fillId="0" borderId="13" xfId="0" applyFont="1" applyBorder="1" applyNumberFormat="1">
      <alignment horizontal="center" vertical="center" wrapText="1"/>
    </xf>
    <xf numFmtId="0" fontId="55" fillId="0" borderId="0" xfId="0" applyFont="1">
      <alignment horizontal="left" vertical="center"/>
    </xf>
    <xf numFmtId="49" fontId="55" fillId="0" borderId="0" xfId="0" applyFont="1" applyNumberFormat="1">
      <alignment horizontal="left" vertical="center"/>
    </xf>
    <xf numFmtId="0" fontId="55" fillId="0" borderId="0" xfId="0" applyFont="1">
      <alignment horizontal="left" vertical="center"/>
    </xf>
    <xf numFmtId="0" fontId="75" fillId="0" borderId="0" xfId="0" applyFont="1">
      <alignment horizontal="left" vertical="center"/>
    </xf>
    <xf numFmtId="0" fontId="55" fillId="0" borderId="0" xfId="0" applyFont="1">
      <alignment horizontal="left" vertical="center"/>
    </xf>
    <xf numFmtId="0" fontId="56" fillId="0" borderId="0" xfId="0" applyFont="1">
      <alignment horizontal="left" vertical="center"/>
    </xf>
    <xf numFmtId="0" fontId="75" fillId="36" borderId="0" xfId="0" applyFont="1" applyFill="1">
      <alignment vertical="center" wrapText="1"/>
    </xf>
    <xf numFmtId="0" fontId="0" fillId="36" borderId="38" xfId="0" applyFont="1" applyFill="1" applyBorder="1">
      <alignment horizontal="center" vertical="center" wrapText="1"/>
    </xf>
    <xf numFmtId="0" fontId="0" fillId="36" borderId="21" xfId="0" applyFont="1" applyFill="1" applyBorder="1">
      <alignment horizontal="center" vertical="center" wrapText="1"/>
    </xf>
    <xf numFmtId="0" fontId="0" fillId="36" borderId="23" xfId="0" applyFont="1" applyFill="1" applyBorder="1">
      <alignment horizontal="center" vertical="center" wrapText="1"/>
    </xf>
    <xf numFmtId="0" fontId="0" fillId="36" borderId="0" xfId="0" applyFont="1" applyFill="1">
      <alignment horizontal="center" vertical="center" wrapText="1"/>
    </xf>
    <xf numFmtId="0" fontId="0" fillId="36" borderId="25" xfId="0" applyFont="1" applyFill="1" applyBorder="1">
      <alignment horizontal="center" vertical="center" wrapText="1"/>
    </xf>
    <xf numFmtId="0" fontId="23" fillId="36" borderId="13" xfId="0" applyFont="1" applyFill="1" applyBorder="1">
      <alignment horizontal="center" vertical="center" wrapText="1"/>
    </xf>
    <xf numFmtId="0" fontId="0" fillId="36" borderId="28" xfId="0" applyFont="1" applyFill="1" applyBorder="1">
      <alignment horizontal="center" vertical="center" wrapText="1"/>
    </xf>
    <xf numFmtId="0" fontId="0" fillId="36" borderId="29" xfId="0" applyFont="1" applyFill="1" applyBorder="1">
      <alignment horizontal="center" vertical="center" wrapText="1"/>
    </xf>
    <xf numFmtId="0" fontId="0" fillId="36" borderId="31" xfId="0" applyFont="1" applyFill="1" applyBorder="1">
      <alignment horizontal="center" vertical="center" wrapText="1"/>
    </xf>
    <xf numFmtId="49" fontId="23" fillId="0" borderId="13" xfId="0" applyFont="1" applyBorder="1" applyNumberFormat="1">
      <alignment horizontal="left" vertical="center" wrapText="1" indent="1"/>
    </xf>
    <xf numFmtId="0" fontId="23" fillId="0" borderId="13" xfId="0" applyFont="1" applyBorder="1">
      <alignment horizontal="left" vertical="center" wrapText="1" indent="1"/>
    </xf>
    <xf numFmtId="49" fontId="23" fillId="40" borderId="15" xfId="0" applyFont="1" applyFill="1" applyBorder="1" applyNumberFormat="1">
      <alignment horizontal="center" vertical="center" wrapText="1"/>
    </xf>
    <xf numFmtId="49" fontId="79" fillId="0" borderId="25" xfId="0" applyFont="1" applyBorder="1" applyNumberFormat="1">
      <alignment vertical="top"/>
    </xf>
    <xf numFmtId="0" fontId="23" fillId="0" borderId="0" xfId="0" applyFont="1">
      <alignment horizontal="left" vertical="top" wrapText="1"/>
    </xf>
    <xf numFmtId="0" fontId="75" fillId="0" borderId="0" xfId="0" applyFont="1">
      <alignment vertical="center" wrapText="1"/>
    </xf>
    <xf numFmtId="0" fontId="0" fillId="0" borderId="0" xfId="0" applyFont="1">
      <alignment horizontal="left" vertical="center"/>
    </xf>
    <xf numFmtId="0" fontId="0" fillId="36" borderId="13" xfId="0" applyFont="1" applyFill="1" applyBorder="1">
      <alignment horizontal="right" vertical="center" wrapText="1" indent="1"/>
    </xf>
    <xf numFmtId="0" fontId="0" fillId="0" borderId="15" xfId="0" applyFont="1" applyBorder="1">
      <alignment vertical="center"/>
    </xf>
    <xf numFmtId="0" fontId="23" fillId="0" borderId="0" xfId="0" applyFont="1">
      <alignment horizontal="left" vertical="center" wrapText="1"/>
    </xf>
    <xf numFmtId="0" fontId="23" fillId="0" borderId="0" xfId="0" applyFont="1">
      <alignment horizontal="right" vertical="center" wrapText="1"/>
    </xf>
    <xf numFmtId="0" fontId="23" fillId="0" borderId="0" xfId="0" applyFont="1">
      <alignment horizontal="right" vertical="center" wrapText="1"/>
    </xf>
    <xf numFmtId="0" fontId="0" fillId="0" borderId="13" xfId="0" applyFont="1" applyBorder="1">
      <alignment horizontal="center" vertical="center" wrapText="1"/>
    </xf>
    <xf numFmtId="0" fontId="86" fillId="36" borderId="20" xfId="0" applyFont="1" applyFill="1" applyBorder="1">
      <alignment horizontal="center" vertical="center" wrapText="1"/>
    </xf>
    <xf numFmtId="0" fontId="23" fillId="36" borderId="13" xfId="0" applyFont="1" applyFill="1" applyBorder="1">
      <alignment horizontal="left" vertical="center" wrapText="1"/>
    </xf>
    <xf numFmtId="4" fontId="129" fillId="38" borderId="13" xfId="0" applyFont="1" applyFill="1" applyBorder="1" applyNumberFormat="1">
      <alignment horizontal="left" vertical="center" wrapText="1"/>
    </xf>
    <xf numFmtId="0" fontId="23" fillId="0" borderId="0" xfId="0" applyFont="1">
      <alignment horizontal="center" vertical="center" wrapText="1"/>
    </xf>
    <xf numFmtId="0" fontId="55" fillId="0" borderId="0" xfId="0" applyFont="1">
      <alignment horizontal="center" vertical="center" wrapText="1"/>
    </xf>
    <xf numFmtId="0" fontId="56" fillId="0" borderId="0" xfId="0" applyFont="1">
      <alignment horizontal="center" vertical="center" wrapText="1"/>
    </xf>
    <xf numFmtId="0" fontId="23" fillId="42" borderId="13" xfId="0" applyFont="1" applyFill="1" applyBorder="1">
      <alignment horizontal="left" vertical="center" wrapText="1"/>
      <protection locked="0"/>
    </xf>
    <xf numFmtId="0" fontId="55" fillId="0" borderId="0" xfId="0" applyFont="1">
      <alignment horizontal="center" vertical="center" wrapText="1"/>
    </xf>
    <xf numFmtId="0" fontId="23" fillId="42" borderId="15" xfId="0" applyFont="1" applyFill="1" applyBorder="1">
      <alignment horizontal="left" vertical="center" wrapText="1"/>
      <protection locked="0"/>
    </xf>
    <xf numFmtId="0" fontId="23" fillId="42" borderId="16" xfId="0" applyFont="1" applyFill="1" applyBorder="1">
      <alignment horizontal="left" vertical="center" wrapText="1"/>
      <protection locked="0"/>
    </xf>
    <xf numFmtId="0" fontId="23" fillId="42" borderId="14" xfId="0" applyFont="1" applyFill="1" applyBorder="1">
      <alignment horizontal="left" vertical="center" wrapText="1"/>
      <protection locked="0"/>
    </xf>
    <xf numFmtId="0" fontId="23" fillId="42" borderId="13" xfId="0" applyFont="1" applyFill="1" applyBorder="1">
      <alignment horizontal="left" vertical="center" wrapText="1" indent="6"/>
      <protection locked="0"/>
    </xf>
    <xf numFmtId="250" fontId="0" fillId="41" borderId="13" xfId="0" applyFont="1" applyFill="1" applyBorder="1" applyNumberFormat="1">
      <alignment horizontal="center" vertical="center" wrapText="1"/>
      <protection locked="0"/>
    </xf>
    <xf numFmtId="49" fontId="23" fillId="0" borderId="13" xfId="0" applyFont="1" applyBorder="1" applyNumberFormat="1">
      <alignment horizontal="left" vertical="center" wrapText="1"/>
    </xf>
    <xf numFmtId="49" fontId="107" fillId="40" borderId="15" xfId="0" applyFont="1" applyFill="1" applyBorder="1" applyNumberFormat="1">
      <alignment horizontal="left" vertical="center"/>
    </xf>
    <xf numFmtId="49" fontId="116" fillId="40" borderId="16" xfId="0" applyFont="1" applyFill="1" applyBorder="1" applyNumberFormat="1">
      <alignment horizontal="left" vertical="center" indent="3"/>
    </xf>
    <xf numFmtId="49" fontId="79" fillId="40" borderId="16" xfId="0" applyFont="1" applyFill="1" applyBorder="1" applyNumberFormat="1">
      <alignment horizontal="center" vertical="center" wrapText="1"/>
    </xf>
    <xf numFmtId="49" fontId="73" fillId="40" borderId="16" xfId="0" applyFont="1" applyFill="1" applyBorder="1" applyNumberFormat="1">
      <alignment horizontal="center" vertical="center" wrapText="1"/>
    </xf>
    <xf numFmtId="49" fontId="73" fillId="40" borderId="14" xfId="0" applyFont="1" applyFill="1" applyBorder="1" applyNumberFormat="1">
      <alignment horizontal="center" vertical="center" wrapText="1"/>
    </xf>
    <xf numFmtId="49" fontId="55" fillId="0" borderId="0" xfId="0" applyFont="1" applyNumberFormat="1">
      <alignment horizontal="left" vertical="center"/>
    </xf>
    <xf numFmtId="49" fontId="41" fillId="0" borderId="0" xfId="0" applyFont="1" applyNumberFormat="1">
      <alignment vertical="top"/>
    </xf>
    <xf numFmtId="49" fontId="116" fillId="40" borderId="16" xfId="0" applyFont="1" applyFill="1" applyBorder="1" applyNumberFormat="1">
      <alignment horizontal="left" vertical="center" indent="2"/>
    </xf>
    <xf numFmtId="49" fontId="116" fillId="40" borderId="16" xfId="0" applyFont="1" applyFill="1" applyBorder="1" applyNumberFormat="1">
      <alignment horizontal="left" vertical="center" indent="1"/>
    </xf>
    <xf numFmtId="49" fontId="55" fillId="0" borderId="0" xfId="0" applyFont="1" applyNumberFormat="1">
      <alignment horizontal="left" vertical="center"/>
    </xf>
    <xf numFmtId="49" fontId="55" fillId="0" borderId="0" xfId="0" applyFont="1" applyNumberFormat="1">
      <alignment horizontal="left" vertical="top"/>
    </xf>
    <xf numFmtId="49" fontId="73" fillId="40" borderId="15" xfId="0" applyFont="1" applyFill="1" applyBorder="1" applyNumberFormat="1">
      <alignment horizontal="left" vertical="top"/>
    </xf>
    <xf numFmtId="49" fontId="116" fillId="40" borderId="16" xfId="0" applyFont="1" applyFill="1" applyBorder="1" applyNumberFormat="1">
      <alignment horizontal="left" vertical="center"/>
    </xf>
    <xf numFmtId="49" fontId="56" fillId="0" borderId="0" xfId="0" applyFont="1" applyNumberFormat="1">
      <alignment vertical="top"/>
    </xf>
    <xf numFmtId="0" fontId="23" fillId="0" borderId="0" xfId="0" applyFont="1">
      <alignment horizontal="left" vertical="top" wrapText="1"/>
    </xf>
    <xf numFmtId="49" fontId="23" fillId="0" borderId="0" xfId="0" applyFont="1" applyNumberFormat="1">
      <alignment vertical="center" wrapText="1"/>
    </xf>
    <xf numFmtId="49" fontId="23" fillId="0" borderId="0" xfId="0" applyFont="1" applyNumberFormat="1">
      <alignment vertical="center" wrapText="1"/>
    </xf>
    <xf numFmtId="0" fontId="23" fillId="0" borderId="0" xfId="0" applyFont="1">
      <alignment horizontal="center" vertical="center" wrapText="1"/>
    </xf>
    <xf numFmtId="0" fontId="23" fillId="0" borderId="0" xfId="0" applyFont="1">
      <alignment horizontal="center" vertical="center" wrapText="1"/>
    </xf>
    <xf numFmtId="49" fontId="23" fillId="0" borderId="0" xfId="0" applyFont="1" applyNumberFormat="1">
      <alignment horizontal="left" vertical="center"/>
    </xf>
    <xf numFmtId="49" fontId="23" fillId="0" borderId="0" xfId="0" applyFont="1" applyNumberFormat="1">
      <alignment horizontal="left" vertical="center"/>
    </xf>
    <xf numFmtId="49" fontId="23" fillId="0" borderId="0" xfId="0" applyFont="1" applyNumberFormat="1">
      <alignment horizontal="left" vertical="top"/>
    </xf>
    <xf numFmtId="0" fontId="22" fillId="0" borderId="16" xfId="0" applyFont="1" applyBorder="1">
      <alignment horizontal="left" vertical="center" wrapText="1" indent="1"/>
    </xf>
    <xf numFmtId="0" fontId="22" fillId="0" borderId="0" xfId="0" applyFont="1">
      <alignment horizontal="center" vertical="center" wrapText="1"/>
    </xf>
    <xf numFmtId="0" fontId="0" fillId="0" borderId="0" xfId="0" applyFont="1">
      <alignment horizontal="center" vertical="center"/>
    </xf>
    <xf numFmtId="0" fontId="23" fillId="38" borderId="15" xfId="0" applyFont="1" applyFill="1" applyBorder="1">
      <alignment horizontal="left" vertical="center" wrapText="1" indent="1"/>
    </xf>
    <xf numFmtId="0" fontId="23" fillId="38" borderId="16" xfId="0" applyFont="1" applyFill="1" applyBorder="1">
      <alignment horizontal="left" vertical="center" wrapText="1" indent="1"/>
    </xf>
    <xf numFmtId="0" fontId="23" fillId="38" borderId="14" xfId="0" applyFont="1" applyFill="1" applyBorder="1">
      <alignment horizontal="left" vertical="center" wrapText="1" indent="1"/>
    </xf>
    <xf numFmtId="0" fontId="78" fillId="0" borderId="0" xfId="0" applyFont="1">
      <alignment horizontal="left" vertical="center" wrapText="1"/>
    </xf>
    <xf numFmtId="0" fontId="0" fillId="0" borderId="0" xfId="0" applyFont="1">
      <alignment vertical="center"/>
    </xf>
    <xf numFmtId="0" fontId="56" fillId="0" borderId="0" xfId="0" applyFont="1">
      <alignment vertical="center"/>
    </xf>
    <xf numFmtId="0" fontId="0" fillId="0" borderId="0" xfId="0" applyFont="1">
      <alignment horizontal="right" vertical="center" wrapText="1" indent="1"/>
    </xf>
    <xf numFmtId="0" fontId="23" fillId="0" borderId="0" xfId="0" applyFont="1">
      <alignment horizontal="left" vertical="center" wrapText="1" indent="1"/>
    </xf>
    <xf numFmtId="0" fontId="88" fillId="0" borderId="0" xfId="0" applyFont="1">
      <alignment vertical="center" wrapText="1"/>
    </xf>
    <xf numFmtId="0" fontId="88" fillId="0" borderId="0" xfId="0" applyFont="1">
      <alignment horizontal="center" vertical="center" wrapText="1"/>
    </xf>
    <xf numFmtId="0" fontId="23" fillId="36" borderId="13" xfId="0" applyFont="1" applyFill="1" applyBorder="1">
      <alignment horizontal="center" vertical="center" wrapText="1"/>
    </xf>
    <xf numFmtId="0" fontId="0" fillId="36" borderId="13" xfId="0" applyFont="1" applyFill="1" applyBorder="1">
      <alignment horizontal="center" vertical="center" wrapText="1"/>
    </xf>
    <xf numFmtId="49" fontId="49" fillId="40" borderId="13" xfId="0" applyFont="1" applyFill="1" applyBorder="1" applyNumberFormat="1">
      <alignment horizontal="center" vertical="center" textRotation="90" wrapText="1"/>
    </xf>
    <xf numFmtId="0" fontId="23" fillId="0" borderId="13" xfId="0" applyFont="1" applyBorder="1">
      <alignment horizontal="center" vertical="center" wrapText="1"/>
    </xf>
    <xf numFmtId="0" fontId="0" fillId="0" borderId="13" xfId="0" applyFont="1" applyBorder="1">
      <alignment horizontal="center" vertical="center" wrapText="1"/>
    </xf>
    <xf numFmtId="0" fontId="45" fillId="36" borderId="0" xfId="0" applyFont="1" applyFill="1">
      <alignment horizontal="center" vertical="center" wrapText="1"/>
    </xf>
    <xf numFmtId="0" fontId="45" fillId="36" borderId="0" xfId="0" applyFont="1" applyFill="1">
      <alignment horizontal="center" vertical="center" wrapText="1"/>
    </xf>
    <xf numFmtId="49" fontId="56" fillId="0" borderId="0" xfId="0" applyFont="1" applyNumberFormat="1">
      <alignment vertical="center" wrapText="1"/>
    </xf>
    <xf numFmtId="0" fontId="23" fillId="0" borderId="13" xfId="0" applyFont="1" applyBorder="1">
      <alignment vertical="center" wrapText="1"/>
    </xf>
    <xf numFmtId="0" fontId="23" fillId="38" borderId="13" xfId="0" applyFont="1" applyFill="1" applyBorder="1">
      <alignment horizontal="left" vertical="center" wrapText="1"/>
    </xf>
    <xf numFmtId="49" fontId="56" fillId="0" borderId="0" xfId="0" applyFont="1" applyNumberFormat="1">
      <alignment vertical="center"/>
    </xf>
    <xf numFmtId="0" fontId="41" fillId="0" borderId="0" xfId="0" applyFont="1">
      <alignment horizontal="center" vertical="center" wrapText="1"/>
    </xf>
    <xf numFmtId="0" fontId="46" fillId="36" borderId="0" xfId="0" applyFont="1" applyFill="1">
      <alignment horizontal="center" vertical="center" wrapText="1"/>
    </xf>
    <xf numFmtId="0" fontId="41" fillId="0" borderId="0" xfId="0" applyFont="1">
      <alignment vertical="center" wrapText="1"/>
    </xf>
    <xf numFmtId="0" fontId="46" fillId="36" borderId="0" xfId="0" applyFont="1" applyFill="1">
      <alignment vertical="center" wrapText="1"/>
    </xf>
    <xf numFmtId="0" fontId="46" fillId="0" borderId="0" xfId="0" applyFont="1">
      <alignment horizontal="center" vertical="center" wrapText="1"/>
    </xf>
    <xf numFmtId="49" fontId="23" fillId="41" borderId="13" xfId="0" applyFont="1" applyFill="1" applyBorder="1" applyNumberFormat="1">
      <alignment horizontal="left" vertical="center" wrapText="1" indent="4"/>
      <protection locked="0"/>
    </xf>
    <xf numFmtId="49" fontId="23" fillId="0" borderId="13" xfId="0" applyFont="1" applyBorder="1" applyNumberFormat="1">
      <alignment horizontal="center" vertical="center" wrapText="1"/>
    </xf>
    <xf numFmtId="4" fontId="0" fillId="41" borderId="13" xfId="0" applyFont="1" applyFill="1" applyBorder="1" applyNumberFormat="1">
      <alignment horizontal="right" vertical="center" wrapText="1"/>
      <protection locked="0"/>
    </xf>
    <xf numFmtId="247" fontId="0" fillId="41" borderId="13" xfId="0" applyFont="1" applyFill="1" applyBorder="1" applyNumberFormat="1">
      <alignment horizontal="right" vertical="center"/>
      <protection locked="0"/>
    </xf>
    <xf numFmtId="49" fontId="23" fillId="42" borderId="13" xfId="0" applyFont="1" applyFill="1" applyBorder="1" applyNumberFormat="1">
      <alignment horizontal="center" vertical="center" wrapText="1"/>
    </xf>
    <xf numFmtId="49" fontId="0" fillId="36" borderId="13" xfId="0" applyFont="1" applyFill="1" applyBorder="1" applyNumberFormat="1">
      <alignment horizontal="center" vertical="center" wrapText="1"/>
    </xf>
    <xf numFmtId="4" fontId="0" fillId="36" borderId="15" xfId="0" applyFont="1" applyFill="1" applyBorder="1" applyNumberFormat="1">
      <alignment horizontal="right" vertical="center"/>
    </xf>
    <xf numFmtId="0" fontId="23" fillId="0" borderId="13" xfId="0" applyFont="1" applyBorder="1">
      <alignment horizontal="left" vertical="center" wrapText="1"/>
    </xf>
    <xf numFmtId="49" fontId="0" fillId="0" borderId="13" xfId="0" applyFont="1" applyBorder="1" applyNumberFormat="1">
      <alignment vertical="center" wrapText="1"/>
    </xf>
    <xf numFmtId="49" fontId="23" fillId="0" borderId="13" xfId="0" applyFont="1" applyBorder="1" applyNumberFormat="1">
      <alignment vertical="center" wrapText="1"/>
    </xf>
    <xf numFmtId="0" fontId="23" fillId="0" borderId="15" xfId="0" applyFont="1" applyBorder="1">
      <alignment horizontal="left" vertical="center" wrapText="1" indent="6"/>
    </xf>
    <xf numFmtId="49" fontId="76" fillId="40" borderId="15" xfId="0" applyFont="1" applyFill="1" applyBorder="1" applyNumberFormat="1">
      <alignment horizontal="center" vertical="center"/>
    </xf>
    <xf numFmtId="49" fontId="49" fillId="40" borderId="16" xfId="0" applyFont="1" applyFill="1" applyBorder="1" applyNumberFormat="1">
      <alignment horizontal="left" vertical="center" indent="2"/>
    </xf>
    <xf numFmtId="49" fontId="76" fillId="40" borderId="16" xfId="0" applyFont="1" applyFill="1" applyBorder="1" applyNumberFormat="1">
      <alignment horizontal="left" vertical="center"/>
    </xf>
    <xf numFmtId="49" fontId="0" fillId="40" borderId="16" xfId="0" applyFont="1" applyFill="1" applyBorder="1" applyNumberFormat="1">
      <alignment horizontal="center" vertical="center" wrapText="1"/>
    </xf>
    <xf numFmtId="49" fontId="23" fillId="0" borderId="0" xfId="0" applyFont="1" applyNumberFormat="1">
      <alignment vertical="top"/>
    </xf>
    <xf numFmtId="49" fontId="49" fillId="40" borderId="16" xfId="0" applyFont="1" applyFill="1" applyBorder="1" applyNumberFormat="1">
      <alignment horizontal="left" vertical="center" indent="3"/>
    </xf>
    <xf numFmtId="49" fontId="23" fillId="40" borderId="31" xfId="0" applyFont="1" applyFill="1" applyBorder="1" applyNumberFormat="1">
      <alignment horizontal="center" vertical="center" wrapText="1"/>
    </xf>
    <xf numFmtId="49" fontId="23" fillId="0" borderId="0" xfId="0" applyFont="1" applyNumberFormat="1">
      <alignment vertical="center"/>
    </xf>
    <xf numFmtId="49" fontId="41" fillId="0" borderId="0" xfId="0" applyFont="1" applyNumberFormat="1">
      <alignment vertical="top"/>
    </xf>
    <xf numFmtId="0" fontId="23" fillId="0" borderId="0" xfId="0" applyFont="1">
      <alignment vertical="top" wrapText="1"/>
    </xf>
    <xf numFmtId="0" fontId="56" fillId="0" borderId="0" xfId="0" applyFont="1">
      <alignment vertical="top" wrapText="1"/>
    </xf>
    <xf numFmtId="0" fontId="23" fillId="0" borderId="0" xfId="0" applyFont="1">
      <alignment vertical="top" wrapText="1"/>
    </xf>
    <xf numFmtId="49" fontId="0" fillId="0" borderId="0" xfId="0" applyFont="1" applyNumberFormat="1">
      <alignment vertical="center" wrapText="1"/>
    </xf>
    <xf numFmtId="49" fontId="56" fillId="0" borderId="0" xfId="0" applyFont="1" applyNumberFormat="1">
      <alignment vertical="center" wrapText="1"/>
    </xf>
    <xf numFmtId="49" fontId="55" fillId="0" borderId="0" xfId="0" applyFont="1" applyNumberFormat="1">
      <alignment vertical="top"/>
    </xf>
    <xf numFmtId="49" fontId="128" fillId="0" borderId="0" xfId="0" applyFont="1" applyNumberFormat="1">
      <alignment horizontal="center" vertical="center" wrapText="1"/>
    </xf>
    <xf numFmtId="0" fontId="132" fillId="41" borderId="13" xfId="0" applyFont="1" applyFill="1" applyBorder="1">
      <alignment horizontal="left" vertical="center" wrapText="1" indent="1"/>
      <protection locked="0"/>
    </xf>
    <xf numFmtId="0" fontId="48" fillId="0" borderId="0" xfId="0" applyFont="1">
      <alignment vertical="center" wrapText="1"/>
    </xf>
    <xf numFmtId="0" fontId="132" fillId="0" borderId="13" xfId="0" applyFont="1" applyBorder="1">
      <alignment horizontal="left" vertical="center" wrapText="1" indent="1"/>
    </xf>
    <xf numFmtId="0" fontId="132" fillId="41" borderId="13" xfId="0" applyFont="1" applyFill="1" applyBorder="1">
      <alignment horizontal="left" vertical="center" wrapText="1"/>
      <protection locked="0"/>
    </xf>
    <xf numFmtId="0" fontId="132" fillId="0" borderId="13" xfId="0" applyFont="1" applyBorder="1">
      <alignment horizontal="left" vertical="center" wrapText="1" indent="2"/>
    </xf>
    <xf numFmtId="49" fontId="23" fillId="42" borderId="13" xfId="0" applyFont="1" applyFill="1" applyBorder="1" applyNumberFormat="1">
      <alignment horizontal="left" vertical="center" wrapText="1"/>
    </xf>
    <xf numFmtId="0" fontId="0" fillId="0" borderId="13" xfId="0" applyFont="1" applyBorder="1">
      <alignment horizontal="left" vertical="center" wrapText="1"/>
    </xf>
    <xf numFmtId="0" fontId="23" fillId="0" borderId="13" xfId="0" applyFont="1" applyBorder="1">
      <alignment vertical="top" wrapText="1"/>
    </xf>
    <xf numFmtId="250" fontId="0" fillId="41" borderId="13" xfId="0" applyFont="1" applyFill="1" applyBorder="1" applyNumberFormat="1">
      <alignment horizontal="left" vertical="center" wrapText="1"/>
      <protection locked="0"/>
    </xf>
    <xf numFmtId="0" fontId="23" fillId="0" borderId="13" xfId="0" applyFont="1" applyBorder="1">
      <alignment horizontal="left" vertical="top" wrapText="1"/>
    </xf>
    <xf numFmtId="0" fontId="0" fillId="0" borderId="13" xfId="0" applyFont="1" applyBorder="1">
      <alignment horizontal="left" vertical="center" wrapText="1"/>
    </xf>
    <xf numFmtId="0" fontId="23" fillId="0" borderId="13" xfId="0" applyFont="1" applyBorder="1">
      <alignment horizontal="left" vertical="center" wrapText="1"/>
    </xf>
    <xf numFmtId="0" fontId="0" fillId="0" borderId="13" xfId="0" applyFont="1" applyBorder="1">
      <alignment horizontal="left" vertical="center" wrapText="1"/>
    </xf>
    <xf numFmtId="0" fontId="23" fillId="0" borderId="13" xfId="0" applyFont="1" applyBorder="1">
      <alignment vertical="top" wrapText="1"/>
    </xf>
    <xf numFmtId="49" fontId="49" fillId="40" borderId="16" xfId="0" applyFont="1" applyFill="1" applyBorder="1" applyNumberFormat="1">
      <alignment horizontal="left" vertical="center" indent="2"/>
    </xf>
    <xf numFmtId="0" fontId="0" fillId="0" borderId="13" xfId="0" applyFont="1" applyBorder="1">
      <alignment horizontal="left" vertical="center" wrapText="1" indent="1"/>
    </xf>
    <xf numFmtId="49" fontId="49" fillId="40" borderId="16" xfId="0" applyFont="1" applyFill="1" applyBorder="1" applyNumberFormat="1">
      <alignment horizontal="left" vertical="center" indent="3"/>
    </xf>
    <xf numFmtId="0" fontId="23" fillId="0" borderId="13" xfId="0" applyFont="1" applyBorder="1">
      <alignment horizontal="left" vertical="top" wrapText="1"/>
    </xf>
    <xf numFmtId="49" fontId="23" fillId="42" borderId="13" xfId="0" applyFont="1" applyFill="1" applyBorder="1" applyNumberFormat="1">
      <alignment horizontal="left" vertical="center" wrapText="1"/>
    </xf>
    <xf numFmtId="49" fontId="23" fillId="0" borderId="0" xfId="0" applyFont="1" applyNumberFormat="1">
      <alignment vertical="top"/>
    </xf>
    <xf numFmtId="49" fontId="56" fillId="0" borderId="0" xfId="0" applyFont="1" applyNumberFormat="1">
      <alignment vertical="top"/>
    </xf>
    <xf numFmtId="0" fontId="23" fillId="0" borderId="0" xfId="0" applyFont="1">
      <alignment horizontal="right" vertical="top" wrapText="1"/>
    </xf>
    <xf numFmtId="49" fontId="23" fillId="0" borderId="0" xfId="0" applyFont="1" applyNumberFormat="1">
      <alignment vertical="top"/>
    </xf>
    <xf numFmtId="49" fontId="132" fillId="41" borderId="13" xfId="0" applyFont="1" applyFill="1" applyBorder="1" applyNumberFormat="1">
      <alignment horizontal="left" vertical="center" wrapText="1" indent="1"/>
      <protection locked="0"/>
    </xf>
    <xf numFmtId="0" fontId="23" fillId="0" borderId="0" xfId="0" applyFont="1">
      <alignment vertical="center" wrapText="1"/>
    </xf>
    <xf numFmtId="0" fontId="70" fillId="0" borderId="0" xfId="0" applyFont="1">
      <alignment vertical="center" wrapText="1"/>
    </xf>
    <xf numFmtId="0" fontId="23" fillId="36" borderId="13" xfId="0" applyFont="1" applyFill="1" applyBorder="1">
      <alignment horizontal="center" vertical="center" wrapText="1"/>
    </xf>
    <xf numFmtId="0" fontId="0" fillId="0" borderId="13" xfId="0" applyFont="1" applyBorder="1">
      <alignment horizontal="left" vertical="center" wrapText="1"/>
    </xf>
    <xf numFmtId="0" fontId="46" fillId="36" borderId="0" xfId="0" applyFont="1" applyFill="1">
      <alignment horizontal="center" vertical="center" wrapText="1"/>
    </xf>
    <xf numFmtId="49" fontId="49" fillId="40" borderId="16" xfId="0" applyFont="1" applyFill="1" applyBorder="1" applyNumberFormat="1">
      <alignment horizontal="left" vertical="center"/>
    </xf>
    <xf numFmtId="0" fontId="23" fillId="0" borderId="20" xfId="0" applyFont="1" applyBorder="1">
      <alignment vertical="center" wrapText="1"/>
    </xf>
    <xf numFmtId="49" fontId="49" fillId="0" borderId="20" xfId="0" applyFont="1" applyBorder="1" applyNumberFormat="1">
      <alignment horizontal="left" vertical="center"/>
    </xf>
    <xf numFmtId="49" fontId="49" fillId="0" borderId="20" xfId="0" applyFont="1" applyBorder="1" applyNumberFormat="1">
      <alignment horizontal="left" vertical="center" indent="2"/>
    </xf>
    <xf numFmtId="49" fontId="53" fillId="0" borderId="20" xfId="0" applyFont="1" applyBorder="1" applyNumberFormat="1">
      <alignment horizontal="center" vertical="top"/>
    </xf>
    <xf numFmtId="0" fontId="23" fillId="0" borderId="20" xfId="0" applyFont="1" applyBorder="1">
      <alignment horizontal="left" vertical="top" wrapText="1"/>
    </xf>
    <xf numFmtId="0" fontId="23" fillId="0" borderId="0" xfId="0" applyFont="1">
      <alignment horizontal="left" vertical="top" wrapText="1"/>
    </xf>
    <xf numFmtId="49" fontId="23" fillId="0" borderId="0" xfId="0" applyFont="1" applyNumberFormat="1">
      <alignment vertical="center" wrapText="1"/>
    </xf>
    <xf numFmtId="0" fontId="23" fillId="0" borderId="0" xfId="0" applyFont="1">
      <alignment vertical="center" wrapText="1"/>
    </xf>
    <xf numFmtId="0" fontId="56" fillId="0" borderId="0" xfId="0" applyFont="1">
      <alignment vertical="center"/>
    </xf>
    <xf numFmtId="0" fontId="55" fillId="0" borderId="0" xfId="0" applyFont="1">
      <alignment horizontal="center" vertical="center" wrapText="1"/>
    </xf>
    <xf numFmtId="0" fontId="55" fillId="0" borderId="0" xfId="0" applyFont="1">
      <alignment vertical="center" wrapText="1"/>
    </xf>
    <xf numFmtId="0" fontId="23" fillId="0" borderId="0" xfId="0" applyFont="1">
      <alignment vertical="center" wrapText="1"/>
    </xf>
    <xf numFmtId="49" fontId="23" fillId="0" borderId="0" xfId="0" applyFont="1" applyNumberFormat="1">
      <alignment horizontal="center" vertical="center" wrapText="1"/>
    </xf>
    <xf numFmtId="49" fontId="23" fillId="0" borderId="0" xfId="0" applyFont="1" applyNumberFormat="1">
      <alignment horizontal="left" vertical="center" wrapText="1"/>
    </xf>
    <xf numFmtId="4" fontId="23" fillId="0" borderId="0" xfId="0" applyFont="1" applyNumberFormat="1">
      <alignment horizontal="right" vertical="center" wrapText="1"/>
    </xf>
    <xf numFmtId="4" fontId="23" fillId="0" borderId="0" xfId="0" applyFont="1" applyNumberFormat="1">
      <alignment horizontal="right" vertical="center" wrapText="1"/>
    </xf>
    <xf numFmtId="0" fontId="89" fillId="0" borderId="0" xfId="0" applyFont="1">
      <alignment vertical="center" wrapText="1"/>
    </xf>
    <xf numFmtId="0" fontId="23" fillId="0" borderId="0" xfId="0" applyFont="1">
      <alignment vertical="center" wrapText="1"/>
    </xf>
    <xf numFmtId="0" fontId="23" fillId="0" borderId="18" xfId="0" applyFont="1" applyBorder="1">
      <alignment horizontal="left" vertical="center" wrapText="1" indent="1"/>
    </xf>
    <xf numFmtId="0" fontId="23" fillId="0" borderId="24" xfId="0" applyFont="1" applyBorder="1">
      <alignment horizontal="left" vertical="center" wrapText="1" indent="1"/>
    </xf>
    <xf numFmtId="0" fontId="76" fillId="36" borderId="0" xfId="0" applyFont="1" applyFill="1">
      <alignment horizontal="right" vertical="center"/>
    </xf>
    <xf numFmtId="0" fontId="89" fillId="0" borderId="0" xfId="0" applyFont="1">
      <alignment vertical="center" wrapText="1"/>
    </xf>
    <xf numFmtId="0" fontId="23" fillId="0" borderId="15" xfId="0" applyFont="1" applyBorder="1">
      <alignment vertical="center" wrapText="1"/>
    </xf>
    <xf numFmtId="0" fontId="23" fillId="0" borderId="16" xfId="0" applyFont="1" applyBorder="1">
      <alignment horizontal="right" vertical="center" wrapText="1" indent="1"/>
    </xf>
    <xf numFmtId="0" fontId="23" fillId="0" borderId="14" xfId="0" applyFont="1" applyBorder="1">
      <alignment horizontal="right" vertical="center" wrapText="1" indent="1"/>
    </xf>
    <xf numFmtId="0" fontId="23" fillId="38" borderId="15" xfId="0" applyFont="1" applyFill="1" applyBorder="1">
      <alignment horizontal="left" vertical="top" wrapText="1" indent="1"/>
    </xf>
    <xf numFmtId="0" fontId="23" fillId="38" borderId="14" xfId="0" applyFont="1" applyFill="1" applyBorder="1">
      <alignment horizontal="left" vertical="top" wrapText="1" indent="1"/>
    </xf>
    <xf numFmtId="0" fontId="23" fillId="38" borderId="15" xfId="0" applyFont="1" applyFill="1" applyBorder="1">
      <alignment horizontal="left" vertical="top" wrapText="1" indent="1"/>
    </xf>
    <xf numFmtId="0" fontId="23" fillId="38" borderId="14" xfId="0" applyFont="1" applyFill="1" applyBorder="1">
      <alignment horizontal="left" vertical="top" wrapText="1" indent="1"/>
    </xf>
    <xf numFmtId="0" fontId="23" fillId="0" borderId="37" xfId="0" applyFont="1" applyBorder="1">
      <alignment horizontal="center" vertical="center" wrapText="1"/>
    </xf>
    <xf numFmtId="0" fontId="23" fillId="0" borderId="15" xfId="0" applyFont="1" applyBorder="1">
      <alignment horizontal="right" vertical="center" wrapText="1"/>
    </xf>
    <xf numFmtId="0" fontId="23" fillId="0" borderId="16" xfId="0" applyFont="1" applyBorder="1">
      <alignment horizontal="right" vertical="center" wrapText="1"/>
    </xf>
    <xf numFmtId="0" fontId="23" fillId="0" borderId="16" xfId="0" applyFont="1" applyBorder="1">
      <alignment horizontal="right" vertical="center" wrapText="1" indent="1"/>
    </xf>
    <xf numFmtId="0" fontId="23" fillId="0" borderId="16" xfId="0" applyFont="1" applyBorder="1">
      <alignment horizontal="right" vertical="center" wrapText="1" indent="1"/>
    </xf>
    <xf numFmtId="0" fontId="23" fillId="0" borderId="13" xfId="0" applyFont="1" applyBorder="1">
      <alignment horizontal="center" vertical="center" wrapText="1"/>
    </xf>
    <xf numFmtId="0" fontId="23" fillId="0" borderId="13" xfId="0" applyFont="1" applyBorder="1">
      <alignment horizontal="center" vertical="center" wrapText="1"/>
    </xf>
    <xf numFmtId="0" fontId="23" fillId="0" borderId="15" xfId="0" applyFont="1" applyBorder="1">
      <alignment horizontal="center" vertical="center" wrapText="1"/>
    </xf>
    <xf numFmtId="0" fontId="23" fillId="0" borderId="15" xfId="0" applyFont="1" applyBorder="1">
      <alignment horizontal="center" vertical="center" wrapText="1"/>
    </xf>
    <xf numFmtId="0" fontId="23" fillId="0" borderId="13" xfId="0" applyFont="1" applyBorder="1">
      <alignment horizontal="center" vertical="center" wrapText="1"/>
    </xf>
    <xf numFmtId="0" fontId="45" fillId="0" borderId="0" xfId="0" applyFont="1">
      <alignment horizontal="center" vertical="center" wrapText="1"/>
    </xf>
    <xf numFmtId="0" fontId="45" fillId="0" borderId="0" xfId="0" applyFont="1">
      <alignment horizontal="center" vertical="center" wrapText="1"/>
    </xf>
    <xf numFmtId="0" fontId="23" fillId="0" borderId="13" xfId="0" applyFont="1" applyBorder="1">
      <alignment horizontal="center" vertical="center" wrapText="1"/>
    </xf>
    <xf numFmtId="0" fontId="23" fillId="0" borderId="13" xfId="0" applyFont="1" applyBorder="1">
      <alignment horizontal="left" vertical="center" wrapText="1"/>
    </xf>
    <xf numFmtId="3" fontId="23" fillId="0" borderId="15" xfId="0" applyFont="1" applyBorder="1" applyNumberFormat="1">
      <alignment vertical="center" wrapText="1"/>
    </xf>
    <xf numFmtId="3" fontId="23" fillId="0" borderId="15" xfId="0" applyFont="1" applyBorder="1" applyNumberFormat="1">
      <alignment vertical="center" wrapText="1"/>
    </xf>
    <xf numFmtId="0" fontId="23" fillId="0" borderId="13" xfId="0" applyFont="1" applyBorder="1">
      <alignment horizontal="left" vertical="center" wrapText="1"/>
    </xf>
    <xf numFmtId="0" fontId="23" fillId="0" borderId="13" xfId="0" applyFont="1" applyBorder="1">
      <alignment horizontal="center" vertical="center" wrapText="1"/>
    </xf>
    <xf numFmtId="0" fontId="23" fillId="0" borderId="18" xfId="0" applyFont="1" applyBorder="1">
      <alignment horizontal="center" vertical="center" wrapText="1"/>
    </xf>
    <xf numFmtId="0" fontId="23" fillId="0" borderId="18" xfId="0" applyFont="1" applyBorder="1">
      <alignment horizontal="center" vertical="center" wrapText="1"/>
    </xf>
    <xf numFmtId="0" fontId="23" fillId="0" borderId="13" xfId="0" applyFont="1" applyBorder="1">
      <alignment horizontal="center" vertical="center" wrapText="1"/>
    </xf>
    <xf numFmtId="0" fontId="23" fillId="0" borderId="18" xfId="0" applyFont="1" applyBorder="1">
      <alignment horizontal="center" vertical="center" wrapText="1"/>
    </xf>
    <xf numFmtId="49" fontId="23" fillId="0" borderId="13" xfId="0" applyFont="1" applyBorder="1" applyNumberFormat="1">
      <alignment horizontal="center" vertical="center" wrapText="1"/>
    </xf>
    <xf numFmtId="0" fontId="23" fillId="0" borderId="13" xfId="0" applyFont="1" applyBorder="1">
      <alignment horizontal="left" vertical="center" wrapText="1" indent="1"/>
    </xf>
    <xf numFmtId="3" fontId="23" fillId="33" borderId="15" xfId="0" applyFont="1" applyFill="1" applyBorder="1" applyNumberFormat="1">
      <alignment horizontal="right" vertical="center" wrapText="1"/>
      <protection locked="0"/>
    </xf>
    <xf numFmtId="49" fontId="23" fillId="33" borderId="13" xfId="0" applyFont="1" applyFill="1" applyBorder="1" applyNumberFormat="1">
      <alignment horizontal="left" vertical="center" wrapText="1"/>
      <protection locked="0"/>
    </xf>
    <xf numFmtId="49" fontId="29" fillId="33" borderId="13" xfId="0" applyFont="1" applyFill="1" applyBorder="1" applyNumberFormat="1">
      <alignment horizontal="left" vertical="center" wrapText="1"/>
      <protection locked="0"/>
    </xf>
    <xf numFmtId="3" fontId="23" fillId="33" borderId="15" xfId="0" applyFont="1" applyFill="1" applyBorder="1" applyNumberFormat="1">
      <alignment horizontal="right" vertical="center" wrapText="1"/>
      <protection locked="0"/>
    </xf>
    <xf numFmtId="49" fontId="23" fillId="33" borderId="13" xfId="0" applyFont="1" applyFill="1" applyBorder="1" applyNumberFormat="1">
      <alignment horizontal="left" vertical="center" wrapText="1"/>
      <protection locked="0"/>
    </xf>
    <xf numFmtId="0" fontId="23" fillId="0" borderId="14" xfId="0" applyFont="1" applyBorder="1">
      <alignment vertical="center" wrapText="1"/>
    </xf>
    <xf numFmtId="4" fontId="23" fillId="33" borderId="15" xfId="0" applyFont="1" applyFill="1" applyBorder="1" applyNumberFormat="1">
      <alignment horizontal="right" vertical="center" wrapText="1"/>
      <protection locked="0"/>
    </xf>
    <xf numFmtId="4" fontId="23" fillId="33" borderId="15" xfId="0" applyFont="1" applyFill="1" applyBorder="1" applyNumberFormat="1">
      <alignment horizontal="right" vertical="center" wrapText="1"/>
      <protection locked="0"/>
    </xf>
    <xf numFmtId="4" fontId="23" fillId="0" borderId="15" xfId="0" applyFont="1" applyBorder="1" applyNumberFormat="1">
      <alignment horizontal="right" vertical="center" wrapText="1"/>
    </xf>
    <xf numFmtId="4" fontId="23" fillId="0" borderId="28" xfId="0" applyFont="1" applyBorder="1" applyNumberFormat="1">
      <alignment horizontal="right" vertical="center" wrapText="1"/>
    </xf>
    <xf numFmtId="4" fontId="23" fillId="0" borderId="15" xfId="0" applyFont="1" applyBorder="1" applyNumberFormat="1">
      <alignment horizontal="right" vertical="center" wrapText="1"/>
    </xf>
    <xf numFmtId="4" fontId="23" fillId="0" borderId="28" xfId="0" applyFont="1" applyBorder="1" applyNumberFormat="1">
      <alignment horizontal="right" vertical="center" wrapText="1"/>
    </xf>
    <xf numFmtId="0" fontId="29" fillId="0" borderId="0" xfId="0" applyFont="1">
      <alignment vertical="center" wrapText="1"/>
    </xf>
    <xf numFmtId="0" fontId="45" fillId="0" borderId="0" xfId="0" applyFont="1">
      <alignment horizontal="center" vertical="center" wrapText="1"/>
    </xf>
    <xf numFmtId="0" fontId="89" fillId="0" borderId="0" xfId="0" applyFont="1">
      <alignment vertical="center" wrapText="1"/>
    </xf>
    <xf numFmtId="49" fontId="23" fillId="41" borderId="13" xfId="0" applyFont="1" applyFill="1" applyBorder="1" applyNumberFormat="1">
      <alignment horizontal="left" vertical="center" wrapText="1"/>
      <protection locked="0"/>
    </xf>
    <xf numFmtId="0" fontId="23" fillId="0" borderId="13" xfId="0" applyFont="1" applyBorder="1">
      <alignment horizontal="center" vertical="center" wrapText="1"/>
    </xf>
    <xf numFmtId="0" fontId="23" fillId="0" borderId="20" xfId="0" applyFont="1" applyBorder="1">
      <alignment horizontal="left" vertical="center" wrapText="1" indent="1"/>
    </xf>
    <xf numFmtId="0" fontId="23" fillId="0" borderId="20" xfId="0" applyFont="1" applyBorder="1">
      <alignment horizontal="left" vertical="center" wrapText="1" indent="1"/>
    </xf>
    <xf numFmtId="0" fontId="23" fillId="0" borderId="29" xfId="0" applyFont="1" applyBorder="1">
      <alignment horizontal="left" vertical="center" wrapText="1" indent="1"/>
    </xf>
    <xf numFmtId="0" fontId="23" fillId="0" borderId="29" xfId="0" applyFont="1" applyBorder="1">
      <alignment horizontal="left" vertical="center" wrapText="1" indent="1"/>
    </xf>
    <xf numFmtId="0" fontId="23" fillId="0" borderId="0" xfId="0" applyFont="1">
      <alignment horizontal="left" vertical="center" wrapText="1"/>
    </xf>
    <xf numFmtId="0" fontId="23" fillId="0" borderId="0" xfId="0" applyFont="1">
      <alignment horizontal="left" vertical="center" wrapText="1"/>
    </xf>
    <xf numFmtId="0" fontId="23" fillId="38" borderId="15" xfId="0" applyFont="1" applyFill="1" applyBorder="1">
      <alignment horizontal="left" vertical="top" wrapText="1" indent="1"/>
    </xf>
    <xf numFmtId="0" fontId="23" fillId="0" borderId="13" xfId="0" applyFont="1" applyBorder="1">
      <alignment horizontal="center" vertical="center" wrapText="1"/>
    </xf>
    <xf numFmtId="0" fontId="23" fillId="0" borderId="13" xfId="0" applyFont="1" applyBorder="1">
      <alignment horizontal="center" vertical="center" wrapText="1"/>
    </xf>
    <xf numFmtId="0" fontId="23" fillId="0" borderId="15" xfId="0" applyFont="1" applyBorder="1">
      <alignment horizontal="center" vertical="center" wrapText="1"/>
    </xf>
    <xf numFmtId="3" fontId="23" fillId="41" borderId="15" xfId="0" applyFont="1" applyFill="1" applyBorder="1" applyNumberFormat="1">
      <alignment vertical="center" wrapText="1"/>
      <protection locked="0"/>
    </xf>
    <xf numFmtId="3" fontId="23" fillId="41" borderId="15" xfId="0" applyFont="1" applyFill="1" applyBorder="1" applyNumberFormat="1">
      <alignment vertical="center" wrapText="1"/>
      <protection locked="0"/>
    </xf>
    <xf numFmtId="49" fontId="23" fillId="33" borderId="15" xfId="0" applyFont="1" applyFill="1" applyBorder="1" applyNumberFormat="1">
      <alignment horizontal="left" vertical="center" wrapText="1"/>
      <protection locked="0"/>
    </xf>
    <xf numFmtId="49" fontId="23" fillId="33" borderId="15" xfId="0" applyFont="1" applyFill="1" applyBorder="1" applyNumberFormat="1">
      <alignment horizontal="left" vertical="center" wrapText="1"/>
      <protection locked="0"/>
    </xf>
    <xf numFmtId="0" fontId="23" fillId="0" borderId="13" xfId="0" applyFont="1" applyBorder="1">
      <alignment horizontal="left" vertical="top" wrapText="1"/>
    </xf>
    <xf numFmtId="4" fontId="23" fillId="38" borderId="15" xfId="0" applyFont="1" applyFill="1" applyBorder="1" applyNumberFormat="1">
      <alignment horizontal="right" vertical="center" wrapText="1"/>
    </xf>
    <xf numFmtId="4" fontId="23" fillId="38" borderId="15" xfId="0" applyFont="1" applyFill="1" applyBorder="1" applyNumberFormat="1">
      <alignment horizontal="right" vertical="center" wrapText="1"/>
    </xf>
    <xf numFmtId="0" fontId="55" fillId="0" borderId="13" xfId="0" applyFont="1" applyBorder="1">
      <alignment vertical="top" wrapText="1"/>
    </xf>
    <xf numFmtId="49" fontId="23" fillId="41" borderId="13" xfId="0" applyFont="1" applyFill="1" applyBorder="1" applyNumberFormat="1">
      <alignment horizontal="left" vertical="center" wrapText="1" indent="1"/>
      <protection locked="0"/>
    </xf>
    <xf numFmtId="0" fontId="23" fillId="0" borderId="18" xfId="0" applyFont="1" applyBorder="1">
      <alignment horizontal="left" vertical="top"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0" borderId="24" xfId="0" applyFont="1" applyBorder="1">
      <alignment horizontal="left" vertical="top" wrapText="1"/>
    </xf>
    <xf numFmtId="49" fontId="23" fillId="0" borderId="0" xfId="0" applyFont="1" applyNumberFormat="1">
      <alignment vertical="center" wrapText="1"/>
    </xf>
    <xf numFmtId="0" fontId="46" fillId="0" borderId="25" xfId="0" applyFont="1" applyBorder="1">
      <alignment horizontal="center" vertical="center" wrapText="1"/>
    </xf>
    <xf numFmtId="0" fontId="0" fillId="0" borderId="15" xfId="0" applyFont="1" applyBorder="1">
      <alignment horizontal="center" vertical="center"/>
    </xf>
    <xf numFmtId="49" fontId="0" fillId="0" borderId="13" xfId="0" applyFont="1" applyBorder="1" applyNumberFormat="1">
      <alignment horizontal="left" vertical="center" wrapText="1" indent="1"/>
    </xf>
    <xf numFmtId="0" fontId="23" fillId="0" borderId="14" xfId="0" applyFont="1" applyBorder="1">
      <alignment horizontal="center" vertical="center" wrapText="1"/>
    </xf>
    <xf numFmtId="49" fontId="29" fillId="33" borderId="13" xfId="0" applyFont="1" applyFill="1" applyBorder="1" applyNumberFormat="1">
      <alignment horizontal="left" vertical="center" wrapText="1"/>
      <protection locked="0"/>
    </xf>
    <xf numFmtId="49" fontId="29" fillId="33" borderId="13" xfId="0" applyFont="1" applyFill="1" applyBorder="1" applyNumberFormat="1">
      <alignment horizontal="left" vertical="center" wrapText="1"/>
      <protection locked="0"/>
    </xf>
    <xf numFmtId="250" fontId="0" fillId="33" borderId="13" xfId="0" applyFont="1" applyFill="1" applyBorder="1" applyNumberFormat="1">
      <alignment horizontal="left" vertical="center" wrapText="1" indent="1"/>
      <protection locked="0"/>
    </xf>
    <xf numFmtId="250" fontId="0" fillId="33" borderId="13" xfId="0" applyFont="1" applyFill="1" applyBorder="1" applyNumberFormat="1">
      <alignment horizontal="left" vertical="center" wrapText="1" indent="1"/>
      <protection locked="0"/>
    </xf>
    <xf numFmtId="49" fontId="23" fillId="41" borderId="15" xfId="0" applyFont="1" applyFill="1" applyBorder="1" applyNumberFormat="1">
      <alignment horizontal="left" vertical="center" wrapText="1"/>
      <protection locked="0"/>
    </xf>
    <xf numFmtId="49" fontId="23" fillId="41" borderId="15" xfId="0" applyFont="1" applyFill="1" applyBorder="1" applyNumberFormat="1">
      <alignment horizontal="left" vertical="center" wrapText="1"/>
      <protection locked="0"/>
    </xf>
    <xf numFmtId="250" fontId="0" fillId="41" borderId="13" xfId="0" applyFont="1" applyFill="1" applyBorder="1" applyNumberFormat="1">
      <alignment horizontal="left" vertical="center" wrapText="1" indent="1"/>
      <protection locked="0"/>
    </xf>
    <xf numFmtId="0" fontId="23" fillId="0" borderId="25" xfId="0" applyFont="1" applyBorder="1">
      <alignment horizontal="center" vertical="center" wrapText="1"/>
    </xf>
    <xf numFmtId="0" fontId="23" fillId="0" borderId="14" xfId="0" applyFont="1" applyBorder="1">
      <alignment horizontal="right" vertical="center" wrapText="1" indent="1"/>
    </xf>
    <xf numFmtId="0" fontId="23" fillId="0" borderId="15" xfId="0" applyFont="1" applyBorder="1">
      <alignment horizontal="center" vertical="center" wrapText="1"/>
    </xf>
    <xf numFmtId="49" fontId="0" fillId="0" borderId="15" xfId="0" applyFont="1" applyBorder="1" applyNumberFormat="1">
      <alignment horizontal="center" vertical="center"/>
    </xf>
    <xf numFmtId="49" fontId="0" fillId="0" borderId="13" xfId="0" applyFont="1" applyBorder="1" applyNumberFormat="1">
      <alignment vertical="center" wrapText="1"/>
    </xf>
    <xf numFmtId="0" fontId="23" fillId="0" borderId="14" xfId="0" applyFont="1" applyBorder="1">
      <alignment horizontal="center" vertical="center" wrapText="1"/>
    </xf>
    <xf numFmtId="0" fontId="23" fillId="0" borderId="14" xfId="0" applyFont="1" applyBorder="1">
      <alignment horizontal="center"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23" fillId="40" borderId="16" xfId="0" applyFont="1" applyFill="1" applyBorder="1">
      <alignment vertical="center" wrapText="1"/>
    </xf>
    <xf numFmtId="0" fontId="55" fillId="40" borderId="14" xfId="0" applyFont="1" applyFill="1" applyBorder="1">
      <alignment vertical="center" wrapText="1"/>
    </xf>
    <xf numFmtId="0" fontId="23" fillId="0" borderId="0" xfId="0" applyFont="1">
      <alignment horizontal="left" vertical="center" wrapText="1"/>
    </xf>
    <xf numFmtId="0" fontId="23" fillId="0" borderId="14" xfId="0" applyFont="1" applyBorder="1">
      <alignment horizontal="center"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16" xfId="0" applyFont="1" applyFill="1" applyBorder="1">
      <alignment vertical="center" wrapText="1"/>
    </xf>
    <xf numFmtId="0" fontId="23" fillId="40" borderId="20" xfId="0" applyFont="1" applyFill="1" applyBorder="1">
      <alignment vertical="center" wrapText="1"/>
    </xf>
    <xf numFmtId="0" fontId="23" fillId="40" borderId="16" xfId="0" applyFont="1" applyFill="1" applyBorder="1">
      <alignment vertical="center" wrapText="1"/>
    </xf>
    <xf numFmtId="0" fontId="23" fillId="40" borderId="20" xfId="0" applyFont="1" applyFill="1" applyBorder="1">
      <alignment vertical="center" wrapText="1"/>
    </xf>
    <xf numFmtId="0" fontId="23" fillId="40" borderId="16" xfId="0" applyFont="1" applyFill="1" applyBorder="1">
      <alignment vertical="center" wrapText="1"/>
    </xf>
    <xf numFmtId="0" fontId="23" fillId="40" borderId="20" xfId="0" applyFont="1" applyFill="1" applyBorder="1">
      <alignment vertical="center" wrapText="1"/>
    </xf>
    <xf numFmtId="0" fontId="23" fillId="40" borderId="16" xfId="0" applyFont="1" applyFill="1" applyBorder="1">
      <alignment vertical="center" wrapText="1"/>
    </xf>
    <xf numFmtId="0" fontId="23" fillId="40" borderId="20" xfId="0" applyFont="1" applyFill="1" applyBorder="1">
      <alignment vertical="center" wrapText="1"/>
    </xf>
    <xf numFmtId="0" fontId="23" fillId="40" borderId="16" xfId="0" applyFont="1" applyFill="1" applyBorder="1">
      <alignment vertical="center" wrapText="1"/>
    </xf>
    <xf numFmtId="0" fontId="23" fillId="40" borderId="20" xfId="0" applyFont="1" applyFill="1" applyBorder="1">
      <alignment vertical="center" wrapText="1"/>
    </xf>
    <xf numFmtId="0" fontId="23" fillId="40" borderId="16" xfId="0" applyFont="1" applyFill="1" applyBorder="1">
      <alignment vertical="center" wrapText="1"/>
    </xf>
    <xf numFmtId="0" fontId="23" fillId="40" borderId="20" xfId="0" applyFont="1" applyFill="1" applyBorder="1">
      <alignment vertical="center" wrapText="1"/>
    </xf>
    <xf numFmtId="0" fontId="23" fillId="40" borderId="16" xfId="0" applyFont="1" applyFill="1" applyBorder="1">
      <alignment vertical="center" wrapText="1"/>
    </xf>
    <xf numFmtId="0" fontId="23" fillId="40" borderId="20" xfId="0" applyFont="1" applyFill="1" applyBorder="1">
      <alignment vertical="center" wrapText="1"/>
    </xf>
    <xf numFmtId="0" fontId="23" fillId="40" borderId="16" xfId="0" applyFont="1" applyFill="1" applyBorder="1">
      <alignment vertical="center" wrapText="1"/>
    </xf>
    <xf numFmtId="0" fontId="23" fillId="40" borderId="20" xfId="0" applyFont="1" applyFill="1" applyBorder="1">
      <alignment vertical="center" wrapText="1"/>
    </xf>
    <xf numFmtId="0" fontId="23" fillId="40" borderId="16" xfId="0" applyFont="1" applyFill="1" applyBorder="1">
      <alignment vertical="center" wrapText="1"/>
    </xf>
    <xf numFmtId="0" fontId="23" fillId="40" borderId="20" xfId="0" applyFont="1" applyFill="1" applyBorder="1">
      <alignment vertical="center" wrapText="1"/>
    </xf>
    <xf numFmtId="0" fontId="23" fillId="40" borderId="16" xfId="0" applyFont="1" applyFill="1" applyBorder="1">
      <alignment vertical="center" wrapText="1"/>
    </xf>
    <xf numFmtId="0" fontId="23" fillId="40" borderId="20" xfId="0" applyFont="1" applyFill="1" applyBorder="1">
      <alignment vertical="center" wrapText="1"/>
    </xf>
    <xf numFmtId="0" fontId="23" fillId="40" borderId="16" xfId="0" applyFont="1" applyFill="1" applyBorder="1">
      <alignment vertical="center" wrapText="1"/>
    </xf>
    <xf numFmtId="0" fontId="23" fillId="40" borderId="20" xfId="0" applyFont="1" applyFill="1" applyBorder="1">
      <alignment vertical="center" wrapText="1"/>
    </xf>
    <xf numFmtId="0" fontId="23" fillId="40" borderId="16" xfId="0" applyFont="1" applyFill="1" applyBorder="1">
      <alignment vertical="center" wrapText="1"/>
    </xf>
    <xf numFmtId="0" fontId="23" fillId="40" borderId="20" xfId="0" applyFont="1" applyFill="1" applyBorder="1">
      <alignment vertical="center" wrapText="1"/>
    </xf>
    <xf numFmtId="0" fontId="23" fillId="40" borderId="16" xfId="0" applyFont="1" applyFill="1" applyBorder="1">
      <alignment vertical="center" wrapText="1"/>
    </xf>
    <xf numFmtId="0" fontId="23" fillId="40" borderId="20" xfId="0" applyFont="1" applyFill="1" applyBorder="1">
      <alignment vertical="center" wrapText="1"/>
    </xf>
    <xf numFmtId="0" fontId="23" fillId="40" borderId="16" xfId="0" applyFont="1" applyFill="1" applyBorder="1">
      <alignment vertical="center" wrapText="1"/>
    </xf>
    <xf numFmtId="0" fontId="23" fillId="40" borderId="20" xfId="0" applyFont="1" applyFill="1" applyBorder="1">
      <alignment vertical="center" wrapText="1"/>
    </xf>
    <xf numFmtId="0" fontId="23" fillId="40" borderId="16" xfId="0" applyFont="1" applyFill="1" applyBorder="1">
      <alignment vertical="center" wrapText="1"/>
    </xf>
    <xf numFmtId="0" fontId="23" fillId="40" borderId="20" xfId="0" applyFont="1" applyFill="1" applyBorder="1">
      <alignment vertical="center" wrapText="1"/>
    </xf>
    <xf numFmtId="0" fontId="23" fillId="40" borderId="16" xfId="0" applyFont="1" applyFill="1" applyBorder="1">
      <alignment vertical="center" wrapText="1"/>
    </xf>
    <xf numFmtId="0" fontId="23" fillId="40" borderId="20" xfId="0" applyFont="1" applyFill="1" applyBorder="1">
      <alignment vertical="center" wrapText="1"/>
    </xf>
    <xf numFmtId="0" fontId="23" fillId="40" borderId="16" xfId="0" applyFont="1" applyFill="1" applyBorder="1">
      <alignment vertical="center" wrapText="1"/>
    </xf>
    <xf numFmtId="0" fontId="23" fillId="40" borderId="20" xfId="0" applyFont="1" applyFill="1" applyBorder="1">
      <alignment vertical="center" wrapText="1"/>
    </xf>
    <xf numFmtId="0" fontId="23" fillId="40" borderId="16" xfId="0" applyFont="1" applyFill="1" applyBorder="1">
      <alignment vertical="center" wrapText="1"/>
    </xf>
    <xf numFmtId="0" fontId="23" fillId="40" borderId="20" xfId="0" applyFont="1" applyFill="1" applyBorder="1">
      <alignment vertical="center" wrapText="1"/>
    </xf>
    <xf numFmtId="0" fontId="23" fillId="40" borderId="16" xfId="0" applyFont="1" applyFill="1" applyBorder="1">
      <alignment vertical="center" wrapText="1"/>
    </xf>
    <xf numFmtId="0" fontId="23" fillId="40" borderId="20" xfId="0" applyFont="1" applyFill="1" applyBorder="1">
      <alignment vertical="center" wrapText="1"/>
    </xf>
    <xf numFmtId="0" fontId="23" fillId="40" borderId="16" xfId="0" applyFont="1" applyFill="1" applyBorder="1">
      <alignment vertical="center" wrapText="1"/>
    </xf>
    <xf numFmtId="0" fontId="23" fillId="40" borderId="20" xfId="0" applyFont="1" applyFill="1" applyBorder="1">
      <alignment vertical="center" wrapText="1"/>
    </xf>
    <xf numFmtId="0" fontId="23" fillId="40" borderId="16" xfId="0" applyFont="1" applyFill="1" applyBorder="1">
      <alignment vertical="center" wrapText="1"/>
    </xf>
    <xf numFmtId="0" fontId="23" fillId="40" borderId="20" xfId="0" applyFont="1" applyFill="1" applyBorder="1">
      <alignment vertical="center" wrapText="1"/>
    </xf>
    <xf numFmtId="0" fontId="23" fillId="40" borderId="16" xfId="0" applyFont="1" applyFill="1" applyBorder="1">
      <alignment vertical="center" wrapText="1"/>
    </xf>
    <xf numFmtId="0" fontId="23" fillId="40" borderId="20" xfId="0" applyFont="1" applyFill="1" applyBorder="1">
      <alignment vertical="center" wrapText="1"/>
    </xf>
    <xf numFmtId="0" fontId="23" fillId="40" borderId="16" xfId="0" applyFont="1" applyFill="1" applyBorder="1">
      <alignment vertical="center" wrapText="1"/>
    </xf>
    <xf numFmtId="0" fontId="23" fillId="40" borderId="20" xfId="0" applyFont="1" applyFill="1" applyBorder="1">
      <alignment vertical="center" wrapText="1"/>
    </xf>
    <xf numFmtId="0" fontId="23" fillId="40" borderId="16" xfId="0" applyFont="1" applyFill="1" applyBorder="1">
      <alignment vertical="center" wrapText="1"/>
    </xf>
    <xf numFmtId="0" fontId="23" fillId="40" borderId="20" xfId="0" applyFont="1" applyFill="1" applyBorder="1">
      <alignment vertical="center" wrapText="1"/>
    </xf>
    <xf numFmtId="0" fontId="23" fillId="40" borderId="16" xfId="0" applyFont="1" applyFill="1" applyBorder="1">
      <alignment vertical="center" wrapText="1"/>
    </xf>
    <xf numFmtId="0" fontId="23" fillId="40" borderId="20" xfId="0" applyFont="1" applyFill="1" applyBorder="1">
      <alignment vertical="center" wrapText="1"/>
    </xf>
    <xf numFmtId="0" fontId="23" fillId="40" borderId="16" xfId="0" applyFont="1" applyFill="1" applyBorder="1">
      <alignment vertical="center" wrapText="1"/>
    </xf>
    <xf numFmtId="0" fontId="23" fillId="40" borderId="20" xfId="0" applyFont="1" applyFill="1" applyBorder="1">
      <alignment vertical="center" wrapText="1"/>
    </xf>
    <xf numFmtId="0" fontId="23" fillId="40" borderId="16" xfId="0" applyFont="1" applyFill="1" applyBorder="1">
      <alignment vertical="center" wrapText="1"/>
    </xf>
    <xf numFmtId="0" fontId="23" fillId="0" borderId="16" xfId="0" applyFont="1" applyBorder="1">
      <alignment horizontal="center" vertical="center" wrapText="1"/>
    </xf>
    <xf numFmtId="49" fontId="23" fillId="42" borderId="13" xfId="0" applyFont="1" applyFill="1" applyBorder="1" applyNumberFormat="1">
      <alignment horizontal="center" vertical="center" wrapText="1"/>
    </xf>
    <xf numFmtId="49" fontId="23" fillId="42" borderId="13" xfId="0" applyFont="1" applyFill="1" applyBorder="1" applyNumberFormat="1">
      <alignment horizontal="center" vertical="center" wrapText="1"/>
    </xf>
    <xf numFmtId="49" fontId="23" fillId="42" borderId="13" xfId="0" applyFont="1" applyFill="1" applyBorder="1" applyNumberFormat="1">
      <alignment horizontal="center"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40" borderId="20" xfId="0" applyFont="1" applyFill="1" applyBorder="1">
      <alignment vertical="center" wrapText="1"/>
    </xf>
    <xf numFmtId="0" fontId="23" fillId="0" borderId="13" xfId="0" applyFont="1" applyBorder="1">
      <alignment horizontal="center" vertical="center" wrapText="1"/>
    </xf>
    <xf numFmtId="0" fontId="23" fillId="40" borderId="29" xfId="0" applyFont="1" applyFill="1" applyBorder="1">
      <alignment vertical="center" wrapText="1"/>
    </xf>
    <xf numFmtId="0" fontId="23" fillId="40" borderId="16" xfId="0" applyFont="1" applyFill="1" applyBorder="1">
      <alignment vertical="center" wrapText="1"/>
    </xf>
    <xf numFmtId="0" fontId="23" fillId="40" borderId="29" xfId="0" applyFont="1" applyFill="1" applyBorder="1">
      <alignment vertical="center" wrapText="1"/>
    </xf>
    <xf numFmtId="0" fontId="23" fillId="40" borderId="16" xfId="0" applyFont="1" applyFill="1" applyBorder="1">
      <alignment vertical="center" wrapText="1"/>
    </xf>
    <xf numFmtId="0" fontId="23" fillId="40" borderId="29" xfId="0" applyFont="1" applyFill="1" applyBorder="1">
      <alignment vertical="center" wrapText="1"/>
    </xf>
    <xf numFmtId="0" fontId="23" fillId="40" borderId="16" xfId="0" applyFont="1" applyFill="1" applyBorder="1">
      <alignment vertical="center" wrapText="1"/>
    </xf>
    <xf numFmtId="0" fontId="23" fillId="40" borderId="29" xfId="0" applyFont="1" applyFill="1" applyBorder="1">
      <alignment vertical="center" wrapText="1"/>
    </xf>
    <xf numFmtId="0" fontId="23" fillId="40" borderId="16" xfId="0" applyFont="1" applyFill="1" applyBorder="1">
      <alignment vertical="center" wrapText="1"/>
    </xf>
    <xf numFmtId="0" fontId="23" fillId="40" borderId="29" xfId="0" applyFont="1" applyFill="1" applyBorder="1">
      <alignment vertical="center" wrapText="1"/>
    </xf>
    <xf numFmtId="0" fontId="23" fillId="40" borderId="16" xfId="0" applyFont="1" applyFill="1" applyBorder="1">
      <alignment vertical="center" wrapText="1"/>
    </xf>
    <xf numFmtId="0" fontId="23" fillId="40" borderId="29" xfId="0" applyFont="1" applyFill="1" applyBorder="1">
      <alignment vertical="center" wrapText="1"/>
    </xf>
    <xf numFmtId="0" fontId="23" fillId="40" borderId="16" xfId="0" applyFont="1" applyFill="1" applyBorder="1">
      <alignment vertical="center" wrapText="1"/>
    </xf>
    <xf numFmtId="0" fontId="23" fillId="40" borderId="29" xfId="0" applyFont="1" applyFill="1" applyBorder="1">
      <alignment vertical="center" wrapText="1"/>
    </xf>
    <xf numFmtId="0" fontId="23" fillId="40" borderId="16" xfId="0" applyFont="1" applyFill="1" applyBorder="1">
      <alignment vertical="center" wrapText="1"/>
    </xf>
    <xf numFmtId="0" fontId="23" fillId="40" borderId="29" xfId="0" applyFont="1" applyFill="1" applyBorder="1">
      <alignment vertical="center" wrapText="1"/>
    </xf>
    <xf numFmtId="0" fontId="23" fillId="40" borderId="16" xfId="0" applyFont="1" applyFill="1" applyBorder="1">
      <alignment vertical="center" wrapText="1"/>
    </xf>
    <xf numFmtId="0" fontId="23" fillId="40" borderId="29" xfId="0" applyFont="1" applyFill="1" applyBorder="1">
      <alignment vertical="center" wrapText="1"/>
    </xf>
    <xf numFmtId="0" fontId="23" fillId="40" borderId="16" xfId="0" applyFont="1" applyFill="1" applyBorder="1">
      <alignment vertical="center" wrapText="1"/>
    </xf>
    <xf numFmtId="0" fontId="23" fillId="40" borderId="29" xfId="0" applyFont="1" applyFill="1" applyBorder="1">
      <alignment vertical="center" wrapText="1"/>
    </xf>
    <xf numFmtId="0" fontId="23" fillId="40" borderId="16" xfId="0" applyFont="1" applyFill="1" applyBorder="1">
      <alignment vertical="center" wrapText="1"/>
    </xf>
    <xf numFmtId="0" fontId="23" fillId="40" borderId="29" xfId="0" applyFont="1" applyFill="1" applyBorder="1">
      <alignment vertical="center" wrapText="1"/>
    </xf>
    <xf numFmtId="0" fontId="23" fillId="40" borderId="16" xfId="0" applyFont="1" applyFill="1" applyBorder="1">
      <alignment vertical="center" wrapText="1"/>
    </xf>
    <xf numFmtId="0" fontId="23" fillId="40" borderId="29" xfId="0" applyFont="1" applyFill="1" applyBorder="1">
      <alignment vertical="center" wrapText="1"/>
    </xf>
    <xf numFmtId="0" fontId="23" fillId="40" borderId="16" xfId="0" applyFont="1" applyFill="1" applyBorder="1">
      <alignment vertical="center" wrapText="1"/>
    </xf>
    <xf numFmtId="0" fontId="23" fillId="40" borderId="29" xfId="0" applyFont="1" applyFill="1" applyBorder="1">
      <alignment vertical="center" wrapText="1"/>
    </xf>
    <xf numFmtId="0" fontId="23" fillId="40" borderId="16" xfId="0" applyFont="1" applyFill="1" applyBorder="1">
      <alignment vertical="center" wrapText="1"/>
    </xf>
    <xf numFmtId="0" fontId="23" fillId="40" borderId="29" xfId="0" applyFont="1" applyFill="1" applyBorder="1">
      <alignment vertical="center" wrapText="1"/>
    </xf>
    <xf numFmtId="0" fontId="23" fillId="40" borderId="16" xfId="0" applyFont="1" applyFill="1" applyBorder="1">
      <alignment vertical="center" wrapText="1"/>
    </xf>
    <xf numFmtId="0" fontId="23" fillId="40" borderId="29" xfId="0" applyFont="1" applyFill="1" applyBorder="1">
      <alignment vertical="center" wrapText="1"/>
    </xf>
    <xf numFmtId="0" fontId="23" fillId="40" borderId="16" xfId="0" applyFont="1" applyFill="1" applyBorder="1">
      <alignment vertical="center" wrapText="1"/>
    </xf>
    <xf numFmtId="0" fontId="23" fillId="40" borderId="29" xfId="0" applyFont="1" applyFill="1" applyBorder="1">
      <alignment vertical="center" wrapText="1"/>
    </xf>
    <xf numFmtId="0" fontId="23" fillId="40" borderId="16" xfId="0" applyFont="1" applyFill="1" applyBorder="1">
      <alignment vertical="center" wrapText="1"/>
    </xf>
    <xf numFmtId="0" fontId="23" fillId="40" borderId="29" xfId="0" applyFont="1" applyFill="1" applyBorder="1">
      <alignment vertical="center" wrapText="1"/>
    </xf>
    <xf numFmtId="0" fontId="23" fillId="40" borderId="16" xfId="0" applyFont="1" applyFill="1" applyBorder="1">
      <alignment vertical="center" wrapText="1"/>
    </xf>
    <xf numFmtId="0" fontId="23" fillId="40" borderId="29" xfId="0" applyFont="1" applyFill="1" applyBorder="1">
      <alignment vertical="center" wrapText="1"/>
    </xf>
    <xf numFmtId="0" fontId="23" fillId="40" borderId="16" xfId="0" applyFont="1" applyFill="1" applyBorder="1">
      <alignment vertical="center" wrapText="1"/>
    </xf>
    <xf numFmtId="0" fontId="23" fillId="40" borderId="29" xfId="0" applyFont="1" applyFill="1" applyBorder="1">
      <alignment vertical="center" wrapText="1"/>
    </xf>
    <xf numFmtId="0" fontId="23" fillId="40" borderId="16" xfId="0" applyFont="1" applyFill="1" applyBorder="1">
      <alignment vertical="center" wrapText="1"/>
    </xf>
    <xf numFmtId="0" fontId="23" fillId="40" borderId="29" xfId="0" applyFont="1" applyFill="1" applyBorder="1">
      <alignment vertical="center" wrapText="1"/>
    </xf>
    <xf numFmtId="0" fontId="23" fillId="40" borderId="16" xfId="0" applyFont="1" applyFill="1" applyBorder="1">
      <alignment vertical="center" wrapText="1"/>
    </xf>
    <xf numFmtId="0" fontId="23" fillId="40" borderId="29" xfId="0" applyFont="1" applyFill="1" applyBorder="1">
      <alignment vertical="center" wrapText="1"/>
    </xf>
    <xf numFmtId="0" fontId="23" fillId="40" borderId="16" xfId="0" applyFont="1" applyFill="1" applyBorder="1">
      <alignment vertical="center" wrapText="1"/>
    </xf>
    <xf numFmtId="0" fontId="23" fillId="40" borderId="29" xfId="0" applyFont="1" applyFill="1" applyBorder="1">
      <alignment vertical="center" wrapText="1"/>
    </xf>
    <xf numFmtId="0" fontId="23" fillId="40" borderId="16" xfId="0" applyFont="1" applyFill="1" applyBorder="1">
      <alignment vertical="center" wrapText="1"/>
    </xf>
    <xf numFmtId="0" fontId="23" fillId="40" borderId="29" xfId="0" applyFont="1" applyFill="1" applyBorder="1">
      <alignment vertical="center" wrapText="1"/>
    </xf>
    <xf numFmtId="0" fontId="23" fillId="40" borderId="16" xfId="0" applyFont="1" applyFill="1" applyBorder="1">
      <alignment vertical="center" wrapText="1"/>
    </xf>
    <xf numFmtId="0" fontId="23" fillId="40" borderId="29" xfId="0" applyFont="1" applyFill="1" applyBorder="1">
      <alignment vertical="center" wrapText="1"/>
    </xf>
    <xf numFmtId="0" fontId="23" fillId="40" borderId="16" xfId="0" applyFont="1" applyFill="1" applyBorder="1">
      <alignment vertical="center" wrapText="1"/>
    </xf>
    <xf numFmtId="0" fontId="23" fillId="40" borderId="29" xfId="0" applyFont="1" applyFill="1" applyBorder="1">
      <alignment vertical="center" wrapText="1"/>
    </xf>
    <xf numFmtId="0" fontId="23" fillId="40" borderId="16" xfId="0" applyFont="1" applyFill="1" applyBorder="1">
      <alignment vertical="center" wrapText="1"/>
    </xf>
    <xf numFmtId="0" fontId="23" fillId="40" borderId="29" xfId="0" applyFont="1" applyFill="1" applyBorder="1">
      <alignment vertical="center" wrapText="1"/>
    </xf>
    <xf numFmtId="0" fontId="23" fillId="40" borderId="16" xfId="0" applyFont="1" applyFill="1" applyBorder="1">
      <alignment vertical="center" wrapText="1"/>
    </xf>
    <xf numFmtId="0" fontId="23" fillId="40" borderId="29" xfId="0" applyFont="1" applyFill="1" applyBorder="1">
      <alignment vertical="center" wrapText="1"/>
    </xf>
    <xf numFmtId="0" fontId="23" fillId="40" borderId="16" xfId="0" applyFont="1" applyFill="1" applyBorder="1">
      <alignment vertical="center" wrapText="1"/>
    </xf>
    <xf numFmtId="0" fontId="23" fillId="40" borderId="29" xfId="0" applyFont="1" applyFill="1" applyBorder="1">
      <alignment vertical="center" wrapText="1"/>
    </xf>
    <xf numFmtId="0" fontId="23" fillId="0" borderId="0" xfId="0" applyFont="1">
      <alignment horizontal="left" vertical="center" wrapText="1" indent="1"/>
    </xf>
    <xf numFmtId="0" fontId="22" fillId="0" borderId="0" xfId="0" applyFont="1">
      <alignment vertical="center" wrapText="1"/>
    </xf>
    <xf numFmtId="0" fontId="0" fillId="36" borderId="15" xfId="0" applyFont="1" applyFill="1" applyBorder="1">
      <alignment horizontal="right" vertical="center" wrapText="1" indent="1"/>
    </xf>
    <xf numFmtId="0" fontId="78" fillId="0" borderId="0" xfId="0" applyFont="1">
      <alignment vertical="center" wrapText="1"/>
    </xf>
    <xf numFmtId="0" fontId="0" fillId="0" borderId="18" xfId="0" applyFont="1" applyBorder="1">
      <alignment horizontal="center" vertical="center" wrapText="1"/>
    </xf>
    <xf numFmtId="0" fontId="23" fillId="36" borderId="15" xfId="0" applyFont="1" applyFill="1" applyBorder="1">
      <alignment horizontal="center" vertical="center" wrapText="1"/>
    </xf>
    <xf numFmtId="0" fontId="23" fillId="36" borderId="16" xfId="0" applyFont="1" applyFill="1" applyBorder="1">
      <alignment horizontal="center" vertical="center" wrapText="1"/>
    </xf>
    <xf numFmtId="0" fontId="23" fillId="36" borderId="14" xfId="0" applyFont="1" applyFill="1" applyBorder="1">
      <alignment horizontal="center" vertical="center" wrapText="1"/>
    </xf>
    <xf numFmtId="0" fontId="0" fillId="0" borderId="24" xfId="0" applyFont="1" applyBorder="1">
      <alignment horizontal="center" vertical="center" wrapText="1"/>
    </xf>
    <xf numFmtId="0" fontId="0" fillId="0" borderId="15" xfId="0" applyFont="1" applyBorder="1">
      <alignment horizontal="center" vertical="center" wrapText="1"/>
    </xf>
    <xf numFmtId="0" fontId="0" fillId="0" borderId="14" xfId="0" applyFont="1" applyBorder="1">
      <alignment horizontal="center" vertical="center" wrapText="1"/>
    </xf>
    <xf numFmtId="49" fontId="45" fillId="36" borderId="0" xfId="0" applyFont="1" applyFill="1" applyNumberFormat="1">
      <alignment horizontal="center" vertical="center" wrapText="1"/>
    </xf>
    <xf numFmtId="49" fontId="45" fillId="36" borderId="16" xfId="0" applyFont="1" applyFill="1" applyBorder="1" applyNumberFormat="1">
      <alignment horizontal="center" vertical="center" wrapText="1"/>
    </xf>
    <xf numFmtId="49" fontId="0" fillId="36" borderId="15" xfId="0" applyFont="1" applyFill="1" applyBorder="1" applyNumberFormat="1">
      <alignment horizontal="center" vertical="center" wrapText="1"/>
    </xf>
    <xf numFmtId="49" fontId="0" fillId="36" borderId="18" xfId="0" applyFont="1" applyFill="1" applyBorder="1" applyNumberFormat="1">
      <alignment horizontal="center" vertical="center" wrapText="1"/>
    </xf>
    <xf numFmtId="0" fontId="0" fillId="0" borderId="37" xfId="0" applyFont="1" applyBorder="1">
      <alignment horizontal="left" vertical="center" wrapText="1"/>
    </xf>
    <xf numFmtId="0" fontId="0" fillId="0" borderId="37" xfId="0" applyFont="1" applyBorder="1">
      <alignment horizontal="left" vertical="center" wrapText="1"/>
    </xf>
    <xf numFmtId="0" fontId="0" fillId="0" borderId="24" xfId="0" applyFont="1" applyBorder="1">
      <alignment horizontal="left" vertical="center" wrapText="1"/>
    </xf>
    <xf numFmtId="0" fontId="23" fillId="0" borderId="24" xfId="0" applyFont="1" applyBorder="1">
      <alignment horizontal="left" vertical="center" wrapText="1"/>
    </xf>
    <xf numFmtId="0" fontId="48" fillId="36" borderId="25" xfId="0" applyFont="1" applyFill="1" applyBorder="1">
      <alignment horizontal="center" vertical="top" wrapText="1"/>
    </xf>
    <xf numFmtId="49" fontId="0" fillId="36" borderId="13" xfId="0" applyFont="1" applyFill="1" applyBorder="1" applyNumberFormat="1">
      <alignment horizontal="center" vertical="center" wrapText="1"/>
    </xf>
    <xf numFmtId="0" fontId="132" fillId="38" borderId="13" xfId="0" applyFont="1" applyFill="1" applyBorder="1">
      <alignment horizontal="left" vertical="center" wrapText="1" indent="1"/>
    </xf>
    <xf numFmtId="0" fontId="0" fillId="38" borderId="13" xfId="0" applyFont="1" applyFill="1" applyBorder="1">
      <alignment horizontal="left" vertical="center" wrapText="1" indent="1"/>
    </xf>
    <xf numFmtId="250" fontId="0" fillId="41" borderId="14" xfId="0" applyFont="1" applyFill="1" applyBorder="1" applyNumberFormat="1">
      <alignment horizontal="left" vertical="center" wrapText="1"/>
      <protection locked="0"/>
    </xf>
    <xf numFmtId="0" fontId="23" fillId="40" borderId="28" xfId="0" applyFont="1" applyFill="1" applyBorder="1">
      <alignment vertical="center" wrapText="1"/>
    </xf>
    <xf numFmtId="49" fontId="49" fillId="40" borderId="29" xfId="0" applyFont="1" applyFill="1" applyBorder="1" applyNumberFormat="1">
      <alignment horizontal="left" vertical="center" indent="1"/>
    </xf>
    <xf numFmtId="49" fontId="49" fillId="40" borderId="29" xfId="0" applyFont="1" applyFill="1" applyBorder="1" applyNumberFormat="1">
      <alignment horizontal="left" vertical="center" indent="2"/>
    </xf>
    <xf numFmtId="0" fontId="23" fillId="0" borderId="13" xfId="0" applyFont="1" applyBorder="1">
      <alignment vertical="top" wrapText="1"/>
    </xf>
    <xf numFmtId="4" fontId="132" fillId="41" borderId="13" xfId="0" applyFont="1" applyFill="1" applyBorder="1" applyNumberFormat="1">
      <alignment horizontal="right" vertical="center" wrapText="1"/>
      <protection locked="0"/>
    </xf>
    <xf numFmtId="49" fontId="0" fillId="36" borderId="18" xfId="0" applyFont="1" applyFill="1" applyBorder="1" applyNumberFormat="1">
      <alignment horizontal="center" vertical="center" wrapText="1"/>
    </xf>
    <xf numFmtId="49" fontId="0" fillId="36" borderId="24" xfId="0" applyFont="1" applyFill="1" applyBorder="1" applyNumberFormat="1">
      <alignment horizontal="center" vertical="center" wrapText="1"/>
    </xf>
    <xf numFmtId="49" fontId="23" fillId="0" borderId="20" xfId="0" applyFont="1" applyBorder="1" applyNumberFormat="1">
      <alignment vertical="top"/>
    </xf>
    <xf numFmtId="0" fontId="22" fillId="0" borderId="0" xfId="0" applyFont="1">
      <alignment horizontal="right" vertical="top" wrapText="1"/>
    </xf>
    <xf numFmtId="0" fontId="23" fillId="36" borderId="13" xfId="0" applyFont="1" applyFill="1" applyBorder="1">
      <alignment horizontal="left" vertical="center" wrapText="1"/>
    </xf>
    <xf numFmtId="0" fontId="23" fillId="0" borderId="0" xfId="0" applyFont="1">
      <alignment horizontal="center" vertical="center" wrapText="1"/>
    </xf>
    <xf numFmtId="0" fontId="56" fillId="0" borderId="0" xfId="0" applyFont="1">
      <alignment horizontal="center" vertical="center" wrapText="1"/>
    </xf>
    <xf numFmtId="0" fontId="23" fillId="33" borderId="15" xfId="0" applyFont="1" applyFill="1" applyBorder="1">
      <alignment horizontal="left" vertical="center" wrapText="1"/>
      <protection locked="0"/>
    </xf>
    <xf numFmtId="0" fontId="23" fillId="33" borderId="16" xfId="0" applyFont="1" applyFill="1" applyBorder="1">
      <alignment horizontal="left" vertical="center" wrapText="1"/>
      <protection locked="0"/>
    </xf>
    <xf numFmtId="0" fontId="23" fillId="33" borderId="14" xfId="0" applyFont="1" applyFill="1" applyBorder="1">
      <alignment horizontal="left" vertical="center" wrapText="1"/>
      <protection locked="0"/>
    </xf>
    <xf numFmtId="49" fontId="23" fillId="33" borderId="15" xfId="0" applyFont="1" applyFill="1" applyBorder="1" applyNumberFormat="1">
      <alignment horizontal="left" vertical="center" wrapText="1"/>
      <protection locked="0"/>
    </xf>
    <xf numFmtId="49" fontId="23" fillId="33" borderId="16" xfId="0" applyFont="1" applyFill="1" applyBorder="1" applyNumberFormat="1">
      <alignment horizontal="left" vertical="center" wrapText="1"/>
      <protection locked="0"/>
    </xf>
    <xf numFmtId="49" fontId="23" fillId="33" borderId="14" xfId="0" applyFont="1" applyFill="1" applyBorder="1" applyNumberFormat="1">
      <alignment horizontal="left" vertical="center" wrapText="1"/>
      <protection locked="0"/>
    </xf>
    <xf numFmtId="49" fontId="23" fillId="33" borderId="13" xfId="0" applyFont="1" applyFill="1" applyBorder="1" applyNumberFormat="1">
      <alignment horizontal="left" vertical="center" wrapText="1" indent="6"/>
      <protection locked="0"/>
    </xf>
    <xf numFmtId="4" fontId="129" fillId="0" borderId="38" xfId="0" applyFont="1" applyBorder="1" applyNumberFormat="1">
      <alignment horizontal="right" vertical="center" wrapText="1"/>
    </xf>
    <xf numFmtId="0" fontId="54" fillId="0" borderId="13" xfId="0" applyFont="1" applyBorder="1">
      <alignment horizontal="left" vertical="top" wrapText="1"/>
    </xf>
    <xf numFmtId="49" fontId="23" fillId="0" borderId="13" xfId="0" applyFont="1" applyBorder="1" applyNumberFormat="1">
      <alignment horizontal="left" vertical="center" wrapText="1"/>
    </xf>
    <xf numFmtId="4" fontId="129" fillId="0" borderId="28" xfId="0" applyFont="1" applyBorder="1" applyNumberFormat="1">
      <alignment horizontal="right" vertical="center" wrapText="1"/>
    </xf>
    <xf numFmtId="49" fontId="0" fillId="40" borderId="31" xfId="0" applyFont="1" applyFill="1" applyBorder="1" applyNumberFormat="1">
      <alignment horizontal="center" vertical="center" wrapText="1"/>
    </xf>
    <xf numFmtId="0" fontId="56" fillId="0" borderId="0" xfId="0" applyFont="1">
      <alignment horizontal="center" vertical="center"/>
    </xf>
    <xf numFmtId="0" fontId="55" fillId="0" borderId="0" xfId="0" applyFont="1">
      <alignment horizontal="center" vertical="center" wrapText="1"/>
    </xf>
    <xf numFmtId="0" fontId="117" fillId="0" borderId="0" xfId="0" applyFont="1">
      <alignment vertical="center" wrapText="1"/>
    </xf>
    <xf numFmtId="0" fontId="23" fillId="0" borderId="0" xfId="0" applyFont="1">
      <alignment horizontal="right" vertical="center" wrapText="1"/>
    </xf>
    <xf numFmtId="0" fontId="23" fillId="0" borderId="18" xfId="0" applyFont="1" applyBorder="1">
      <alignment horizontal="center" vertical="center" wrapText="1"/>
    </xf>
    <xf numFmtId="0" fontId="0" fillId="0" borderId="13" xfId="0" applyFont="1" applyBorder="1">
      <alignment horizontal="center" vertical="center" wrapText="1"/>
    </xf>
    <xf numFmtId="0" fontId="86" fillId="36" borderId="20" xfId="0" applyFont="1" applyFill="1" applyBorder="1">
      <alignment horizontal="center" vertical="center" wrapText="1"/>
    </xf>
    <xf numFmtId="0" fontId="23" fillId="36" borderId="13" xfId="0" applyFont="1" applyFill="1" applyBorder="1">
      <alignment horizontal="left" vertical="center" wrapText="1"/>
    </xf>
    <xf numFmtId="0" fontId="23" fillId="0" borderId="0" xfId="0" applyFont="1">
      <alignment horizontal="center" vertical="center" wrapText="1"/>
    </xf>
    <xf numFmtId="0" fontId="56" fillId="0" borderId="0" xfId="0" applyFont="1">
      <alignment horizontal="center" vertical="center" wrapText="1"/>
    </xf>
    <xf numFmtId="49" fontId="23" fillId="0" borderId="13" xfId="0" applyFont="1" applyBorder="1" applyNumberFormat="1">
      <alignment horizontal="left" vertical="center" wrapText="1"/>
    </xf>
    <xf numFmtId="0" fontId="55" fillId="0" borderId="0" xfId="0" applyFont="1">
      <alignment horizontal="center" vertical="center" wrapText="1"/>
    </xf>
    <xf numFmtId="49" fontId="23" fillId="0" borderId="0" xfId="0" applyFont="1" applyNumberFormat="1">
      <alignment vertical="center" wrapText="1"/>
    </xf>
    <xf numFmtId="0" fontId="23" fillId="36" borderId="13" xfId="0" applyFont="1" applyFill="1" applyBorder="1">
      <alignment horizontal="left" vertical="center" wrapText="1"/>
    </xf>
    <xf numFmtId="0" fontId="23" fillId="0" borderId="0" xfId="0" applyFont="1">
      <alignment horizontal="center" vertical="center" wrapText="1"/>
    </xf>
    <xf numFmtId="0" fontId="56" fillId="0" borderId="0" xfId="0" applyFont="1">
      <alignment horizontal="center" vertical="center" wrapText="1"/>
    </xf>
    <xf numFmtId="49" fontId="23" fillId="0" borderId="13" xfId="0" applyFont="1" applyBorder="1" applyNumberFormat="1">
      <alignment horizontal="left" vertical="center" wrapText="1"/>
    </xf>
    <xf numFmtId="0" fontId="56" fillId="0" borderId="0" xfId="0" applyFont="1">
      <alignment horizontal="center" vertical="center"/>
    </xf>
    <xf numFmtId="0" fontId="55" fillId="0" borderId="0" xfId="0" applyFont="1">
      <alignment horizontal="center" vertical="center" wrapText="1"/>
    </xf>
    <xf numFmtId="0" fontId="23" fillId="0" borderId="0" xfId="0" applyFont="1">
      <alignment horizontal="right" vertical="center" wrapText="1"/>
    </xf>
    <xf numFmtId="0" fontId="23" fillId="0" borderId="18" xfId="0" applyFont="1" applyBorder="1">
      <alignment horizontal="center" vertical="center" wrapText="1"/>
    </xf>
    <xf numFmtId="0" fontId="0" fillId="0" borderId="13" xfId="0" applyFont="1" applyBorder="1">
      <alignment horizontal="center" vertical="center" wrapText="1"/>
    </xf>
    <xf numFmtId="0" fontId="86" fillId="36" borderId="20" xfId="0" applyFont="1" applyFill="1" applyBorder="1">
      <alignment horizontal="center" vertical="center" wrapText="1"/>
    </xf>
    <xf numFmtId="0" fontId="55" fillId="0" borderId="0" xfId="0" applyFont="1">
      <alignment horizontal="center" vertical="center" wrapText="1"/>
    </xf>
    <xf numFmtId="49" fontId="23" fillId="0" borderId="0" xfId="0" applyFont="1" applyNumberFormat="1">
      <alignment vertical="center" wrapText="1"/>
    </xf>
    <xf numFmtId="0" fontId="23" fillId="36" borderId="13" xfId="0" applyFont="1" applyFill="1" applyBorder="1">
      <alignment horizontal="left" vertical="center" wrapText="1"/>
    </xf>
    <xf numFmtId="0" fontId="118" fillId="0" borderId="0" xfId="0" applyFont="1">
      <alignment vertical="center" wrapText="1"/>
    </xf>
    <xf numFmtId="0" fontId="118" fillId="36" borderId="0" xfId="0" applyFont="1" applyFill="1">
      <alignment horizontal="center" vertical="center" wrapText="1"/>
    </xf>
    <xf numFmtId="0" fontId="56" fillId="36" borderId="13" xfId="0" applyFont="1" applyFill="1" applyBorder="1">
      <alignment horizontal="left" vertical="center" wrapText="1" indent="3"/>
    </xf>
    <xf numFmtId="0" fontId="56" fillId="0" borderId="0" xfId="0" applyFont="1">
      <alignment horizontal="center" vertical="center" wrapText="1"/>
    </xf>
    <xf numFmtId="49" fontId="23" fillId="33" borderId="18" xfId="0" applyFont="1" applyFill="1" applyBorder="1" applyNumberFormat="1">
      <alignment horizontal="left" vertical="center" wrapText="1" indent="6"/>
      <protection locked="0"/>
    </xf>
    <xf numFmtId="4" fontId="23" fillId="41" borderId="13" xfId="0" applyFont="1" applyFill="1" applyBorder="1" applyNumberFormat="1">
      <alignment horizontal="left" vertical="center" wrapText="1" indent="1"/>
      <protection locked="0"/>
    </xf>
    <xf numFmtId="49" fontId="23" fillId="42" borderId="13" xfId="0" applyFont="1" applyFill="1" applyBorder="1" applyNumberFormat="1">
      <alignment horizontal="left" vertical="center" wrapText="1" indent="1"/>
      <protection locked="0"/>
    </xf>
    <xf numFmtId="0" fontId="23" fillId="0" borderId="38" xfId="0" applyFont="1" applyBorder="1">
      <alignment horizontal="center" vertical="center" wrapText="1"/>
    </xf>
    <xf numFmtId="4" fontId="23" fillId="41" borderId="13" xfId="0" applyFont="1" applyFill="1" applyBorder="1" applyNumberFormat="1">
      <alignment horizontal="center" vertical="center" wrapText="1"/>
      <protection locked="0"/>
    </xf>
    <xf numFmtId="49" fontId="23" fillId="42" borderId="21" xfId="0" applyFont="1" applyFill="1" applyBorder="1" applyNumberFormat="1">
      <alignment horizontal="center" vertical="center" wrapText="1"/>
    </xf>
    <xf numFmtId="49" fontId="23" fillId="36" borderId="13" xfId="0" applyFont="1" applyFill="1" applyBorder="1" applyNumberFormat="1">
      <alignment horizontal="center" vertical="center" wrapText="1"/>
    </xf>
    <xf numFmtId="49" fontId="23" fillId="41" borderId="13" xfId="0" applyFont="1" applyFill="1" applyBorder="1" applyNumberFormat="1">
      <alignment horizontal="left" vertical="center" wrapText="1" indent="1"/>
      <protection locked="0"/>
    </xf>
    <xf numFmtId="49" fontId="23" fillId="33" borderId="37" xfId="0" applyFont="1" applyFill="1" applyBorder="1" applyNumberFormat="1">
      <alignment horizontal="left" vertical="center" wrapText="1" indent="6"/>
      <protection locked="0"/>
    </xf>
    <xf numFmtId="0" fontId="23" fillId="0" borderId="28" xfId="0" applyFont="1" applyBorder="1">
      <alignment horizontal="center" vertical="center" wrapText="1"/>
    </xf>
    <xf numFmtId="49" fontId="23" fillId="42" borderId="31" xfId="0" applyFont="1" applyFill="1" applyBorder="1" applyNumberFormat="1">
      <alignment horizontal="center" vertical="center" wrapText="1"/>
    </xf>
    <xf numFmtId="49" fontId="49" fillId="40" borderId="29" xfId="0" applyFont="1" applyFill="1" applyBorder="1" applyNumberFormat="1">
      <alignment horizontal="left" vertical="center"/>
    </xf>
    <xf numFmtId="49" fontId="23" fillId="33" borderId="24" xfId="0" applyFont="1" applyFill="1" applyBorder="1" applyNumberFormat="1">
      <alignment horizontal="left" vertical="center" wrapText="1" indent="6"/>
      <protection locked="0"/>
    </xf>
    <xf numFmtId="0" fontId="56" fillId="0" borderId="0" xfId="0" applyFont="1">
      <alignment horizontal="center" vertical="center"/>
    </xf>
    <xf numFmtId="0" fontId="56" fillId="0" borderId="0" xfId="0" applyFont="1">
      <alignment horizontal="left" vertical="center" wrapText="1" indent="1"/>
    </xf>
    <xf numFmtId="0" fontId="23" fillId="36" borderId="13" xfId="0" applyFont="1" applyFill="1" applyBorder="1">
      <alignment horizontal="center" vertical="center" wrapText="1"/>
    </xf>
    <xf numFmtId="0" fontId="56" fillId="0" borderId="20" xfId="0" applyFont="1" applyBorder="1">
      <alignment horizontal="left" vertical="center" wrapText="1"/>
    </xf>
    <xf numFmtId="0" fontId="23" fillId="0" borderId="0" xfId="0" applyFont="1">
      <alignment horizontal="left" vertical="top" wrapText="1"/>
    </xf>
    <xf numFmtId="0" fontId="55" fillId="0" borderId="0" xfId="0" applyFont="1">
      <alignment horizontal="center" vertical="center" wrapText="1"/>
    </xf>
    <xf numFmtId="49" fontId="23" fillId="0" borderId="0" xfId="0" applyFont="1" applyNumberFormat="1">
      <alignment horizontal="center" vertical="center" wrapText="1"/>
    </xf>
    <xf numFmtId="0" fontId="23" fillId="0" borderId="30" xfId="0" applyFont="1" applyBorder="1">
      <alignment horizontal="center" vertical="center" wrapText="1"/>
    </xf>
    <xf numFmtId="0" fontId="23" fillId="41" borderId="13" xfId="0" applyFont="1" applyFill="1" applyBorder="1">
      <alignment horizontal="left" vertical="center" wrapText="1" indent="2"/>
      <protection locked="0"/>
    </xf>
    <xf numFmtId="0" fontId="23" fillId="0" borderId="13" xfId="0" applyFont="1" applyBorder="1">
      <alignment horizontal="center" vertical="center" wrapText="1"/>
    </xf>
    <xf numFmtId="0" fontId="90" fillId="0" borderId="0" xfId="0" applyFont="1">
      <alignment vertical="center" wrapText="1"/>
    </xf>
    <xf numFmtId="0" fontId="56" fillId="0" borderId="0" xfId="0" applyFont="1">
      <alignment vertical="center" wrapText="1"/>
    </xf>
    <xf numFmtId="0" fontId="56" fillId="0" borderId="30" xfId="0" applyFont="1" applyBorder="1">
      <alignment horizontal="center" vertical="center" wrapText="1"/>
    </xf>
    <xf numFmtId="0" fontId="56" fillId="0" borderId="13" xfId="0" applyFont="1" applyBorder="1">
      <alignment horizontal="left" vertical="center" wrapText="1" indent="2"/>
    </xf>
    <xf numFmtId="0" fontId="56" fillId="0" borderId="13" xfId="0" applyFont="1" applyBorder="1">
      <alignment horizontal="center" vertical="center" wrapText="1"/>
    </xf>
    <xf numFmtId="0" fontId="56" fillId="0" borderId="13" xfId="0" applyFont="1" applyBorder="1">
      <alignment horizontal="center" vertical="center" wrapText="1"/>
    </xf>
    <xf numFmtId="0" fontId="23" fillId="0" borderId="13" xfId="0" applyFont="1" applyBorder="1">
      <alignment horizontal="left" vertical="center" wrapText="1" indent="3"/>
    </xf>
    <xf numFmtId="49" fontId="23" fillId="41" borderId="13" xfId="0" applyFont="1" applyFill="1" applyBorder="1" applyNumberFormat="1">
      <alignment horizontal="center" vertical="center" wrapText="1"/>
      <protection locked="0"/>
    </xf>
    <xf numFmtId="4" fontId="23" fillId="33" borderId="13" xfId="0" applyFont="1" applyFill="1" applyBorder="1" applyNumberFormat="1">
      <alignment horizontal="right" vertical="center" wrapText="1"/>
      <protection locked="0"/>
    </xf>
    <xf numFmtId="4" fontId="23" fillId="33" borderId="13" xfId="0" applyFont="1" applyFill="1" applyBorder="1" applyNumberFormat="1">
      <alignment horizontal="right" vertical="center" wrapText="1"/>
      <protection locked="0"/>
    </xf>
    <xf numFmtId="0" fontId="23" fillId="33" borderId="13" xfId="0" applyFont="1" applyFill="1" applyBorder="1">
      <alignment horizontal="left" vertical="center" wrapText="1"/>
      <protection locked="0"/>
    </xf>
    <xf numFmtId="0" fontId="23" fillId="33" borderId="13" xfId="0" applyFont="1" applyFill="1" applyBorder="1">
      <alignment horizontal="left" vertical="center" wrapText="1"/>
      <protection locked="0"/>
    </xf>
    <xf numFmtId="49" fontId="97" fillId="0" borderId="0" xfId="0" applyFont="1" applyNumberFormat="1">
      <alignment horizontal="center" vertical="center" wrapText="1"/>
    </xf>
    <xf numFmtId="49" fontId="23" fillId="0" borderId="0" xfId="0" applyFont="1" applyNumberFormat="1">
      <alignment horizontal="center" vertical="top" wrapText="1"/>
    </xf>
    <xf numFmtId="0" fontId="23" fillId="0" borderId="13" xfId="0" applyFont="1" applyBorder="1">
      <alignment horizontal="center" vertical="center" wrapText="1"/>
    </xf>
    <xf numFmtId="0" fontId="60" fillId="0" borderId="0" xfId="0" applyFont="1">
      <alignment vertical="center" wrapText="1"/>
    </xf>
    <xf numFmtId="0" fontId="23" fillId="0" borderId="14" xfId="0" applyFont="1" applyBorder="1">
      <alignment horizontal="center" vertical="center" wrapText="1"/>
    </xf>
    <xf numFmtId="248" fontId="23" fillId="33" borderId="13" xfId="0" applyFont="1" applyFill="1" applyBorder="1" applyNumberFormat="1">
      <alignment horizontal="right" vertical="center" wrapText="1"/>
      <protection locked="0"/>
    </xf>
    <xf numFmtId="248" fontId="23" fillId="33" borderId="13" xfId="0" applyFont="1" applyFill="1" applyBorder="1" applyNumberFormat="1">
      <alignment horizontal="right" vertical="center" wrapText="1"/>
      <protection locked="0"/>
    </xf>
    <xf numFmtId="0" fontId="41" fillId="0" borderId="0" xfId="0" applyFont="1">
      <alignment vertical="center" wrapText="1"/>
    </xf>
    <xf numFmtId="0" fontId="41" fillId="0" borderId="0" xfId="0" applyFont="1">
      <alignment vertical="center" wrapText="1"/>
    </xf>
    <xf numFmtId="0" fontId="23" fillId="0" borderId="18" xfId="0" applyFont="1" applyBorder="1">
      <alignment horizontal="left" vertical="center" wrapText="1" indent="1"/>
    </xf>
    <xf numFmtId="0" fontId="23" fillId="0" borderId="24" xfId="0" applyFont="1" applyBorder="1">
      <alignment horizontal="left" vertical="center" wrapText="1" indent="1"/>
    </xf>
    <xf numFmtId="0" fontId="23" fillId="0" borderId="0" xfId="0" applyFont="1">
      <alignment horizontal="left" vertical="center" wrapText="1" indent="3"/>
    </xf>
    <xf numFmtId="0" fontId="23" fillId="0" borderId="0" xfId="0" applyFont="1">
      <alignment horizontal="left" vertical="center" wrapText="1" indent="3"/>
    </xf>
    <xf numFmtId="0" fontId="56" fillId="0" borderId="0" xfId="0" applyFont="1">
      <alignment vertical="center" wrapText="1"/>
    </xf>
    <xf numFmtId="0" fontId="103" fillId="36" borderId="0" xfId="0" applyFont="1" applyFill="1">
      <alignment horizontal="right" vertical="center"/>
    </xf>
    <xf numFmtId="0" fontId="103" fillId="36" borderId="0" xfId="0" applyFont="1" applyFill="1">
      <alignment horizontal="right" vertical="center"/>
    </xf>
    <xf numFmtId="0" fontId="23" fillId="38" borderId="15" xfId="0" applyFont="1" applyFill="1" applyBorder="1">
      <alignment horizontal="left" vertical="top" wrapText="1"/>
    </xf>
    <xf numFmtId="0" fontId="23" fillId="38" borderId="15" xfId="0" applyFont="1" applyFill="1" applyBorder="1">
      <alignment horizontal="left" vertical="top" wrapText="1"/>
    </xf>
    <xf numFmtId="0" fontId="23" fillId="0" borderId="16" xfId="0" applyFont="1" applyBorder="1">
      <alignment horizontal="right" vertical="center" wrapText="1" indent="1"/>
    </xf>
    <xf numFmtId="0" fontId="23" fillId="0" borderId="13" xfId="0" applyFont="1" applyBorder="1">
      <alignment horizontal="center" vertical="center" wrapText="1"/>
    </xf>
    <xf numFmtId="0" fontId="23" fillId="0" borderId="13" xfId="0" applyFont="1" applyBorder="1">
      <alignment horizontal="left" vertical="center" wrapText="1"/>
    </xf>
    <xf numFmtId="4" fontId="23" fillId="41" borderId="13" xfId="0" applyFont="1" applyFill="1" applyBorder="1" applyNumberFormat="1">
      <alignment horizontal="right" vertical="center" wrapText="1"/>
      <protection locked="0"/>
    </xf>
    <xf numFmtId="4" fontId="23" fillId="41" borderId="13" xfId="0" applyFont="1" applyFill="1" applyBorder="1" applyNumberFormat="1">
      <alignment horizontal="right" vertical="center" wrapText="1"/>
      <protection locked="0"/>
    </xf>
    <xf numFmtId="4" fontId="23" fillId="38" borderId="13" xfId="0" applyFont="1" applyFill="1" applyBorder="1" applyNumberFormat="1">
      <alignment horizontal="right" vertical="center" wrapText="1"/>
    </xf>
    <xf numFmtId="0" fontId="23" fillId="0" borderId="13" xfId="0" applyFont="1" applyBorder="1">
      <alignment horizontal="left" vertical="center" wrapText="1" indent="1"/>
    </xf>
    <xf numFmtId="49" fontId="97" fillId="47" borderId="0" xfId="0" applyFont="1" applyFill="1" applyNumberFormat="1">
      <alignment horizontal="center" vertical="center" textRotation="90" wrapText="1"/>
    </xf>
    <xf numFmtId="0" fontId="79" fillId="0" borderId="0" xfId="0" applyFont="1">
      <alignment vertical="center" wrapText="1"/>
    </xf>
    <xf numFmtId="0" fontId="79" fillId="0" borderId="0" xfId="0" applyFont="1">
      <alignment horizontal="center" vertical="center" wrapText="1"/>
    </xf>
    <xf numFmtId="49" fontId="79" fillId="0" borderId="0" xfId="0" applyFont="1" applyNumberFormat="1">
      <alignment horizontal="center" vertical="center" wrapText="1"/>
    </xf>
    <xf numFmtId="49" fontId="79" fillId="0" borderId="30" xfId="0" applyFont="1" applyBorder="1" applyNumberFormat="1">
      <alignment horizontal="center" vertical="center" wrapText="1"/>
    </xf>
    <xf numFmtId="0" fontId="79" fillId="0" borderId="13" xfId="0" applyFont="1" applyBorder="1">
      <alignment horizontal="left" vertical="center" wrapText="1" indent="2"/>
    </xf>
    <xf numFmtId="0" fontId="79" fillId="0" borderId="13" xfId="0" applyFont="1" applyBorder="1">
      <alignment horizontal="center" vertical="center" wrapText="1"/>
    </xf>
    <xf numFmtId="49" fontId="79" fillId="0" borderId="13" xfId="0" applyFont="1" applyBorder="1" applyNumberFormat="1">
      <alignment horizontal="left" vertical="center" wrapText="1"/>
    </xf>
    <xf numFmtId="0" fontId="91" fillId="0" borderId="0" xfId="0" applyFont="1">
      <alignment vertical="center" wrapText="1"/>
    </xf>
    <xf numFmtId="0" fontId="69" fillId="0" borderId="0" xfId="0" applyFont="1">
      <alignment vertical="center" wrapText="1"/>
    </xf>
    <xf numFmtId="0" fontId="79" fillId="0" borderId="30" xfId="0" applyFont="1" applyBorder="1">
      <alignment horizontal="center" vertical="center" wrapText="1"/>
    </xf>
    <xf numFmtId="0" fontId="79" fillId="0" borderId="13" xfId="0" applyFont="1" applyBorder="1">
      <alignment horizontal="left" vertical="center" wrapText="1" indent="3"/>
    </xf>
    <xf numFmtId="4" fontId="79" fillId="0" borderId="13" xfId="0" applyFont="1" applyBorder="1" applyNumberFormat="1">
      <alignment horizontal="right" vertical="center" wrapText="1"/>
    </xf>
    <xf numFmtId="4" fontId="79" fillId="0" borderId="13" xfId="0" applyFont="1" applyBorder="1" applyNumberFormat="1">
      <alignment horizontal="right" vertical="center" wrapText="1"/>
    </xf>
    <xf numFmtId="0" fontId="46" fillId="0" borderId="0" xfId="0" applyFont="1">
      <alignment horizontal="center" vertical="center" wrapText="1"/>
    </xf>
    <xf numFmtId="49" fontId="23" fillId="40" borderId="15" xfId="0" applyFont="1" applyFill="1" applyBorder="1" applyNumberFormat="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23" fillId="0" borderId="13" xfId="0" applyFont="1" applyBorder="1">
      <alignment horizontal="left" vertical="center" wrapText="1" indent="2"/>
    </xf>
    <xf numFmtId="14" fontId="23" fillId="0" borderId="0" xfId="0" applyFont="1" applyNumberFormat="1">
      <alignment horizontal="center" vertical="center" wrapText="1"/>
    </xf>
    <xf numFmtId="49" fontId="97" fillId="47" borderId="0" xfId="0" applyFont="1" applyFill="1" applyNumberFormat="1">
      <alignment horizontal="center" vertical="center" wrapText="1"/>
    </xf>
    <xf numFmtId="49" fontId="35" fillId="0" borderId="0" xfId="0" applyFont="1" applyNumberFormat="1">
      <alignment horizontal="center" vertical="center"/>
    </xf>
    <xf numFmtId="248" fontId="23" fillId="41" borderId="13" xfId="0" applyFont="1" applyFill="1" applyBorder="1" applyNumberFormat="1">
      <alignment horizontal="right" vertical="center" wrapText="1"/>
      <protection locked="0"/>
    </xf>
    <xf numFmtId="248" fontId="23" fillId="41" borderId="13" xfId="0" applyFont="1" applyFill="1" applyBorder="1" applyNumberFormat="1">
      <alignment horizontal="right" vertical="center" wrapText="1"/>
      <protection locked="0"/>
    </xf>
    <xf numFmtId="0" fontId="55" fillId="0" borderId="0" xfId="0" applyFont="1">
      <alignment horizontal="left" vertical="center" wrapText="1"/>
    </xf>
    <xf numFmtId="49" fontId="97" fillId="0" borderId="0" xfId="0" applyFont="1" applyNumberFormat="1">
      <alignment horizontal="left" vertical="center" wrapText="1"/>
    </xf>
    <xf numFmtId="0" fontId="56" fillId="0" borderId="0" xfId="0" applyFont="1">
      <alignment horizontal="left" vertical="center" wrapText="1"/>
    </xf>
    <xf numFmtId="0" fontId="60" fillId="0" borderId="0" xfId="0" applyFont="1">
      <alignment horizontal="left" vertical="center" wrapText="1"/>
    </xf>
    <xf numFmtId="0" fontId="41" fillId="0" borderId="0" xfId="0" applyFont="1">
      <alignment horizontal="left" vertical="center" wrapText="1"/>
    </xf>
    <xf numFmtId="49" fontId="23" fillId="42" borderId="13" xfId="0" applyFont="1" applyFill="1" applyBorder="1" applyNumberFormat="1">
      <alignment horizontal="left" vertical="center" wrapText="1"/>
    </xf>
    <xf numFmtId="49" fontId="23" fillId="42" borderId="13" xfId="0" applyFont="1" applyFill="1" applyBorder="1" applyNumberFormat="1">
      <alignment horizontal="left" vertical="center" wrapText="1"/>
    </xf>
    <xf numFmtId="0" fontId="23" fillId="0" borderId="18" xfId="0" applyFont="1" applyBorder="1">
      <alignment horizontal="center" vertical="center" wrapText="1"/>
    </xf>
    <xf numFmtId="4" fontId="23" fillId="38" borderId="18" xfId="0" applyFont="1" applyFill="1" applyBorder="1" applyNumberFormat="1">
      <alignment horizontal="right" vertical="center" wrapText="1"/>
    </xf>
    <xf numFmtId="4" fontId="23" fillId="38" borderId="18" xfId="0" applyFont="1" applyFill="1" applyBorder="1" applyNumberFormat="1">
      <alignment horizontal="right" vertical="center" wrapText="1"/>
    </xf>
    <xf numFmtId="0" fontId="56" fillId="0" borderId="13" xfId="0" applyFont="1" applyBorder="1">
      <alignment horizontal="left" vertical="center" wrapText="1" indent="3"/>
    </xf>
    <xf numFmtId="49" fontId="56" fillId="0" borderId="13" xfId="0" applyFont="1" applyBorder="1" applyNumberFormat="1">
      <alignment vertical="center" wrapText="1"/>
    </xf>
    <xf numFmtId="49" fontId="56" fillId="0" borderId="13" xfId="0" applyFont="1" applyBorder="1" applyNumberFormat="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4" fontId="23" fillId="41" borderId="14" xfId="0" applyFont="1" applyFill="1" applyBorder="1" applyNumberFormat="1">
      <alignment horizontal="right" vertical="center" wrapText="1"/>
      <protection locked="0"/>
    </xf>
    <xf numFmtId="4" fontId="23" fillId="41" borderId="14" xfId="0" applyFont="1" applyFill="1" applyBorder="1" applyNumberFormat="1">
      <alignment horizontal="right" vertical="center" wrapText="1"/>
      <protection locked="0"/>
    </xf>
    <xf numFmtId="49" fontId="29" fillId="33" borderId="14" xfId="0" applyFont="1" applyFill="1" applyBorder="1" applyNumberFormat="1">
      <alignment horizontal="left" vertical="center" wrapText="1"/>
      <protection locked="0"/>
    </xf>
    <xf numFmtId="49" fontId="29" fillId="33" borderId="14" xfId="0" applyFont="1" applyFill="1" applyBorder="1" applyNumberFormat="1">
      <alignment horizontal="left" vertical="center" wrapText="1"/>
      <protection locked="0"/>
    </xf>
    <xf numFmtId="0" fontId="55" fillId="0" borderId="0" xfId="0" applyFont="1">
      <alignment vertical="center" wrapText="1"/>
    </xf>
    <xf numFmtId="0" fontId="56" fillId="0" borderId="0" xfId="0" applyFont="1">
      <alignment vertical="center" wrapText="1"/>
    </xf>
    <xf numFmtId="49" fontId="23" fillId="0" borderId="0" xfId="0" applyFont="1" applyNumberFormat="1">
      <alignment horizontal="center" vertical="center" wrapText="1"/>
    </xf>
    <xf numFmtId="0" fontId="23" fillId="0" borderId="13" xfId="0" applyFont="1" applyBorder="1">
      <alignment horizontal="center" vertical="center" wrapText="1"/>
    </xf>
    <xf numFmtId="248" fontId="23" fillId="41" borderId="14" xfId="0" applyFont="1" applyFill="1" applyBorder="1" applyNumberFormat="1">
      <alignment horizontal="right" vertical="center" wrapText="1"/>
      <protection locked="0"/>
    </xf>
    <xf numFmtId="248" fontId="23" fillId="41" borderId="14" xfId="0" applyFont="1" applyFill="1" applyBorder="1" applyNumberFormat="1">
      <alignment horizontal="right" vertical="center" wrapText="1"/>
      <protection locked="0"/>
    </xf>
    <xf numFmtId="0" fontId="90" fillId="0" borderId="0" xfId="0" applyFont="1">
      <alignment vertical="center" wrapText="1"/>
    </xf>
    <xf numFmtId="0" fontId="60" fillId="0" borderId="0" xfId="0" applyFont="1">
      <alignment vertical="center" wrapText="1"/>
    </xf>
    <xf numFmtId="0" fontId="41" fillId="0" borderId="0" xfId="0" applyFont="1">
      <alignment vertical="center" wrapText="1"/>
    </xf>
    <xf numFmtId="49" fontId="35" fillId="0" borderId="0" xfId="0" applyFont="1" applyNumberFormat="1">
      <alignment horizontal="center" vertical="center"/>
    </xf>
    <xf numFmtId="0" fontId="23" fillId="0" borderId="0" xfId="0" applyFont="1">
      <alignment vertical="center" wrapText="1"/>
    </xf>
    <xf numFmtId="0" fontId="55" fillId="0" borderId="0" xfId="0" applyFont="1">
      <alignment vertical="center" wrapText="1"/>
    </xf>
    <xf numFmtId="248" fontId="23" fillId="38" borderId="14" xfId="0" applyFont="1" applyFill="1" applyBorder="1" applyNumberFormat="1">
      <alignment horizontal="right" vertical="center" wrapText="1"/>
    </xf>
    <xf numFmtId="248" fontId="23" fillId="38" borderId="13" xfId="0" applyFont="1" applyFill="1" applyBorder="1" applyNumberFormat="1">
      <alignment horizontal="right" vertical="center" wrapText="1"/>
    </xf>
    <xf numFmtId="248" fontId="23" fillId="38" borderId="14" xfId="0" applyFont="1" applyFill="1" applyBorder="1" applyNumberFormat="1">
      <alignment horizontal="right" vertical="center" wrapText="1"/>
    </xf>
    <xf numFmtId="49" fontId="97" fillId="47" borderId="0" xfId="0" applyFont="1" applyFill="1" applyNumberFormat="1">
      <alignment horizontal="center" vertical="center" textRotation="90" wrapText="1"/>
    </xf>
    <xf numFmtId="0" fontId="23" fillId="41" borderId="13" xfId="0" applyFont="1" applyFill="1" applyBorder="1">
      <alignment horizontal="center" vertical="center" wrapText="1"/>
      <protection locked="0"/>
    </xf>
    <xf numFmtId="4" fontId="23" fillId="41" borderId="31" xfId="0" applyFont="1" applyFill="1" applyBorder="1" applyNumberFormat="1">
      <alignment horizontal="right" vertical="center" wrapText="1"/>
      <protection locked="0"/>
    </xf>
    <xf numFmtId="4" fontId="23" fillId="41" borderId="24" xfId="0" applyFont="1" applyFill="1" applyBorder="1" applyNumberFormat="1">
      <alignment horizontal="right" vertical="center" wrapText="1"/>
      <protection locked="0"/>
    </xf>
    <xf numFmtId="4" fontId="23" fillId="41" borderId="31" xfId="0" applyFont="1" applyFill="1" applyBorder="1" applyNumberFormat="1">
      <alignment horizontal="right" vertical="center" wrapText="1"/>
      <protection locked="0"/>
    </xf>
    <xf numFmtId="0" fontId="56" fillId="0" borderId="37" xfId="0" applyFont="1" applyBorder="1">
      <alignment horizontal="left" vertical="center" wrapText="1" indent="1"/>
    </xf>
    <xf numFmtId="0" fontId="56" fillId="0" borderId="37" xfId="0" applyFont="1" applyBorder="1">
      <alignment horizontal="center" vertical="center" wrapText="1"/>
    </xf>
    <xf numFmtId="49" fontId="23" fillId="40" borderId="38" xfId="0" applyFont="1" applyFill="1" applyBorder="1" applyNumberFormat="1">
      <alignment vertical="center" wrapText="1"/>
    </xf>
    <xf numFmtId="49" fontId="49" fillId="40" borderId="20" xfId="0" applyFont="1" applyFill="1" applyBorder="1" applyNumberFormat="1">
      <alignment horizontal="left" vertical="center" inden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23" fillId="0" borderId="14" xfId="0" applyFont="1" applyBorder="1">
      <alignment horizontal="center" vertical="center" wrapText="1"/>
    </xf>
    <xf numFmtId="0" fontId="23" fillId="0" borderId="21" xfId="0" applyFont="1" applyBorder="1">
      <alignment horizontal="center" vertical="center" wrapText="1"/>
    </xf>
    <xf numFmtId="248" fontId="23" fillId="41" borderId="18" xfId="0" applyFont="1" applyFill="1" applyBorder="1" applyNumberFormat="1">
      <alignment horizontal="right" vertical="center" wrapText="1"/>
      <protection locked="0"/>
    </xf>
    <xf numFmtId="248" fontId="23" fillId="41" borderId="18" xfId="0" applyFont="1" applyFill="1" applyBorder="1" applyNumberFormat="1">
      <alignment horizontal="right" vertical="center" wrapText="1"/>
      <protection locked="0"/>
    </xf>
    <xf numFmtId="0" fontId="56" fillId="0" borderId="24" xfId="0" applyFont="1" applyBorder="1">
      <alignment horizontal="left" vertical="center" wrapText="1" indent="1"/>
    </xf>
    <xf numFmtId="0" fontId="56" fillId="0" borderId="18" xfId="0" applyFont="1" applyBorder="1">
      <alignment horizontal="center" vertical="center" wrapText="1"/>
    </xf>
    <xf numFmtId="0" fontId="46" fillId="0" borderId="0" xfId="0" applyFont="1">
      <alignment horizontal="center" vertical="center" wrapText="1"/>
    </xf>
    <xf numFmtId="49" fontId="23" fillId="40" borderId="38" xfId="0" applyFont="1" applyFill="1" applyBorder="1" applyNumberFormat="1">
      <alignment vertical="center" wrapText="1"/>
    </xf>
    <xf numFmtId="49" fontId="49" fillId="40" borderId="20" xfId="0" applyFont="1" applyFill="1" applyBorder="1" applyNumberFormat="1">
      <alignment horizontal="left" vertical="center" indent="1"/>
    </xf>
    <xf numFmtId="0" fontId="23" fillId="40" borderId="16"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6" fillId="0" borderId="18" xfId="0" applyFont="1" applyBorder="1">
      <alignment horizontal="left" vertical="center" wrapText="1" inden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23" fillId="0" borderId="0" xfId="0" applyFont="1">
      <alignment horizontal="left" vertical="top" wrapText="1"/>
    </xf>
    <xf numFmtId="0" fontId="23" fillId="0" borderId="0" xfId="0" applyFont="1">
      <alignment vertical="top" wrapText="1"/>
    </xf>
    <xf numFmtId="0" fontId="60" fillId="0" borderId="0" xfId="0" applyFont="1">
      <alignment vertical="center"/>
    </xf>
    <xf numFmtId="0" fontId="79" fillId="0" borderId="0" xfId="0" applyFont="1">
      <alignment vertical="center" wrapText="1"/>
    </xf>
    <xf numFmtId="0" fontId="69" fillId="0" borderId="0" xfId="0" applyFont="1">
      <alignment vertical="center" wrapText="1"/>
    </xf>
    <xf numFmtId="0" fontId="97" fillId="0" borderId="0" xfId="0" applyFont="1">
      <alignment vertical="center" wrapText="1"/>
    </xf>
    <xf numFmtId="49" fontId="97" fillId="0" borderId="0" xfId="0" applyFont="1" applyNumberFormat="1">
      <alignment horizontal="center" vertical="center" wrapText="1"/>
    </xf>
    <xf numFmtId="0" fontId="23" fillId="0" borderId="0" xfId="0" applyFont="1">
      <alignment vertical="center" wrapText="1"/>
    </xf>
    <xf numFmtId="0" fontId="60" fillId="0" borderId="0" xfId="0" applyFont="1">
      <alignment vertical="center" wrapText="1"/>
    </xf>
    <xf numFmtId="0" fontId="23" fillId="0" borderId="20" xfId="0" applyFont="1" applyBorder="1">
      <alignment vertical="center" wrapText="1"/>
    </xf>
    <xf numFmtId="0" fontId="23" fillId="0" borderId="20" xfId="0" applyFont="1" applyBorder="1">
      <alignment horizontal="left" vertical="center" wrapText="1" indent="1"/>
    </xf>
    <xf numFmtId="0" fontId="23" fillId="0" borderId="0" xfId="0" applyFont="1">
      <alignment horizontal="center" vertical="center" wrapText="1"/>
    </xf>
    <xf numFmtId="49" fontId="41" fillId="0" borderId="0" xfId="0" applyFont="1" applyNumberFormat="1">
      <alignment horizontal="center" vertical="center" wrapText="1"/>
    </xf>
    <xf numFmtId="0" fontId="23" fillId="0" borderId="29" xfId="0" applyFont="1" applyBorder="1">
      <alignment vertical="center" wrapText="1"/>
    </xf>
    <xf numFmtId="0" fontId="23" fillId="0" borderId="29" xfId="0" applyFont="1" applyBorder="1">
      <alignment horizontal="left" vertical="center" wrapText="1" indent="1"/>
    </xf>
    <xf numFmtId="0" fontId="56" fillId="0" borderId="0" xfId="0" applyFont="1">
      <alignment vertical="center" wrapText="1"/>
    </xf>
    <xf numFmtId="0" fontId="41" fillId="0" borderId="0" xfId="0" applyFont="1">
      <alignment vertical="center" wrapText="1"/>
    </xf>
    <xf numFmtId="0" fontId="35" fillId="0" borderId="0" xfId="0" applyFont="1">
      <alignment horizontal="center" vertical="center" wrapText="1"/>
    </xf>
    <xf numFmtId="49" fontId="69" fillId="0" borderId="0" xfId="0" applyFont="1" applyNumberFormat="1">
      <alignment horizontal="center" vertical="center" wrapText="1"/>
    </xf>
    <xf numFmtId="0" fontId="79" fillId="0" borderId="0" xfId="0" applyFont="1">
      <alignment horizontal="center" vertical="center" wrapText="1"/>
    </xf>
    <xf numFmtId="0" fontId="106" fillId="0" borderId="0" xfId="0" applyFont="1">
      <alignment horizontal="center" vertical="center" wrapText="1"/>
    </xf>
    <xf numFmtId="0" fontId="107" fillId="36" borderId="0" xfId="0" applyFont="1" applyFill="1">
      <alignment horizontal="right" vertical="center"/>
    </xf>
    <xf numFmtId="0" fontId="69" fillId="0" borderId="0" xfId="0" applyFont="1">
      <alignment vertical="center" wrapText="1"/>
    </xf>
    <xf numFmtId="49" fontId="56" fillId="0" borderId="0" xfId="0" applyFont="1" applyNumberFormat="1">
      <alignment horizontal="center" vertical="center" wrapText="1"/>
    </xf>
    <xf numFmtId="49" fontId="56" fillId="0" borderId="0" xfId="0" applyFont="1" applyNumberFormat="1">
      <alignment horizontal="center" vertical="center" wrapText="1"/>
    </xf>
    <xf numFmtId="49" fontId="41" fillId="0" borderId="0" xfId="0" applyFont="1" applyNumberFormat="1">
      <alignment horizontal="center" vertical="center" wrapText="1"/>
    </xf>
    <xf numFmtId="9" fontId="35" fillId="0" borderId="0" xfId="0" applyFont="1" applyNumberFormat="1">
      <alignment horizontal="center" vertical="center" wrapText="1"/>
    </xf>
    <xf numFmtId="0" fontId="78" fillId="0" borderId="0" xfId="0" applyFont="1">
      <alignment vertical="center" wrapText="1"/>
    </xf>
    <xf numFmtId="0" fontId="56" fillId="0" borderId="0" xfId="0" applyFont="1">
      <alignment vertical="center" wrapText="1"/>
    </xf>
    <xf numFmtId="0" fontId="41" fillId="0" borderId="0" xfId="0" applyFont="1">
      <alignment vertical="center" wrapText="1"/>
    </xf>
    <xf numFmtId="49" fontId="56" fillId="0" borderId="18" xfId="0" applyFont="1" applyBorder="1" applyNumberFormat="1">
      <alignment horizontal="center" vertical="center" wrapText="1"/>
    </xf>
    <xf numFmtId="49" fontId="56" fillId="0" borderId="37" xfId="0" applyFont="1" applyBorder="1" applyNumberFormat="1">
      <alignment horizontal="center" vertical="center" wrapText="1"/>
    </xf>
    <xf numFmtId="0" fontId="56" fillId="0" borderId="0" xfId="0" applyFont="1">
      <alignment horizontal="center" vertical="center" wrapText="1"/>
    </xf>
    <xf numFmtId="0" fontId="23" fillId="0" borderId="24" xfId="0" applyFont="1" applyBorder="1">
      <alignment horizontal="left" vertical="center" wrapText="1"/>
    </xf>
    <xf numFmtId="0" fontId="23" fillId="0" borderId="13" xfId="0" applyFont="1" applyBorder="1">
      <alignment horizontal="left" vertical="center" wrapText="1"/>
    </xf>
    <xf numFmtId="0" fontId="55" fillId="0" borderId="0" xfId="0" applyFont="1">
      <alignment horizontal="center" vertical="top"/>
    </xf>
    <xf numFmtId="0" fontId="56" fillId="0" borderId="0" xfId="0" applyFont="1">
      <alignment horizontal="center" vertical="center" wrapText="1"/>
    </xf>
    <xf numFmtId="49" fontId="56" fillId="0" borderId="24" xfId="0" applyFont="1" applyBorder="1" applyNumberFormat="1">
      <alignment horizontal="center" vertical="center" wrapText="1"/>
    </xf>
    <xf numFmtId="49" fontId="49" fillId="0" borderId="20" xfId="0" applyFont="1" applyBorder="1" applyNumberFormat="1">
      <alignment horizontal="right" vertical="center"/>
    </xf>
    <xf numFmtId="0" fontId="23" fillId="0" borderId="0" xfId="0" applyFont="1">
      <alignment horizontal="right" vertical="center" wrapText="1"/>
    </xf>
    <xf numFmtId="0" fontId="0" fillId="0" borderId="0" xfId="0" applyFont="1">
      <alignment vertical="center"/>
    </xf>
    <xf numFmtId="0" fontId="54" fillId="0" borderId="0" xfId="0" applyFont="1">
      <alignment horizontal="right" vertical="top" wrapText="1"/>
    </xf>
    <xf numFmtId="0" fontId="54" fillId="0" borderId="0" xfId="0" applyFont="1">
      <alignment horizontal="left" vertical="top" wrapText="1"/>
    </xf>
    <xf numFmtId="49" fontId="41" fillId="0" borderId="0" xfId="0" applyFont="1" applyNumberFormat="1">
      <alignment horizontal="center" vertical="center" wrapText="1"/>
    </xf>
    <xf numFmtId="0" fontId="56" fillId="0" borderId="0" xfId="0" applyFont="1">
      <alignment vertical="center" wrapText="1"/>
    </xf>
    <xf numFmtId="0" fontId="41" fillId="0" borderId="0" xfId="0" applyFont="1">
      <alignment vertical="center" wrapText="1"/>
    </xf>
    <xf numFmtId="0" fontId="23" fillId="0" borderId="13" xfId="0" applyFont="1" applyBorder="1">
      <alignment horizontal="center" vertical="center" wrapText="1"/>
    </xf>
    <xf numFmtId="0" fontId="23" fillId="0" borderId="13" xfId="0" applyFont="1" applyBorder="1">
      <alignment horizontal="center" vertical="center" wrapText="1"/>
    </xf>
    <xf numFmtId="0" fontId="23" fillId="38" borderId="15" xfId="0" applyFont="1" applyFill="1" applyBorder="1">
      <alignment horizontal="left" vertical="top" wrapText="1"/>
    </xf>
    <xf numFmtId="0" fontId="56" fillId="0" borderId="15" xfId="0" applyFont="1" applyBorder="1">
      <alignment vertical="center" wrapText="1"/>
    </xf>
    <xf numFmtId="0" fontId="56" fillId="0" borderId="16" xfId="0" applyFont="1" applyBorder="1">
      <alignment horizontal="right" vertical="center" wrapText="1" indent="1"/>
    </xf>
    <xf numFmtId="0" fontId="56" fillId="0" borderId="14" xfId="0" applyFont="1" applyBorder="1">
      <alignment horizontal="right" vertical="center" wrapText="1" indent="1"/>
    </xf>
    <xf numFmtId="0" fontId="56" fillId="0" borderId="15" xfId="0" applyFont="1" applyBorder="1">
      <alignment horizontal="left" vertical="top" wrapText="1"/>
    </xf>
    <xf numFmtId="0" fontId="56" fillId="0" borderId="15" xfId="0" applyFont="1" applyBorder="1">
      <alignment horizontal="left" vertical="top" wrapText="1"/>
    </xf>
    <xf numFmtId="0" fontId="23" fillId="0" borderId="16" xfId="0" applyFont="1" applyBorder="1">
      <alignment horizontal="right" vertical="center" wrapText="1" indent="1"/>
    </xf>
    <xf numFmtId="0" fontId="23" fillId="0" borderId="13" xfId="0" applyFont="1" applyBorder="1">
      <alignment horizontal="center" vertical="center" wrapText="1"/>
    </xf>
    <xf numFmtId="49" fontId="23" fillId="0" borderId="30" xfId="0" applyFont="1" applyBorder="1" applyNumberFormat="1">
      <alignment horizontal="center" vertical="center" wrapText="1"/>
    </xf>
    <xf numFmtId="49" fontId="23" fillId="0" borderId="61" xfId="0" applyFont="1" applyBorder="1" applyNumberFormat="1">
      <alignment horizontal="center" vertical="center" wrapText="1"/>
    </xf>
    <xf numFmtId="49" fontId="23" fillId="0" borderId="62" xfId="0" applyFont="1" applyBorder="1" applyNumberFormat="1">
      <alignment horizontal="center" vertical="center" wrapText="1"/>
    </xf>
    <xf numFmtId="0" fontId="23" fillId="0" borderId="14" xfId="0" applyFont="1" applyBorder="1">
      <alignment horizontal="center" vertical="center" wrapText="1"/>
    </xf>
    <xf numFmtId="4" fontId="23" fillId="41" borderId="18" xfId="0" applyFont="1" applyFill="1" applyBorder="1" applyNumberFormat="1">
      <alignment horizontal="right" vertical="center" wrapText="1"/>
      <protection locked="0"/>
    </xf>
    <xf numFmtId="4" fontId="23" fillId="41" borderId="18" xfId="0" applyFont="1" applyFill="1" applyBorder="1" applyNumberFormat="1">
      <alignment horizontal="right" vertical="center" wrapText="1"/>
      <protection locked="0"/>
    </xf>
    <xf numFmtId="49" fontId="49" fillId="40" borderId="20" xfId="0" applyFont="1" applyFill="1" applyBorder="1" applyNumberFormat="1">
      <alignment horizontal="left" vertical="center" indent="2"/>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23" fillId="0" borderId="0" xfId="0" applyFont="1">
      <alignment horizontal="left" vertical="top" wrapText="1"/>
    </xf>
    <xf numFmtId="0" fontId="23" fillId="0" borderId="13" xfId="0" applyFont="1" applyBorder="1">
      <alignment horizontal="center" vertical="center" wrapText="1"/>
    </xf>
    <xf numFmtId="0" fontId="23" fillId="0" borderId="13" xfId="0" applyFont="1" applyBorder="1">
      <alignment horizontal="center" vertical="center" wrapText="1"/>
    </xf>
    <xf numFmtId="0" fontId="23" fillId="38" borderId="15" xfId="0" applyFont="1" applyFill="1" applyBorder="1">
      <alignment horizontal="left" vertical="top" wrapText="1"/>
    </xf>
    <xf numFmtId="0" fontId="23" fillId="0" borderId="16" xfId="0" applyFont="1" applyBorder="1">
      <alignment horizontal="right" vertical="center" wrapText="1" indent="1"/>
    </xf>
    <xf numFmtId="0" fontId="23" fillId="0" borderId="13" xfId="0" applyFont="1" applyBorder="1">
      <alignment horizontal="center" vertical="center" wrapText="1"/>
    </xf>
    <xf numFmtId="0" fontId="23" fillId="0" borderId="18" xfId="0" applyFont="1" applyBorder="1">
      <alignment horizontal="left" vertical="center" wrapText="1"/>
    </xf>
    <xf numFmtId="49" fontId="0" fillId="0" borderId="13" xfId="0" applyFont="1" applyBorder="1" applyNumberFormat="1">
      <alignment horizontal="left" vertical="center" wrapText="1" indent="1"/>
    </xf>
    <xf numFmtId="49" fontId="0" fillId="0" borderId="13" xfId="0" applyFont="1" applyBorder="1" applyNumberFormat="1">
      <alignment horizontal="left" vertical="center" wrapText="1" indent="2"/>
    </xf>
    <xf numFmtId="49" fontId="23" fillId="0" borderId="60" xfId="0" applyFont="1" applyBorder="1" applyNumberFormat="1">
      <alignment horizontal="center" vertical="center" wrapText="1"/>
    </xf>
    <xf numFmtId="0" fontId="23" fillId="0" borderId="18" xfId="0" applyFont="1" applyBorder="1">
      <alignment horizontal="left" vertical="center" wrapText="1" indent="1"/>
    </xf>
    <xf numFmtId="0" fontId="23" fillId="0" borderId="18" xfId="0" applyFont="1" applyBorder="1">
      <alignment horizontal="center"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0" fontId="55" fillId="40" borderId="14" xfId="0" applyFont="1" applyFill="1" applyBorder="1">
      <alignment vertical="center" wrapText="1"/>
    </xf>
    <xf numFmtId="49" fontId="0" fillId="0" borderId="13" xfId="0" applyFont="1" applyBorder="1" applyNumberFormat="1">
      <alignment vertical="center" wrapText="1"/>
    </xf>
    <xf numFmtId="49" fontId="55" fillId="0" borderId="0" xfId="0" applyFont="1" applyNumberFormat="1">
      <alignment horizontal="center" vertical="center" wrapText="1"/>
    </xf>
    <xf numFmtId="0" fontId="23" fillId="0" borderId="21" xfId="0" applyFont="1" applyBorder="1">
      <alignment horizontal="left" vertical="center" wrapText="1" indent="1"/>
    </xf>
    <xf numFmtId="0" fontId="23" fillId="0" borderId="18" xfId="0" applyFont="1" applyBorder="1">
      <alignment horizontal="left" vertical="center" wrapText="1" indent="1"/>
    </xf>
    <xf numFmtId="0" fontId="23" fillId="0" borderId="38" xfId="0" applyFont="1" applyBorder="1">
      <alignment horizontal="left" vertical="center" wrapText="1" indent="1"/>
    </xf>
    <xf numFmtId="49" fontId="55" fillId="0" borderId="0" xfId="0" applyFont="1" applyNumberFormat="1">
      <alignment horizontal="center" vertical="center" wrapText="1"/>
    </xf>
    <xf numFmtId="0" fontId="23" fillId="0" borderId="31" xfId="0" applyFont="1" applyBorder="1">
      <alignment horizontal="left" vertical="center" wrapText="1" indent="1"/>
    </xf>
    <xf numFmtId="0" fontId="23" fillId="0" borderId="24" xfId="0" applyFont="1" applyBorder="1">
      <alignment horizontal="left" vertical="center" wrapText="1" indent="1"/>
    </xf>
    <xf numFmtId="0" fontId="23" fillId="0" borderId="28" xfId="0" applyFont="1" applyBorder="1">
      <alignment horizontal="left" vertical="center" wrapText="1" indent="1"/>
    </xf>
    <xf numFmtId="0" fontId="23" fillId="0" borderId="0" xfId="0" applyFont="1">
      <alignment vertical="center" wrapText="1"/>
    </xf>
    <xf numFmtId="0" fontId="56" fillId="0" borderId="29" xfId="0" applyFont="1" applyBorder="1">
      <alignment vertical="center" wrapText="1"/>
    </xf>
    <xf numFmtId="0" fontId="56" fillId="0" borderId="29" xfId="0" applyFont="1" applyBorder="1">
      <alignment vertical="center" wrapText="1"/>
    </xf>
    <xf numFmtId="0" fontId="23" fillId="38" borderId="15" xfId="0" applyFont="1" applyFill="1" applyBorder="1">
      <alignment horizontal="left" vertical="top" wrapText="1"/>
    </xf>
    <xf numFmtId="0" fontId="23" fillId="38" borderId="14" xfId="0" applyFont="1" applyFill="1" applyBorder="1">
      <alignment horizontal="left" vertical="top" wrapText="1"/>
    </xf>
    <xf numFmtId="0" fontId="23" fillId="38" borderId="14" xfId="0" applyFont="1" applyFill="1" applyBorder="1">
      <alignment horizontal="left" vertical="top" wrapText="1"/>
    </xf>
    <xf numFmtId="0" fontId="23" fillId="0" borderId="18" xfId="0" applyFont="1" applyBorder="1">
      <alignment horizontal="center" vertical="center" wrapText="1"/>
    </xf>
    <xf numFmtId="49" fontId="55" fillId="0" borderId="0" xfId="0" applyFont="1" applyNumberFormat="1">
      <alignment horizontal="center" vertical="center" wrapText="1"/>
    </xf>
    <xf numFmtId="0" fontId="23" fillId="0" borderId="37" xfId="0" applyFont="1" applyBorder="1">
      <alignment horizontal="center" vertical="center" wrapText="1"/>
    </xf>
    <xf numFmtId="49" fontId="55" fillId="0" borderId="0" xfId="0" applyFont="1" applyNumberFormat="1">
      <alignment horizontal="center" vertical="center" wrapText="1"/>
    </xf>
    <xf numFmtId="0" fontId="23" fillId="0" borderId="16" xfId="0" applyFont="1" applyBorder="1">
      <alignment horizontal="center" vertical="center" wrapText="1"/>
    </xf>
    <xf numFmtId="0" fontId="23" fillId="0" borderId="0" xfId="0" applyFont="1">
      <alignment horizontal="left" vertical="top" wrapText="1"/>
    </xf>
    <xf numFmtId="0" fontId="23" fillId="0" borderId="0" xfId="0" applyFont="1">
      <alignment vertical="top" wrapText="1"/>
    </xf>
    <xf numFmtId="0" fontId="23" fillId="0" borderId="13" xfId="0" applyFont="1" applyBorder="1">
      <alignment horizontal="center" vertical="center" wrapText="1"/>
    </xf>
    <xf numFmtId="0" fontId="23" fillId="0" borderId="13" xfId="0" applyFont="1" applyBorder="1">
      <alignment horizontal="center" vertical="center" wrapText="1"/>
    </xf>
    <xf numFmtId="0" fontId="23" fillId="0" borderId="24" xfId="0" applyFont="1" applyBorder="1">
      <alignment horizontal="center" vertical="center" wrapText="1"/>
    </xf>
    <xf numFmtId="0" fontId="23" fillId="0" borderId="0" xfId="0" applyFont="1">
      <alignment horizontal="left" vertical="top" wrapText="1"/>
    </xf>
    <xf numFmtId="49" fontId="56" fillId="0" borderId="0" xfId="0" applyFont="1" applyNumberFormat="1">
      <alignment horizontal="center" vertical="center" wrapText="1"/>
    </xf>
    <xf numFmtId="0" fontId="56" fillId="0" borderId="0" xfId="0" applyFont="1">
      <alignment horizontal="center" vertical="center" wrapText="1"/>
    </xf>
    <xf numFmtId="0" fontId="56" fillId="0" borderId="0" xfId="0" applyFont="1">
      <alignment horizontal="center" vertical="center" wrapText="1"/>
    </xf>
    <xf numFmtId="49" fontId="23" fillId="55" borderId="0" xfId="0" applyFont="1" applyFill="1" applyNumberFormat="1">
      <alignment horizontal="center" vertical="center" textRotation="90" wrapText="1"/>
    </xf>
    <xf numFmtId="49" fontId="23" fillId="0" borderId="13" xfId="0" applyFont="1" applyBorder="1" applyNumberFormat="1">
      <alignment horizontal="center" vertical="center" wrapText="1"/>
    </xf>
    <xf numFmtId="4" fontId="23" fillId="0" borderId="13" xfId="0" applyFont="1" applyBorder="1" applyNumberFormat="1">
      <alignment horizontal="center" vertical="center" wrapText="1"/>
    </xf>
    <xf numFmtId="49" fontId="29" fillId="33" borderId="15" xfId="0" applyFont="1" applyFill="1" applyBorder="1" applyNumberFormat="1">
      <alignment horizontal="left" vertical="center" wrapText="1"/>
      <protection locked="0"/>
    </xf>
    <xf numFmtId="49" fontId="29" fillId="33" borderId="15" xfId="0" applyFont="1" applyFill="1" applyBorder="1" applyNumberFormat="1">
      <alignment horizontal="left" vertical="center" wrapText="1"/>
      <protection locked="0"/>
    </xf>
    <xf numFmtId="0" fontId="78" fillId="0" borderId="23" xfId="0" applyFont="1" applyBorder="1">
      <alignment vertical="center" wrapText="1"/>
    </xf>
    <xf numFmtId="49" fontId="29" fillId="33" borderId="15" xfId="0" applyFont="1" applyFill="1" applyBorder="1" applyNumberFormat="1">
      <alignment horizontal="left" vertical="center" wrapText="1"/>
      <protection locked="0"/>
    </xf>
    <xf numFmtId="0" fontId="23" fillId="0" borderId="13" xfId="0" applyFont="1" applyBorder="1">
      <alignment horizontal="center" vertical="center" wrapText="1"/>
    </xf>
    <xf numFmtId="49" fontId="23" fillId="41" borderId="13" xfId="0" applyFont="1" applyFill="1" applyBorder="1" applyNumberFormat="1">
      <alignment horizontal="left" vertical="center" wrapText="1"/>
      <protection locked="0"/>
    </xf>
    <xf numFmtId="49" fontId="23" fillId="41" borderId="13" xfId="0" applyFont="1" applyFill="1" applyBorder="1" applyNumberFormat="1">
      <alignment horizontal="left" vertical="center" wrapText="1"/>
      <protection locked="0"/>
    </xf>
    <xf numFmtId="0" fontId="46" fillId="0" borderId="0" xfId="0" applyFont="1">
      <alignment horizontal="center" vertical="center" wrapText="1"/>
    </xf>
    <xf numFmtId="0" fontId="23" fillId="0" borderId="18" xfId="0" applyFont="1" applyBorder="1">
      <alignment horizontal="center" vertical="center" wrapText="1"/>
    </xf>
    <xf numFmtId="0" fontId="23" fillId="0" borderId="15" xfId="0" applyFont="1" applyBorder="1">
      <alignment horizontal="center" vertical="center" wrapText="1"/>
    </xf>
    <xf numFmtId="0" fontId="23" fillId="0" borderId="13" xfId="0" applyFont="1" applyBorder="1">
      <alignment horizontal="left" vertical="center" wrapText="1" indent="2"/>
    </xf>
    <xf numFmtId="3" fontId="54" fillId="33" borderId="13" xfId="0" applyFont="1" applyFill="1" applyBorder="1" applyNumberFormat="1">
      <alignment horizontal="right" vertical="center"/>
      <protection locked="0"/>
    </xf>
    <xf numFmtId="3" fontId="54" fillId="33" borderId="13" xfId="0" applyFont="1" applyFill="1" applyBorder="1" applyNumberFormat="1">
      <alignment horizontal="right" vertical="center"/>
      <protection locked="0"/>
    </xf>
    <xf numFmtId="0" fontId="54" fillId="0" borderId="0" xfId="0" applyFont="1">
      <alignment vertical="center" wrapText="1"/>
    </xf>
    <xf numFmtId="0" fontId="54" fillId="0" borderId="0" xfId="0" applyFont="1">
      <alignment vertical="center" wrapText="1"/>
    </xf>
    <xf numFmtId="49" fontId="55" fillId="0" borderId="0" xfId="0" applyFont="1" applyNumberFormat="1">
      <alignment horizontal="center" vertical="center" wrapText="1"/>
    </xf>
    <xf numFmtId="0" fontId="23" fillId="0" borderId="0" xfId="0" applyFont="1">
      <alignment vertical="top" wrapText="1"/>
    </xf>
    <xf numFmtId="0" fontId="23" fillId="0" borderId="0" xfId="0" applyFont="1">
      <alignment vertical="top"/>
    </xf>
    <xf numFmtId="49" fontId="29" fillId="0" borderId="13" xfId="0" applyFont="1" applyBorder="1" applyNumberFormat="1">
      <alignment horizontal="left" vertical="center" wrapText="1"/>
    </xf>
    <xf numFmtId="49" fontId="29" fillId="0" borderId="13" xfId="0" applyFont="1" applyBorder="1" applyNumberFormat="1">
      <alignment horizontal="left" vertical="center" wrapText="1"/>
    </xf>
    <xf numFmtId="49" fontId="23" fillId="0" borderId="33" xfId="0" applyFont="1" applyBorder="1" applyNumberFormat="1">
      <alignment horizontal="center" vertical="center" wrapText="1"/>
    </xf>
    <xf numFmtId="0" fontId="23" fillId="0" borderId="33" xfId="0" applyFont="1" applyBorder="1">
      <alignment horizontal="left" vertical="center" wrapText="1"/>
    </xf>
    <xf numFmtId="4" fontId="23" fillId="0" borderId="41" xfId="0" applyFont="1" applyBorder="1" applyNumberFormat="1">
      <alignment horizontal="center" vertical="center" wrapText="1"/>
    </xf>
    <xf numFmtId="49" fontId="29" fillId="0" borderId="28" xfId="0" applyFont="1" applyBorder="1" applyNumberFormat="1">
      <alignment horizontal="left" vertical="center" wrapText="1"/>
    </xf>
    <xf numFmtId="4" fontId="23" fillId="0" borderId="41" xfId="0" applyFont="1" applyBorder="1" applyNumberFormat="1">
      <alignment horizontal="center" vertical="center" wrapText="1"/>
    </xf>
    <xf numFmtId="49" fontId="29" fillId="0" borderId="28" xfId="0" applyFont="1" applyBorder="1" applyNumberFormat="1">
      <alignment horizontal="left" vertical="center" wrapText="1"/>
    </xf>
    <xf numFmtId="49" fontId="23" fillId="0" borderId="32" xfId="0" applyFont="1" applyBorder="1" applyNumberFormat="1">
      <alignment horizontal="center" vertical="center" wrapText="1"/>
    </xf>
    <xf numFmtId="0" fontId="23" fillId="0" borderId="34" xfId="0" applyFont="1" applyBorder="1">
      <alignment horizontal="left" vertical="center" wrapText="1" indent="1"/>
    </xf>
    <xf numFmtId="4" fontId="23" fillId="41" borderId="32" xfId="0" applyFont="1" applyFill="1" applyBorder="1" applyNumberFormat="1">
      <alignment horizontal="right" vertical="center" wrapText="1"/>
      <protection locked="0"/>
    </xf>
    <xf numFmtId="49" fontId="29" fillId="0" borderId="15" xfId="0" applyFont="1" applyBorder="1" applyNumberFormat="1">
      <alignment horizontal="left" vertical="center" wrapText="1"/>
    </xf>
    <xf numFmtId="4" fontId="23" fillId="41" borderId="32" xfId="0" applyFont="1" applyFill="1" applyBorder="1" applyNumberFormat="1">
      <alignment horizontal="right" vertical="center" wrapText="1"/>
      <protection locked="0"/>
    </xf>
    <xf numFmtId="49" fontId="29" fillId="0" borderId="15" xfId="0" applyFont="1" applyBorder="1" applyNumberFormat="1">
      <alignment horizontal="left" vertical="center" wrapText="1"/>
    </xf>
    <xf numFmtId="4" fontId="23" fillId="0" borderId="18" xfId="0" applyFont="1" applyBorder="1" applyNumberFormat="1">
      <alignment horizontal="center" vertical="center" wrapText="1"/>
    </xf>
    <xf numFmtId="4" fontId="23" fillId="41" borderId="36" xfId="0" applyFont="1" applyFill="1" applyBorder="1" applyNumberFormat="1">
      <alignment horizontal="right" vertical="center" wrapText="1"/>
      <protection locked="0"/>
    </xf>
    <xf numFmtId="4" fontId="23" fillId="41" borderId="36" xfId="0" applyFont="1" applyFill="1" applyBorder="1" applyNumberFormat="1">
      <alignment horizontal="right" vertical="center" wrapText="1"/>
      <protection locked="0"/>
    </xf>
    <xf numFmtId="0" fontId="23" fillId="0" borderId="34" xfId="0" applyFont="1" applyBorder="1">
      <alignment horizontal="left" vertical="center" wrapText="1"/>
    </xf>
    <xf numFmtId="49" fontId="29" fillId="0" borderId="16" xfId="0" applyFont="1" applyBorder="1" applyNumberFormat="1">
      <alignment horizontal="left" vertical="center" wrapText="1"/>
    </xf>
    <xf numFmtId="4" fontId="23" fillId="0" borderId="13" xfId="0" applyFont="1" applyBorder="1" applyNumberFormat="1">
      <alignment horizontal="center" vertical="center" wrapText="1"/>
    </xf>
    <xf numFmtId="49" fontId="29" fillId="0" borderId="16" xfId="0" applyFont="1" applyBorder="1" applyNumberFormat="1">
      <alignment horizontal="left" vertical="center" wrapText="1"/>
    </xf>
    <xf numFmtId="0" fontId="23" fillId="0" borderId="32" xfId="0" applyFont="1" applyBorder="1">
      <alignment horizontal="left" vertical="center" wrapText="1" indent="1"/>
    </xf>
    <xf numFmtId="4" fontId="23" fillId="0" borderId="33" xfId="0" applyFont="1" applyBorder="1" applyNumberFormat="1">
      <alignment horizontal="center" vertical="center" wrapText="1"/>
    </xf>
    <xf numFmtId="4" fontId="23" fillId="41" borderId="24" xfId="0" applyFont="1" applyFill="1" applyBorder="1" applyNumberFormat="1">
      <alignment horizontal="right" vertical="center" wrapText="1"/>
      <protection locked="0"/>
    </xf>
    <xf numFmtId="0" fontId="23" fillId="0" borderId="32" xfId="0" applyFont="1" applyBorder="1">
      <alignment horizontal="left" vertical="center" wrapText="1"/>
    </xf>
    <xf numFmtId="0" fontId="23" fillId="0" borderId="32" xfId="0" applyFont="1" applyBorder="1">
      <alignment horizontal="left" vertical="center" wrapText="1" indent="2"/>
    </xf>
    <xf numFmtId="4" fontId="23" fillId="0" borderId="32" xfId="0" applyFont="1" applyBorder="1" applyNumberFormat="1">
      <alignment horizontal="center" vertical="center" wrapText="1"/>
    </xf>
    <xf numFmtId="49" fontId="23" fillId="0" borderId="35" xfId="0" applyFont="1" applyBorder="1" applyNumberFormat="1">
      <alignment horizontal="center" vertical="center" wrapText="1"/>
    </xf>
    <xf numFmtId="49" fontId="29" fillId="41" borderId="13" xfId="0" applyFont="1" applyFill="1" applyBorder="1" applyNumberFormat="1">
      <alignment horizontal="left" vertical="center" wrapText="1"/>
      <protection locked="0"/>
    </xf>
    <xf numFmtId="0" fontId="23" fillId="0" borderId="36" xfId="0" applyFont="1" applyBorder="1">
      <alignment horizontal="left" vertical="center" wrapText="1"/>
    </xf>
    <xf numFmtId="4" fontId="23" fillId="0" borderId="36" xfId="0" applyFont="1" applyBorder="1" applyNumberFormat="1">
      <alignment horizontal="center" vertical="center" wrapText="1"/>
    </xf>
    <xf numFmtId="49" fontId="29" fillId="0" borderId="38" xfId="0" applyFont="1" applyBorder="1" applyNumberFormat="1">
      <alignment horizontal="left" vertical="center" wrapText="1"/>
    </xf>
    <xf numFmtId="49" fontId="29" fillId="0" borderId="38" xfId="0" applyFont="1" applyBorder="1" applyNumberFormat="1">
      <alignment horizontal="left" vertical="center" wrapText="1"/>
    </xf>
    <xf numFmtId="49" fontId="23" fillId="0" borderId="34" xfId="0" applyFont="1" applyBorder="1" applyNumberFormat="1">
      <alignment horizontal="center" vertical="center" wrapText="1"/>
    </xf>
    <xf numFmtId="4" fontId="23" fillId="41" borderId="15" xfId="0" applyFont="1" applyFill="1" applyBorder="1" applyNumberFormat="1">
      <alignment horizontal="right" vertical="center" wrapText="1"/>
      <protection locked="0"/>
    </xf>
    <xf numFmtId="4" fontId="23" fillId="41" borderId="15" xfId="0" applyFont="1" applyFill="1" applyBorder="1" applyNumberFormat="1">
      <alignment horizontal="right" vertical="center" wrapText="1"/>
      <protection locked="0"/>
    </xf>
    <xf numFmtId="4" fontId="23" fillId="41" borderId="34" xfId="0" applyFont="1" applyFill="1" applyBorder="1" applyNumberFormat="1">
      <alignment horizontal="right" vertical="center" wrapText="1"/>
      <protection locked="0"/>
    </xf>
    <xf numFmtId="4" fontId="23" fillId="0" borderId="34" xfId="0" applyFont="1" applyBorder="1" applyNumberFormat="1">
      <alignment horizontal="center" vertical="center" wrapText="1"/>
    </xf>
    <xf numFmtId="4" fontId="23" fillId="41" borderId="35" xfId="0" applyFont="1" applyFill="1" applyBorder="1" applyNumberFormat="1">
      <alignment horizontal="right" vertical="center" wrapText="1"/>
      <protection locked="0"/>
    </xf>
    <xf numFmtId="4" fontId="23" fillId="41" borderId="35" xfId="0" applyFont="1" applyFill="1" applyBorder="1" applyNumberFormat="1">
      <alignment horizontal="right" vertical="center" wrapText="1"/>
      <protection locked="0"/>
    </xf>
    <xf numFmtId="49" fontId="29" fillId="41" borderId="15" xfId="0" applyFont="1" applyFill="1" applyBorder="1" applyNumberFormat="1">
      <alignment horizontal="left" vertical="center" wrapText="1"/>
      <protection locked="0"/>
    </xf>
    <xf numFmtId="49" fontId="55" fillId="0" borderId="0" xfId="0" applyFont="1" applyNumberFormat="1">
      <alignment horizontal="center" vertical="center" wrapText="1"/>
    </xf>
    <xf numFmtId="49" fontId="55" fillId="0" borderId="0" xfId="0" applyFont="1" applyNumberFormat="1">
      <alignment horizontal="center" vertical="center" wrapText="1"/>
    </xf>
    <xf numFmtId="0" fontId="41" fillId="0" borderId="0" xfId="0" applyFont="1">
      <alignment vertical="center" wrapText="1"/>
    </xf>
    <xf numFmtId="0" fontId="23" fillId="0" borderId="20" xfId="0" applyFont="1" applyBorder="1">
      <alignment horizontal="left" vertical="center" wrapText="1" indent="1"/>
    </xf>
    <xf numFmtId="0" fontId="23" fillId="0" borderId="0" xfId="0" applyFont="1">
      <alignment vertical="center" wrapText="1"/>
    </xf>
    <xf numFmtId="0" fontId="23" fillId="0" borderId="0" xfId="0" applyFont="1">
      <alignment vertical="center" wrapText="1"/>
    </xf>
    <xf numFmtId="0" fontId="23" fillId="0" borderId="29" xfId="0" applyFont="1" applyBorder="1">
      <alignment horizontal="left" vertical="center" wrapText="1" indent="1"/>
    </xf>
    <xf numFmtId="0" fontId="23" fillId="0" borderId="0" xfId="0" applyFont="1">
      <alignment vertical="center" wrapText="1"/>
    </xf>
    <xf numFmtId="49" fontId="55" fillId="0" borderId="0" xfId="0" applyFont="1" applyNumberFormat="1">
      <alignment horizontal="center" vertical="center" wrapText="1"/>
    </xf>
    <xf numFmtId="49" fontId="104" fillId="0" borderId="0" xfId="0" applyFont="1" applyNumberFormat="1">
      <alignment horizontal="center" vertical="center" wrapText="1"/>
    </xf>
    <xf numFmtId="0" fontId="23" fillId="36" borderId="13" xfId="0" applyFont="1" applyFill="1" applyBorder="1">
      <alignment horizontal="center" vertical="center" wrapText="1"/>
    </xf>
    <xf numFmtId="0" fontId="0" fillId="36" borderId="15" xfId="0" applyFont="1" applyFill="1" applyBorder="1">
      <alignment horizontal="center" vertical="center" wrapText="1"/>
    </xf>
    <xf numFmtId="0" fontId="0" fillId="36" borderId="16" xfId="0" applyFont="1" applyFill="1" applyBorder="1">
      <alignment horizontal="center" vertical="center" wrapText="1"/>
    </xf>
    <xf numFmtId="0" fontId="0" fillId="36" borderId="14" xfId="0" applyFont="1" applyFill="1" applyBorder="1">
      <alignment horizontal="center" vertical="center" wrapText="1"/>
    </xf>
    <xf numFmtId="0" fontId="0" fillId="36" borderId="18" xfId="0" applyFont="1" applyFill="1" applyBorder="1">
      <alignment horizontal="center" vertical="center" wrapText="1"/>
    </xf>
    <xf numFmtId="0" fontId="23" fillId="36" borderId="18" xfId="0" applyFont="1" applyFill="1" applyBorder="1">
      <alignment horizontal="center" vertical="center" wrapText="1"/>
    </xf>
    <xf numFmtId="0" fontId="0" fillId="36" borderId="18" xfId="0" applyFont="1" applyFill="1" applyBorder="1">
      <alignment horizontal="center" vertical="center" wrapText="1"/>
    </xf>
    <xf numFmtId="0" fontId="0" fillId="36" borderId="38" xfId="0" applyFont="1" applyFill="1" applyBorder="1">
      <alignment horizontal="center" vertical="center" wrapText="1"/>
    </xf>
    <xf numFmtId="0" fontId="23" fillId="0" borderId="13" xfId="0" applyFont="1" applyBorder="1">
      <alignment horizontal="center" vertical="center" wrapText="1"/>
    </xf>
    <xf numFmtId="0" fontId="56" fillId="0" borderId="0" xfId="0" applyFont="1">
      <alignment horizontal="center" vertical="center" wrapText="1"/>
    </xf>
    <xf numFmtId="49" fontId="56" fillId="0" borderId="13" xfId="0" applyFont="1" applyBorder="1" applyNumberFormat="1">
      <alignment horizontal="center" vertical="center" wrapText="1"/>
    </xf>
    <xf numFmtId="0" fontId="0" fillId="0" borderId="13" xfId="0" applyFont="1" applyBorder="1">
      <alignment horizontal="left" vertical="center" wrapText="1" indent="1"/>
    </xf>
    <xf numFmtId="49" fontId="0" fillId="0" borderId="13" xfId="0" applyFont="1" applyBorder="1" applyNumberFormat="1">
      <alignment horizontal="center" vertical="center" wrapText="1"/>
    </xf>
    <xf numFmtId="49" fontId="23" fillId="0" borderId="13" xfId="0" applyFont="1" applyBorder="1" applyNumberFormat="1">
      <alignment horizontal="left" vertical="center" wrapText="1"/>
    </xf>
    <xf numFmtId="49" fontId="23" fillId="0" borderId="13" xfId="0" applyFont="1" applyBorder="1" applyNumberFormat="1">
      <alignment horizontal="left" vertical="center" wrapText="1"/>
    </xf>
    <xf numFmtId="49" fontId="23" fillId="0" borderId="13" xfId="0" applyFont="1" applyBorder="1" applyNumberFormat="1">
      <alignment horizontal="center" vertical="center" wrapText="1"/>
    </xf>
    <xf numFmtId="49" fontId="56" fillId="0" borderId="0" xfId="0" applyFont="1" applyNumberFormat="1">
      <alignment horizontal="center" vertical="center" wrapText="1"/>
    </xf>
    <xf numFmtId="49" fontId="23" fillId="0" borderId="15" xfId="0" applyFont="1" applyBorder="1" applyNumberFormat="1">
      <alignment horizontal="center" vertical="center" wrapText="1"/>
    </xf>
    <xf numFmtId="49" fontId="49" fillId="40" borderId="15" xfId="0" applyFont="1" applyFill="1" applyBorder="1" applyNumberFormat="1">
      <alignment horizontal="left" vertical="center" indent="1"/>
    </xf>
    <xf numFmtId="0" fontId="23" fillId="40" borderId="31" xfId="0" applyFont="1" applyFill="1" applyBorder="1">
      <alignment vertical="center" wrapText="1"/>
    </xf>
    <xf numFmtId="49" fontId="55" fillId="0" borderId="0" xfId="0" applyFont="1" applyNumberFormat="1">
      <alignment horizontal="center" vertical="center" wrapText="1"/>
    </xf>
    <xf numFmtId="0" fontId="55" fillId="0" borderId="0" xfId="0" applyFont="1">
      <alignment vertical="center" wrapText="1"/>
    </xf>
    <xf numFmtId="0" fontId="55" fillId="0" borderId="0" xfId="0" applyFont="1">
      <alignment vertical="center" wrapText="1"/>
    </xf>
    <xf numFmtId="0" fontId="55" fillId="0" borderId="0" xfId="0" applyFont="1">
      <alignment vertical="center" wrapText="1"/>
    </xf>
    <xf numFmtId="0" fontId="41" fillId="0" borderId="0" xfId="0" applyFont="1">
      <alignment vertical="center" wrapText="1"/>
    </xf>
    <xf numFmtId="0" fontId="41" fillId="0" borderId="0" xfId="0" applyFont="1">
      <alignment vertical="center" wrapText="1"/>
    </xf>
    <xf numFmtId="0" fontId="41" fillId="0" borderId="0" xfId="0" applyFont="1">
      <alignment vertical="center" wrapText="1"/>
    </xf>
    <xf numFmtId="0" fontId="23" fillId="0" borderId="29" xfId="0" applyFont="1" applyBorder="1">
      <alignment horizontal="left" vertical="center" wrapText="1" indent="1"/>
    </xf>
    <xf numFmtId="0" fontId="23" fillId="0" borderId="0" xfId="0" applyFont="1">
      <alignment horizontal="left" vertical="center" wrapText="1" indent="3"/>
    </xf>
    <xf numFmtId="0" fontId="23" fillId="36" borderId="0" xfId="0" applyFont="1" applyFill="1">
      <alignment vertical="center" wrapText="1"/>
    </xf>
    <xf numFmtId="0" fontId="23" fillId="36" borderId="40" xfId="0" applyFont="1" applyFill="1" applyBorder="1">
      <alignment vertical="center" wrapText="1"/>
    </xf>
    <xf numFmtId="0" fontId="23" fillId="36" borderId="40" xfId="0" applyFont="1" applyFill="1" applyBorder="1">
      <alignment vertical="center" wrapText="1"/>
    </xf>
    <xf numFmtId="49" fontId="76" fillId="0" borderId="40" xfId="0" applyFont="1" applyBorder="1" applyNumberFormat="1">
      <alignment vertical="top"/>
    </xf>
    <xf numFmtId="49" fontId="76" fillId="0" borderId="40" xfId="0" applyFont="1" applyBorder="1" applyNumberFormat="1">
      <alignment vertical="top"/>
    </xf>
    <xf numFmtId="0" fontId="35" fillId="36" borderId="40" xfId="0" applyFont="1" applyFill="1" applyBorder="1">
      <alignment horizontal="center" wrapText="1"/>
    </xf>
    <xf numFmtId="0" fontId="35" fillId="36" borderId="40" xfId="0" applyFont="1" applyFill="1" applyBorder="1">
      <alignment horizontal="center" wrapText="1"/>
    </xf>
    <xf numFmtId="0" fontId="23" fillId="36" borderId="40" xfId="0" applyFont="1" applyFill="1" applyBorder="1">
      <alignment vertical="center" wrapText="1"/>
    </xf>
    <xf numFmtId="0" fontId="23" fillId="36" borderId="40" xfId="0" applyFont="1" applyFill="1" applyBorder="1">
      <alignment vertical="center" wrapText="1"/>
    </xf>
    <xf numFmtId="49" fontId="23" fillId="0" borderId="0" xfId="0" applyFont="1" applyNumberFormat="1">
      <alignment vertical="top"/>
    </xf>
    <xf numFmtId="0" fontId="23" fillId="0" borderId="63" xfId="0" applyFont="1" applyBorder="1">
      <alignment horizontal="center" vertical="center"/>
    </xf>
    <xf numFmtId="0" fontId="23" fillId="0" borderId="64" xfId="0" applyFont="1" applyBorder="1">
      <alignment horizontal="center" vertical="center"/>
    </xf>
    <xf numFmtId="0" fontId="23" fillId="0" borderId="70" xfId="0" applyFont="1" applyBorder="1">
      <alignment horizontal="center" vertical="center"/>
    </xf>
    <xf numFmtId="0" fontId="23" fillId="0" borderId="39" xfId="0" applyFont="1" applyBorder="1">
      <alignment vertical="center" wrapText="1"/>
    </xf>
    <xf numFmtId="0" fontId="23" fillId="36" borderId="13" xfId="0" applyFont="1" applyFill="1" applyBorder="1">
      <alignment horizontal="center" vertical="center" wrapText="1"/>
    </xf>
    <xf numFmtId="0" fontId="23" fillId="36" borderId="38" xfId="0" applyFont="1" applyFill="1" applyBorder="1">
      <alignment horizontal="center" vertical="center" wrapText="1"/>
    </xf>
    <xf numFmtId="0" fontId="23" fillId="36" borderId="21" xfId="0" applyFont="1" applyFill="1" applyBorder="1">
      <alignment horizontal="center" vertical="center" wrapText="1"/>
    </xf>
    <xf numFmtId="0" fontId="23" fillId="0" borderId="13" xfId="0" applyFont="1" applyBorder="1">
      <alignment horizontal="center" vertical="center" wrapText="1"/>
    </xf>
    <xf numFmtId="0" fontId="23" fillId="0" borderId="0" xfId="0" applyFont="1">
      <alignment vertical="center" wrapText="1"/>
    </xf>
    <xf numFmtId="0" fontId="23" fillId="36" borderId="0" xfId="0" applyFont="1" applyFill="1">
      <alignment vertical="center" wrapText="1"/>
    </xf>
    <xf numFmtId="0" fontId="23" fillId="36" borderId="23" xfId="0" applyFont="1" applyFill="1" applyBorder="1">
      <alignment horizontal="center" vertical="center" wrapText="1"/>
    </xf>
    <xf numFmtId="0" fontId="23" fillId="36" borderId="25" xfId="0" applyFont="1" applyFill="1" applyBorder="1">
      <alignment horizontal="center" vertical="center" wrapText="1"/>
    </xf>
    <xf numFmtId="0" fontId="23" fillId="0" borderId="23" xfId="0" applyFont="1" applyBorder="1">
      <alignment horizontal="center" vertical="center" wrapText="1"/>
    </xf>
    <xf numFmtId="49" fontId="23" fillId="0" borderId="0" xfId="0" applyFont="1" applyNumberFormat="1">
      <alignment vertical="top"/>
    </xf>
    <xf numFmtId="0" fontId="23" fillId="0" borderId="0" xfId="0" applyFont="1">
      <alignment vertical="center" wrapText="1"/>
    </xf>
    <xf numFmtId="49" fontId="104" fillId="0" borderId="0" xfId="0" applyFont="1" applyNumberFormat="1">
      <alignment horizontal="center" vertical="center" wrapText="1"/>
    </xf>
    <xf numFmtId="0" fontId="23" fillId="36" borderId="0" xfId="0" applyFont="1" applyFill="1">
      <alignment vertical="center" wrapText="1"/>
    </xf>
    <xf numFmtId="0" fontId="0" fillId="0" borderId="13" xfId="0" applyFont="1" applyBorder="1">
      <alignment horizontal="center" vertical="center" wrapText="1"/>
    </xf>
    <xf numFmtId="49" fontId="23" fillId="0" borderId="0" xfId="0" applyFont="1" applyNumberFormat="1">
      <alignment vertical="top"/>
    </xf>
    <xf numFmtId="0" fontId="23" fillId="36" borderId="28" xfId="0" applyFont="1" applyFill="1" applyBorder="1">
      <alignment horizontal="center" vertical="center" wrapText="1"/>
    </xf>
    <xf numFmtId="0" fontId="23" fillId="36" borderId="31" xfId="0" applyFont="1" applyFill="1" applyBorder="1">
      <alignment horizontal="center" vertical="center" wrapText="1"/>
    </xf>
    <xf numFmtId="0" fontId="23" fillId="0" borderId="13" xfId="0" applyFont="1" applyBorder="1">
      <alignment horizontal="center" vertical="center" wrapText="1"/>
    </xf>
    <xf numFmtId="0" fontId="0" fillId="0" borderId="13" xfId="0" applyFont="1" applyBorder="1">
      <alignment horizontal="center" vertical="center" wrapText="1"/>
    </xf>
    <xf numFmtId="0" fontId="23" fillId="0" borderId="13" xfId="0" applyFont="1" applyBorder="1">
      <alignment horizontal="center" vertical="center" wrapText="1"/>
    </xf>
    <xf numFmtId="0" fontId="23" fillId="0" borderId="13" xfId="0" applyFont="1" applyBorder="1">
      <alignment horizontal="center" vertical="center" wrapText="1"/>
    </xf>
    <xf numFmtId="0" fontId="23" fillId="36" borderId="0" xfId="0" applyFont="1" applyFill="1">
      <alignment vertical="center" wrapText="1"/>
    </xf>
    <xf numFmtId="0" fontId="23" fillId="0" borderId="0" xfId="0" applyFont="1">
      <alignment vertical="center" wrapText="1"/>
    </xf>
    <xf numFmtId="0" fontId="23" fillId="0" borderId="0" xfId="0" applyFont="1">
      <alignment vertical="center" wrapText="1"/>
    </xf>
    <xf numFmtId="0" fontId="23" fillId="0" borderId="0" xfId="0" applyFont="1">
      <alignment vertical="center" wrapText="1"/>
    </xf>
    <xf numFmtId="0" fontId="23" fillId="0" borderId="0" xfId="0" applyFont="1">
      <alignment vertical="center"/>
    </xf>
    <xf numFmtId="0" fontId="23" fillId="0" borderId="0" xfId="0" applyFont="1">
      <alignment vertical="center"/>
    </xf>
    <xf numFmtId="49" fontId="23" fillId="0" borderId="0" xfId="0" applyFont="1" applyNumberFormat="1">
      <alignment vertical="top"/>
    </xf>
    <xf numFmtId="49" fontId="23" fillId="0" borderId="0" xfId="0" applyFont="1" applyNumberFormat="1">
      <alignment vertical="top"/>
    </xf>
    <xf numFmtId="49" fontId="23" fillId="0" borderId="0" xfId="0" applyFont="1" applyNumberFormat="1">
      <alignment vertical="top"/>
    </xf>
    <xf numFmtId="0" fontId="23" fillId="0" borderId="0" xfId="0" applyFont="1">
      <alignment horizontal="left" vertical="center" wrapText="1"/>
    </xf>
    <xf numFmtId="0" fontId="23" fillId="0" borderId="0" xfId="0" applyFont="1">
      <alignment vertical="center" wrapText="1"/>
    </xf>
    <xf numFmtId="0" fontId="23" fillId="0" borderId="0" xfId="0" applyFont="1">
      <alignment vertical="center" wrapText="1"/>
    </xf>
    <xf numFmtId="0" fontId="41" fillId="0" borderId="0" xfId="0" applyFont="1">
      <alignment vertical="center" wrapText="1"/>
    </xf>
    <xf numFmtId="0" fontId="23" fillId="36" borderId="20" xfId="0" applyFont="1" applyFill="1" applyBorder="1">
      <alignment vertical="center" wrapText="1"/>
    </xf>
    <xf numFmtId="49" fontId="56" fillId="0" borderId="0" xfId="0" applyFont="1" applyNumberFormat="1">
      <alignment vertical="top"/>
    </xf>
    <xf numFmtId="0" fontId="56" fillId="0" borderId="40" xfId="0" applyFont="1" applyBorder="1">
      <alignment vertical="center" wrapText="1"/>
    </xf>
    <xf numFmtId="0" fontId="23" fillId="0" borderId="76" xfId="0" applyFont="1" applyBorder="1">
      <alignment horizontal="center" vertical="center"/>
    </xf>
    <xf numFmtId="0" fontId="23" fillId="0" borderId="44" xfId="0" applyFont="1" applyBorder="1">
      <alignment horizontal="center" vertical="center"/>
    </xf>
    <xf numFmtId="0" fontId="23" fillId="0" borderId="39" xfId="0" applyFont="1" applyBorder="1">
      <alignment vertical="center"/>
    </xf>
    <xf numFmtId="49" fontId="0" fillId="0" borderId="18" xfId="0" applyFont="1" applyBorder="1" applyNumberFormat="1">
      <alignment horizontal="center" vertical="center" wrapText="1"/>
    </xf>
    <xf numFmtId="49" fontId="0" fillId="0" borderId="13" xfId="0" applyFont="1" applyBorder="1" applyNumberFormat="1">
      <alignment horizontal="center" vertical="center"/>
    </xf>
    <xf numFmtId="49" fontId="0" fillId="0" borderId="13" xfId="0" applyFont="1" applyBorder="1" applyNumberFormat="1">
      <alignment horizontal="center" vertical="center" wrapText="1"/>
    </xf>
    <xf numFmtId="49" fontId="23" fillId="0" borderId="23" xfId="0" applyFont="1" applyBorder="1" applyNumberFormat="1">
      <alignment vertical="top"/>
    </xf>
    <xf numFmtId="49" fontId="0" fillId="0" borderId="37" xfId="0" applyFont="1" applyBorder="1" applyNumberFormat="1">
      <alignment horizontal="center" vertical="center" wrapText="1"/>
    </xf>
    <xf numFmtId="0" fontId="0" fillId="38" borderId="13" xfId="0" applyFont="1" applyFill="1" applyBorder="1">
      <alignment horizontal="center" vertical="center" wrapText="1"/>
    </xf>
    <xf numFmtId="49" fontId="0" fillId="0" borderId="24" xfId="0" applyFont="1" applyBorder="1" applyNumberFormat="1">
      <alignment horizontal="center" vertical="center" wrapText="1"/>
    </xf>
    <xf numFmtId="49" fontId="0" fillId="0" borderId="13" xfId="0" applyFont="1" applyBorder="1" applyNumberFormat="1">
      <alignment horizontal="center" vertical="center"/>
    </xf>
    <xf numFmtId="49" fontId="0" fillId="38" borderId="13" xfId="0" applyFont="1" applyFill="1" applyBorder="1" applyNumberFormat="1">
      <alignment horizontal="center" vertical="center"/>
    </xf>
    <xf numFmtId="0" fontId="23" fillId="0" borderId="23" xfId="0" applyFont="1" applyBorder="1">
      <alignment vertical="center" wrapText="1"/>
    </xf>
    <xf numFmtId="49" fontId="0" fillId="0" borderId="13" xfId="0" applyFont="1" applyBorder="1" applyNumberFormat="1">
      <alignment horizontal="center" vertical="center" wrapText="1"/>
    </xf>
    <xf numFmtId="49" fontId="0" fillId="0" borderId="13" xfId="0" applyFont="1" applyBorder="1" applyNumberFormat="1">
      <alignment vertical="center" wrapText="1"/>
    </xf>
    <xf numFmtId="49" fontId="0" fillId="0" borderId="13" xfId="0" applyFont="1" applyBorder="1" applyNumberFormat="1">
      <alignment horizontal="center" vertical="center"/>
    </xf>
    <xf numFmtId="4" fontId="0" fillId="38" borderId="13" xfId="0" applyFont="1" applyFill="1" applyBorder="1" applyNumberFormat="1">
      <alignment horizontal="right" vertical="center" wrapText="1"/>
    </xf>
    <xf numFmtId="49" fontId="0" fillId="0" borderId="13" xfId="0" applyFont="1" applyBorder="1" applyNumberFormat="1">
      <alignment horizontal="left" vertical="center" wrapText="1" indent="2"/>
    </xf>
    <xf numFmtId="4" fontId="0" fillId="33" borderId="13" xfId="0" applyFont="1" applyFill="1" applyBorder="1" applyNumberFormat="1">
      <alignment horizontal="right" vertical="center" wrapText="1"/>
      <protection locked="0"/>
    </xf>
    <xf numFmtId="49" fontId="0" fillId="0" borderId="13" xfId="0" applyFont="1" applyBorder="1" applyNumberFormat="1">
      <alignment horizontal="center" vertical="center" wrapText="1"/>
    </xf>
    <xf numFmtId="49" fontId="0" fillId="0" borderId="13" xfId="0" applyFont="1" applyBorder="1" applyNumberFormat="1">
      <alignment horizontal="left" vertical="center" wrapText="1"/>
    </xf>
    <xf numFmtId="49" fontId="0" fillId="0" borderId="13" xfId="0" applyFont="1" applyBorder="1" applyNumberFormat="1">
      <alignment horizontal="left" vertical="center" wrapText="1" indent="3"/>
    </xf>
    <xf numFmtId="49" fontId="0" fillId="0" borderId="13" xfId="0" applyFont="1" applyBorder="1" applyNumberFormat="1">
      <alignment horizontal="left" vertical="center" wrapText="1"/>
    </xf>
    <xf numFmtId="49" fontId="55" fillId="0" borderId="0" xfId="0" applyFont="1" applyNumberFormat="1">
      <alignment horizontal="center" vertical="center" wrapText="1"/>
    </xf>
    <xf numFmtId="49" fontId="54" fillId="0" borderId="0" xfId="0" applyFont="1" applyNumberFormat="1">
      <alignment vertical="center"/>
    </xf>
    <xf numFmtId="49" fontId="105" fillId="0" borderId="0" xfId="0" applyFont="1" applyNumberFormat="1">
      <alignment vertical="center" wrapText="1"/>
    </xf>
    <xf numFmtId="49" fontId="54" fillId="0" borderId="0" xfId="0" applyFont="1" applyNumberFormat="1">
      <alignment vertical="center" wrapText="1"/>
    </xf>
    <xf numFmtId="49" fontId="54" fillId="0" borderId="0" xfId="0" applyFont="1" applyNumberFormat="1">
      <alignment vertical="top"/>
    </xf>
    <xf numFmtId="49" fontId="54" fillId="0" borderId="0" xfId="0" applyFont="1" applyNumberFormat="1">
      <alignment vertical="center" wrapText="1"/>
    </xf>
    <xf numFmtId="49" fontId="23" fillId="0" borderId="0" xfId="0" applyFont="1" applyNumberFormat="1">
      <alignment horizontal="center" vertical="center" wrapText="1"/>
    </xf>
    <xf numFmtId="49" fontId="41" fillId="0" borderId="0" xfId="0" applyFont="1" applyNumberFormat="1">
      <alignment horizontal="center" vertical="center" wrapText="1"/>
    </xf>
    <xf numFmtId="49" fontId="23" fillId="36" borderId="0" xfId="0" applyFont="1" applyFill="1" applyNumberFormat="1">
      <alignment horizontal="center" vertical="center" wrapText="1"/>
    </xf>
    <xf numFmtId="0" fontId="23" fillId="0" borderId="21" xfId="0" applyFont="1" applyBorder="1">
      <alignment horizontal="left" vertical="center" wrapText="1" indent="1"/>
    </xf>
    <xf numFmtId="0" fontId="23" fillId="0" borderId="18" xfId="0" applyFont="1" applyBorder="1">
      <alignment horizontal="left" vertical="center" wrapText="1" indent="1"/>
    </xf>
    <xf numFmtId="0" fontId="23" fillId="0" borderId="31" xfId="0" applyFont="1" applyBorder="1">
      <alignment horizontal="left" vertical="center" wrapText="1" indent="1"/>
    </xf>
    <xf numFmtId="0" fontId="23" fillId="0" borderId="24" xfId="0" applyFont="1" applyBorder="1">
      <alignment horizontal="left" vertical="center" wrapText="1" indent="1"/>
    </xf>
    <xf numFmtId="49" fontId="54" fillId="0" borderId="0" xfId="0" applyFont="1" applyNumberFormat="1">
      <alignment horizontal="center" vertical="center" wrapText="1"/>
    </xf>
    <xf numFmtId="49" fontId="105" fillId="0" borderId="0" xfId="0" applyFont="1" applyNumberFormat="1">
      <alignment horizontal="center" vertical="center" wrapText="1"/>
    </xf>
    <xf numFmtId="49" fontId="54" fillId="0" borderId="0" xfId="0" applyFont="1" applyNumberFormat="1">
      <alignment horizontal="center" vertical="center" wrapText="1"/>
    </xf>
    <xf numFmtId="0" fontId="54" fillId="0" borderId="0" xfId="0" applyFont="1">
      <alignment horizontal="center" vertical="center" wrapText="1"/>
    </xf>
    <xf numFmtId="49" fontId="54" fillId="0" borderId="0" xfId="0" applyFont="1" applyNumberFormat="1">
      <alignment horizontal="center" vertical="center" wrapText="1"/>
    </xf>
    <xf numFmtId="49" fontId="105" fillId="0" borderId="0" xfId="0" applyFont="1" applyNumberFormat="1">
      <alignment horizontal="center" vertical="center" wrapText="1"/>
    </xf>
    <xf numFmtId="49" fontId="23" fillId="0" borderId="0" xfId="0" applyFont="1" applyNumberFormat="1">
      <alignment horizontal="center" vertical="center" wrapText="1"/>
    </xf>
    <xf numFmtId="0" fontId="23" fillId="0" borderId="0" xfId="0" applyFont="1">
      <alignment horizontal="center" vertical="center" wrapText="1"/>
    </xf>
    <xf numFmtId="0" fontId="23" fillId="50" borderId="15" xfId="0" applyFont="1" applyFill="1" applyBorder="1">
      <alignment horizontal="center" vertical="center" wrapText="1"/>
    </xf>
    <xf numFmtId="0" fontId="23" fillId="50" borderId="16" xfId="0" applyFont="1" applyFill="1" applyBorder="1">
      <alignment horizontal="center" vertical="center" wrapText="1"/>
    </xf>
    <xf numFmtId="0" fontId="23" fillId="50" borderId="14" xfId="0" applyFont="1" applyFill="1" applyBorder="1">
      <alignment horizontal="center" vertical="center" wrapText="1"/>
    </xf>
    <xf numFmtId="49" fontId="55" fillId="48" borderId="15" xfId="0" applyFont="1" applyFill="1" applyBorder="1" applyNumberFormat="1">
      <alignment horizontal="center" vertical="center" wrapText="1"/>
    </xf>
    <xf numFmtId="49" fontId="55" fillId="48" borderId="16" xfId="0" applyFont="1" applyFill="1" applyBorder="1" applyNumberFormat="1">
      <alignment horizontal="center" vertical="center" wrapText="1"/>
    </xf>
    <xf numFmtId="49" fontId="55" fillId="48" borderId="14" xfId="0" applyFont="1" applyFill="1" applyBorder="1" applyNumberFormat="1">
      <alignment horizontal="center" vertical="center" wrapText="1"/>
    </xf>
    <xf numFmtId="49" fontId="55" fillId="51" borderId="15" xfId="0" applyFont="1" applyFill="1" applyBorder="1" applyNumberFormat="1">
      <alignment horizontal="center" vertical="center" wrapText="1"/>
    </xf>
    <xf numFmtId="49" fontId="55" fillId="51" borderId="16" xfId="0" applyFont="1" applyFill="1" applyBorder="1" applyNumberFormat="1">
      <alignment horizontal="center" vertical="center" wrapText="1"/>
    </xf>
    <xf numFmtId="49" fontId="55" fillId="51" borderId="14" xfId="0" applyFont="1" applyFill="1" applyBorder="1" applyNumberFormat="1">
      <alignment horizontal="center" vertical="center" wrapText="1"/>
    </xf>
    <xf numFmtId="49" fontId="23" fillId="52" borderId="15" xfId="0" applyFont="1" applyFill="1" applyBorder="1" applyNumberFormat="1">
      <alignment horizontal="center" vertical="center" wrapText="1"/>
    </xf>
    <xf numFmtId="49" fontId="23" fillId="52" borderId="16" xfId="0" applyFont="1" applyFill="1" applyBorder="1" applyNumberFormat="1">
      <alignment horizontal="center" vertical="center" wrapText="1"/>
    </xf>
    <xf numFmtId="49" fontId="23" fillId="34" borderId="20" xfId="0" applyFont="1" applyFill="1" applyBorder="1" applyNumberFormat="1">
      <alignment horizontal="center" vertical="center" wrapText="1"/>
    </xf>
    <xf numFmtId="49" fontId="23" fillId="34" borderId="0" xfId="0" applyFont="1" applyFill="1" applyNumberFormat="1">
      <alignment horizontal="center" vertical="center" wrapText="1"/>
    </xf>
    <xf numFmtId="49" fontId="23" fillId="0" borderId="15" xfId="0" applyFont="1" applyBorder="1" applyNumberFormat="1">
      <alignment horizontal="center" vertical="center" wrapText="1"/>
    </xf>
    <xf numFmtId="49" fontId="23" fillId="0" borderId="16" xfId="0" applyFont="1" applyBorder="1" applyNumberFormat="1">
      <alignment horizontal="center" vertical="center" wrapText="1"/>
    </xf>
    <xf numFmtId="49" fontId="23" fillId="0" borderId="14" xfId="0" applyFont="1" applyBorder="1" applyNumberFormat="1">
      <alignment horizontal="center" vertical="center" wrapText="1"/>
    </xf>
    <xf numFmtId="49" fontId="54" fillId="36" borderId="0" xfId="0" applyFont="1" applyFill="1" applyNumberFormat="1">
      <alignment vertical="center" wrapText="1"/>
    </xf>
    <xf numFmtId="49" fontId="23" fillId="36" borderId="13" xfId="0" applyFont="1" applyFill="1" applyBorder="1" applyNumberFormat="1">
      <alignment horizontal="center" vertical="center" wrapText="1"/>
    </xf>
    <xf numFmtId="49" fontId="23" fillId="36" borderId="13" xfId="0" applyFont="1" applyFill="1" applyBorder="1" applyNumberFormat="1">
      <alignment horizontal="center" vertical="center" wrapText="1"/>
    </xf>
    <xf numFmtId="49" fontId="23" fillId="34" borderId="13" xfId="0" applyFont="1" applyFill="1" applyBorder="1" applyNumberFormat="1">
      <alignment horizontal="center" vertical="center" wrapText="1"/>
    </xf>
    <xf numFmtId="0" fontId="23" fillId="36" borderId="13" xfId="0" applyFont="1" applyFill="1" applyBorder="1">
      <alignment horizontal="center" vertical="center" wrapText="1"/>
    </xf>
    <xf numFmtId="0" fontId="23" fillId="34" borderId="13" xfId="0" applyFont="1" applyFill="1" applyBorder="1">
      <alignment horizontal="center" vertical="center" wrapText="1"/>
    </xf>
    <xf numFmtId="0" fontId="23" fillId="34" borderId="15" xfId="0" applyFont="1" applyFill="1" applyBorder="1">
      <alignment horizontal="center" vertical="center" wrapText="1"/>
    </xf>
    <xf numFmtId="0" fontId="23" fillId="36" borderId="15" xfId="0" applyFont="1" applyFill="1" applyBorder="1">
      <alignment horizontal="center" vertical="center" wrapText="1"/>
    </xf>
    <xf numFmtId="0" fontId="23" fillId="36" borderId="16" xfId="0" applyFont="1" applyFill="1" applyBorder="1">
      <alignment horizontal="center" vertical="center" wrapText="1"/>
    </xf>
    <xf numFmtId="0" fontId="23" fillId="36" borderId="14" xfId="0" applyFont="1" applyFill="1" applyBorder="1">
      <alignment horizontal="center" vertical="center" wrapText="1"/>
    </xf>
    <xf numFmtId="0" fontId="23" fillId="34" borderId="14" xfId="0" applyFont="1" applyFill="1" applyBorder="1">
      <alignment horizontal="center" vertical="center" wrapText="1"/>
    </xf>
    <xf numFmtId="49" fontId="23" fillId="0" borderId="0" xfId="0" applyFont="1" applyNumberFormat="1">
      <alignment vertical="center" wrapText="1"/>
    </xf>
    <xf numFmtId="49" fontId="54" fillId="0" borderId="0" xfId="0" applyFont="1" applyNumberFormat="1">
      <alignment vertical="top"/>
    </xf>
    <xf numFmtId="0" fontId="23" fillId="36" borderId="38" xfId="0" applyFont="1" applyFill="1" applyBorder="1">
      <alignment horizontal="center" vertical="center" wrapText="1"/>
    </xf>
    <xf numFmtId="0" fontId="23" fillId="36" borderId="21" xfId="0" applyFont="1" applyFill="1" applyBorder="1">
      <alignment horizontal="center" vertical="center" wrapText="1"/>
    </xf>
    <xf numFmtId="0" fontId="23" fillId="0" borderId="13" xfId="0" applyFont="1" applyBorder="1">
      <alignment horizontal="center" vertical="center" wrapText="1"/>
    </xf>
    <xf numFmtId="0" fontId="23" fillId="36" borderId="23" xfId="0" applyFont="1" applyFill="1" applyBorder="1">
      <alignment horizontal="center" vertical="center" wrapText="1"/>
    </xf>
    <xf numFmtId="0" fontId="23" fillId="36" borderId="25" xfId="0" applyFont="1" applyFill="1" applyBorder="1">
      <alignment horizontal="center" vertical="center" wrapText="1"/>
    </xf>
    <xf numFmtId="0" fontId="23" fillId="36" borderId="28" xfId="0" applyFont="1" applyFill="1" applyBorder="1">
      <alignment horizontal="center" vertical="center" wrapText="1"/>
    </xf>
    <xf numFmtId="0" fontId="23" fillId="36" borderId="31" xfId="0" applyFont="1" applyFill="1" applyBorder="1">
      <alignment horizontal="center" vertical="center" wrapText="1"/>
    </xf>
    <xf numFmtId="0" fontId="23" fillId="36" borderId="13" xfId="0" applyFont="1" applyFill="1" applyBorder="1">
      <alignment horizontal="center" vertical="center" wrapText="1"/>
    </xf>
    <xf numFmtId="49" fontId="23" fillId="34" borderId="29" xfId="0" applyFont="1" applyFill="1" applyBorder="1" applyNumberFormat="1">
      <alignment horizontal="center" vertical="center" wrapText="1"/>
    </xf>
    <xf numFmtId="49" fontId="54" fillId="0" borderId="0" xfId="0" applyFont="1" applyNumberFormat="1">
      <alignment vertical="center"/>
    </xf>
    <xf numFmtId="49" fontId="45" fillId="0" borderId="13" xfId="0" applyFont="1" applyBorder="1" applyNumberFormat="1">
      <alignment horizontal="center" vertical="center"/>
    </xf>
    <xf numFmtId="49" fontId="45" fillId="34" borderId="13" xfId="0" applyFont="1" applyFill="1" applyBorder="1" applyNumberFormat="1">
      <alignment horizontal="center" vertical="center"/>
    </xf>
    <xf numFmtId="0" fontId="45" fillId="0" borderId="13" xfId="0" applyFont="1" applyBorder="1">
      <alignment horizontal="center" vertical="center"/>
    </xf>
    <xf numFmtId="49" fontId="45" fillId="0" borderId="24" xfId="0" applyFont="1" applyBorder="1" applyNumberFormat="1">
      <alignment horizontal="center" vertical="center"/>
    </xf>
    <xf numFmtId="49" fontId="23" fillId="0" borderId="0" xfId="0" applyFont="1" applyNumberFormat="1">
      <alignment vertical="center"/>
    </xf>
    <xf numFmtId="49" fontId="55" fillId="0" borderId="18" xfId="0" applyFont="1" applyBorder="1" applyNumberFormat="1">
      <alignment horizontal="center" vertical="center"/>
    </xf>
    <xf numFmtId="49" fontId="23" fillId="0" borderId="18" xfId="0" applyFont="1" applyBorder="1" applyNumberFormat="1">
      <alignment horizontal="center" vertical="center"/>
    </xf>
    <xf numFmtId="0" fontId="23" fillId="0" borderId="18" xfId="0" applyFont="1" applyBorder="1">
      <alignment horizontal="right" vertical="center"/>
    </xf>
    <xf numFmtId="0" fontId="23" fillId="0" borderId="18" xfId="0" applyFont="1" applyBorder="1">
      <alignment horizontal="center" vertical="center"/>
    </xf>
    <xf numFmtId="4" fontId="54" fillId="36" borderId="0" xfId="0" applyFont="1" applyFill="1" applyNumberFormat="1">
      <alignment vertical="center"/>
    </xf>
    <xf numFmtId="49" fontId="54" fillId="0" borderId="0" xfId="0" applyFont="1" applyNumberFormat="1">
      <alignment vertical="center" wrapText="1"/>
    </xf>
    <xf numFmtId="49" fontId="54" fillId="0" borderId="0" xfId="0" applyFont="1" applyNumberFormat="1">
      <alignment vertical="top"/>
    </xf>
    <xf numFmtId="0" fontId="54" fillId="0" borderId="0" xfId="0" applyFont="1">
      <alignment vertical="center" wrapText="1"/>
    </xf>
    <xf numFmtId="49" fontId="100" fillId="0" borderId="0" xfId="0" applyFont="1" applyNumberFormat="1">
      <alignment vertical="center" wrapText="1"/>
    </xf>
    <xf numFmtId="49" fontId="54" fillId="0" borderId="0" xfId="0" applyFont="1" applyNumberFormat="1">
      <alignment vertical="center" wrapText="1"/>
    </xf>
    <xf numFmtId="49" fontId="105" fillId="0" borderId="0" xfId="0" applyFont="1" applyNumberFormat="1">
      <alignment vertical="center" wrapText="1"/>
    </xf>
    <xf numFmtId="0" fontId="23" fillId="36" borderId="13" xfId="0" applyFont="1" applyFill="1" applyBorder="1">
      <alignment horizontal="left" vertical="center" wrapText="1"/>
    </xf>
    <xf numFmtId="0" fontId="23" fillId="0" borderId="0" xfId="0" applyFont="1">
      <alignment horizontal="center" vertical="center" wrapText="1"/>
    </xf>
    <xf numFmtId="0" fontId="56" fillId="0" borderId="0" xfId="0" applyFont="1">
      <alignment horizontal="center" vertical="center" wrapText="1"/>
    </xf>
    <xf numFmtId="49" fontId="23" fillId="0" borderId="13" xfId="0" applyFont="1" applyBorder="1" applyNumberFormat="1">
      <alignment horizontal="left" vertical="center" wrapText="1"/>
    </xf>
    <xf numFmtId="0" fontId="56" fillId="0" borderId="0" xfId="0" applyFont="1">
      <alignment horizontal="center" vertical="center"/>
    </xf>
    <xf numFmtId="0" fontId="55" fillId="0" borderId="0" xfId="0" applyFont="1">
      <alignment horizontal="center" vertical="center" wrapText="1"/>
    </xf>
    <xf numFmtId="0" fontId="23" fillId="0" borderId="0" xfId="0" applyFont="1">
      <alignment horizontal="right" vertical="center" wrapText="1"/>
    </xf>
    <xf numFmtId="0" fontId="23" fillId="0" borderId="18" xfId="0" applyFont="1" applyBorder="1">
      <alignment horizontal="center" vertical="center" wrapText="1"/>
    </xf>
    <xf numFmtId="0" fontId="0" fillId="0" borderId="13" xfId="0" applyFont="1" applyBorder="1">
      <alignment horizontal="center" vertical="center" wrapText="1"/>
    </xf>
    <xf numFmtId="0" fontId="86" fillId="36" borderId="20" xfId="0" applyFont="1" applyFill="1" applyBorder="1">
      <alignment horizontal="center" vertical="center" wrapText="1"/>
    </xf>
    <xf numFmtId="0" fontId="55" fillId="0" borderId="0" xfId="0" applyFont="1">
      <alignment horizontal="center" vertical="center" wrapText="1"/>
    </xf>
    <xf numFmtId="49" fontId="23" fillId="0" borderId="0" xfId="0" applyFont="1" applyNumberFormat="1">
      <alignment vertical="center" wrapText="1"/>
    </xf>
    <xf numFmtId="49" fontId="23" fillId="42" borderId="13" xfId="0" applyFont="1" applyFill="1" applyBorder="1" applyNumberFormat="1">
      <alignment horizontal="center" vertical="center" wrapText="1"/>
    </xf>
    <xf numFmtId="49" fontId="23" fillId="36" borderId="13" xfId="0" applyFont="1" applyFill="1" applyBorder="1" applyNumberFormat="1">
      <alignment horizontal="center" vertical="center" wrapText="1"/>
    </xf>
    <xf numFmtId="49" fontId="23" fillId="41" borderId="13" xfId="0" applyFont="1" applyFill="1" applyBorder="1" applyNumberFormat="1">
      <alignment horizontal="left" vertical="center" wrapText="1" indent="1"/>
      <protection locked="0"/>
    </xf>
    <xf numFmtId="49" fontId="56" fillId="0" borderId="13" xfId="0" applyFont="1" applyBorder="1" applyNumberFormat="1">
      <alignment horizontal="center" vertical="center" wrapText="1"/>
    </xf>
    <xf numFmtId="0" fontId="23" fillId="36" borderId="13" xfId="0" applyFont="1" applyFill="1" applyBorder="1">
      <alignment horizontal="center" vertical="center" wrapText="1"/>
    </xf>
    <xf numFmtId="0" fontId="23" fillId="0" borderId="0" xfId="0" applyFont="1">
      <alignment horizontal="left" vertical="top" wrapText="1"/>
    </xf>
    <xf numFmtId="0" fontId="41" fillId="0" borderId="0" xfId="0" applyFont="1">
      <alignment vertical="center" wrapText="1"/>
    </xf>
    <xf numFmtId="0" fontId="46" fillId="36" borderId="0" xfId="0" applyFont="1" applyFill="1">
      <alignment horizontal="center" vertical="center" wrapText="1"/>
    </xf>
    <xf numFmtId="0" fontId="23" fillId="36" borderId="0" xfId="0" applyFont="1" applyFill="1"/>
    <xf numFmtId="49" fontId="41" fillId="0" borderId="0" xfId="0" applyFont="1" applyNumberFormat="1">
      <alignment vertical="top"/>
    </xf>
    <xf numFmtId="49" fontId="23" fillId="0" borderId="0" xfId="0" applyFont="1" applyNumberFormat="1">
      <alignment vertical="top"/>
    </xf>
    <xf numFmtId="49" fontId="46" fillId="0" borderId="0" xfId="0" applyFont="1" applyNumberFormat="1">
      <alignment horizontal="center" vertical="center"/>
    </xf>
    <xf numFmtId="0" fontId="52" fillId="36" borderId="0" xfId="0" applyFont="1" applyFill="1">
      <alignment horizontal="center" vertical="center" wrapText="1"/>
    </xf>
    <xf numFmtId="0" fontId="41" fillId="36" borderId="0" xfId="0" applyFont="1" applyFill="1"/>
    <xf numFmtId="0" fontId="23" fillId="36" borderId="13" xfId="0" applyFont="1" applyFill="1" applyBorder="1">
      <alignment horizontal="center" vertical="center" wrapText="1"/>
    </xf>
    <xf numFmtId="0" fontId="23" fillId="36" borderId="13" xfId="0" applyFont="1" applyFill="1" applyBorder="1">
      <alignment horizontal="center" vertical="center" wrapText="1"/>
    </xf>
    <xf numFmtId="49" fontId="23" fillId="0" borderId="0" xfId="0" applyFont="1" applyNumberFormat="1">
      <alignment vertical="top"/>
    </xf>
    <xf numFmtId="49" fontId="49" fillId="40" borderId="16" xfId="0" applyFont="1" applyFill="1" applyBorder="1" applyNumberFormat="1">
      <alignment horizontal="left" vertical="center"/>
    </xf>
    <xf numFmtId="49" fontId="53" fillId="40" borderId="16" xfId="0" applyFont="1" applyFill="1" applyBorder="1" applyNumberFormat="1">
      <alignment horizontal="center" vertical="top"/>
    </xf>
    <xf numFmtId="49" fontId="53" fillId="40" borderId="14" xfId="0" applyFont="1" applyFill="1" applyBorder="1" applyNumberFormat="1">
      <alignment horizontal="center" vertical="top"/>
    </xf>
    <xf numFmtId="49" fontId="23" fillId="0" borderId="0" xfId="0" applyFont="1" applyNumberFormat="1">
      <alignment horizontal="left" vertical="top" wrapText="1"/>
    </xf>
    <xf numFmtId="49" fontId="23" fillId="0" borderId="0" xfId="0" applyFont="1" applyNumberFormat="1">
      <alignment vertical="top"/>
    </xf>
    <xf numFmtId="49" fontId="46" fillId="0" borderId="0" xfId="0" applyFont="1" applyNumberFormat="1">
      <alignment horizontal="center" vertical="center"/>
    </xf>
    <xf numFmtId="49" fontId="23" fillId="0" borderId="0" xfId="0" applyFont="1" applyNumberFormat="1">
      <alignment vertical="top"/>
    </xf>
    <xf numFmtId="0" fontId="46" fillId="36" borderId="0" xfId="0" applyFont="1" applyFill="1">
      <alignment horizontal="center" vertical="center"/>
    </xf>
    <xf numFmtId="0" fontId="23" fillId="36" borderId="0" xfId="0" applyFont="1" applyFill="1"/>
    <xf numFmtId="0" fontId="23" fillId="0" borderId="14" xfId="0" applyFont="1" applyBorder="1">
      <alignment horizontal="left" vertical="center" wrapText="1" indent="1"/>
    </xf>
    <xf numFmtId="0" fontId="23" fillId="0" borderId="15" xfId="0" applyFont="1" applyBorder="1">
      <alignment horizontal="left" vertical="center" wrapText="1" indent="1"/>
    </xf>
    <xf numFmtId="0" fontId="70" fillId="0" borderId="0" xfId="0" applyFont="1"/>
    <xf numFmtId="0" fontId="23" fillId="0" borderId="13" xfId="0" applyFont="1" applyBorder="1">
      <alignment horizontal="center" vertical="center" wrapText="1"/>
    </xf>
    <xf numFmtId="0" fontId="23" fillId="36" borderId="18" xfId="0" applyFont="1" applyFill="1" applyBorder="1">
      <alignment horizontal="center" vertical="center"/>
    </xf>
    <xf numFmtId="49" fontId="23" fillId="0" borderId="18" xfId="0" applyFont="1" applyBorder="1" applyNumberFormat="1">
      <alignment horizontal="left" vertical="center" wrapText="1"/>
    </xf>
    <xf numFmtId="49" fontId="35" fillId="40" borderId="15" xfId="0" applyFont="1" applyFill="1" applyBorder="1" applyNumberFormat="1">
      <alignment horizontal="center" vertical="center"/>
    </xf>
    <xf numFmtId="49" fontId="49" fillId="40" borderId="14" xfId="0" applyFont="1" applyFill="1" applyBorder="1" applyNumberFormat="1">
      <alignment horizontal="left" vertical="center"/>
    </xf>
    <xf numFmtId="49" fontId="54" fillId="0" borderId="0" xfId="0" applyFont="1" applyNumberFormat="1">
      <alignment horizontal="right" vertical="top"/>
    </xf>
    <xf numFmtId="49" fontId="23" fillId="0" borderId="0" xfId="0" applyFont="1" applyNumberFormat="1">
      <alignment horizontal="left" vertical="top" wrapText="1"/>
    </xf>
    <xf numFmtId="49" fontId="54" fillId="0" borderId="0" xfId="0" applyFont="1" applyNumberFormat="1">
      <alignment vertical="top"/>
    </xf>
    <xf numFmtId="0" fontId="46" fillId="0" borderId="0" xfId="0" applyFont="1">
      <alignment horizontal="center" vertical="center"/>
    </xf>
    <xf numFmtId="49" fontId="23" fillId="36" borderId="13" xfId="0" applyFont="1" applyFill="1" applyBorder="1" applyNumberFormat="1">
      <alignment horizontal="center" vertical="center"/>
    </xf>
    <xf numFmtId="49" fontId="23" fillId="41" borderId="13" xfId="0" applyFont="1" applyFill="1" applyBorder="1" applyNumberFormat="1">
      <alignment horizontal="left" vertical="center" wrapText="1"/>
      <protection locked="0"/>
    </xf>
    <xf numFmtId="0" fontId="23" fillId="41" borderId="13" xfId="0" applyFont="1" applyFill="1" applyBorder="1">
      <alignment horizontal="center" vertical="center" wrapText="1"/>
      <protection locked="0"/>
    </xf>
    <xf numFmtId="0" fontId="55" fillId="36" borderId="0" xfId="0" applyFont="1" applyFill="1"/>
    <xf numFmtId="49" fontId="23" fillId="36" borderId="13" xfId="0" applyFont="1" applyFill="1" applyBorder="1" applyNumberFormat="1">
      <alignment horizontal="center" vertical="center" wrapText="1"/>
    </xf>
    <xf numFmtId="0" fontId="0" fillId="36" borderId="13" xfId="0" applyFont="1" applyFill="1" applyBorder="1">
      <alignment horizontal="center" vertical="center" wrapText="1"/>
    </xf>
    <xf numFmtId="0" fontId="74" fillId="36" borderId="0" xfId="0" applyFont="1" applyFill="1"/>
    <xf numFmtId="0" fontId="23" fillId="36" borderId="13" xfId="0" applyFont="1" applyFill="1" applyBorder="1">
      <alignment horizontal="left" vertical="center" wrapText="1"/>
    </xf>
    <xf numFmtId="0" fontId="23" fillId="0" borderId="13" xfId="0" applyFont="1" applyBorder="1">
      <alignment horizontal="center" vertical="center" wrapText="1"/>
    </xf>
    <xf numFmtId="49" fontId="23" fillId="0" borderId="13" xfId="0" applyFont="1" applyBorder="1" applyNumberFormat="1">
      <alignment horizontal="center" vertical="center"/>
    </xf>
    <xf numFmtId="0" fontId="23" fillId="0" borderId="13" xfId="0" applyFont="1" applyBorder="1">
      <alignment horizontal="left" vertical="center" wrapText="1" indent="1"/>
    </xf>
    <xf numFmtId="0" fontId="23" fillId="0" borderId="13" xfId="0" applyFont="1" applyBorder="1">
      <alignment vertical="center" wrapText="1"/>
    </xf>
    <xf numFmtId="0" fontId="23" fillId="36" borderId="13" xfId="0" applyFont="1" applyFill="1" applyBorder="1">
      <alignment horizontal="left" vertical="center" wrapText="1" indent="1"/>
    </xf>
    <xf numFmtId="49" fontId="23" fillId="33" borderId="13" xfId="0" applyFont="1" applyFill="1" applyBorder="1" applyNumberFormat="1">
      <alignment horizontal="left" vertical="center" wrapText="1"/>
      <protection locked="0"/>
    </xf>
    <xf numFmtId="0" fontId="56" fillId="36" borderId="0" xfId="0" applyFont="1" applyFill="1">
      <alignment horizontal="center" vertical="center" wrapText="1"/>
    </xf>
    <xf numFmtId="0" fontId="23" fillId="36" borderId="25" xfId="0" applyFont="1" applyFill="1" applyBorder="1">
      <alignment horizontal="center" vertical="center" wrapText="1"/>
    </xf>
    <xf numFmtId="0" fontId="0" fillId="36" borderId="18" xfId="0" applyFont="1" applyFill="1" applyBorder="1">
      <alignment horizontal="left" vertical="top" wrapText="1"/>
    </xf>
    <xf numFmtId="0" fontId="73" fillId="36" borderId="0" xfId="0" applyFont="1" applyFill="1"/>
    <xf numFmtId="0" fontId="79" fillId="36" borderId="0" xfId="0" applyFont="1" applyFill="1">
      <alignment vertical="center" wrapText="1"/>
    </xf>
    <xf numFmtId="0" fontId="56" fillId="36" borderId="13" xfId="0" applyFont="1" applyFill="1" applyBorder="1">
      <alignment horizontal="center" vertical="center"/>
    </xf>
    <xf numFmtId="0" fontId="0" fillId="36" borderId="37" xfId="0" applyFont="1" applyFill="1" applyBorder="1">
      <alignment horizontal="left" vertical="top" wrapText="1"/>
    </xf>
    <xf numFmtId="0" fontId="0" fillId="36" borderId="24" xfId="0" applyFont="1" applyFill="1" applyBorder="1">
      <alignment horizontal="left" vertical="top" wrapText="1"/>
    </xf>
    <xf numFmtId="0" fontId="90" fillId="36" borderId="0" xfId="0" applyFont="1" applyFill="1"/>
    <xf numFmtId="0" fontId="23" fillId="0" borderId="13" xfId="0" applyFont="1" applyBorder="1">
      <alignment horizontal="center" vertical="center" wrapText="1"/>
    </xf>
    <xf numFmtId="49" fontId="23" fillId="42" borderId="13" xfId="0" applyFont="1" applyFill="1" applyBorder="1" applyNumberFormat="1">
      <alignment horizontal="left" vertical="center" wrapText="1"/>
    </xf>
    <xf numFmtId="14" fontId="23" fillId="41" borderId="13" xfId="0" applyFont="1" applyFill="1" applyBorder="1" applyNumberFormat="1">
      <alignment horizontal="left" vertical="center" wrapText="1" indent="1"/>
      <protection locked="0"/>
    </xf>
    <xf numFmtId="0" fontId="119" fillId="0" borderId="0" xfId="0" applyFont="1">
      <alignment vertical="center"/>
    </xf>
    <xf numFmtId="0" fontId="46" fillId="0" borderId="0" xfId="0" applyFont="1">
      <alignment horizontal="center" vertical="center" wrapText="1"/>
    </xf>
    <xf numFmtId="4" fontId="23" fillId="0" borderId="18" xfId="0" applyFont="1" applyBorder="1" applyNumberFormat="1">
      <alignment horizontal="center" vertical="center" wrapText="1"/>
    </xf>
    <xf numFmtId="249" fontId="23" fillId="0" borderId="38" xfId="0" applyFont="1" applyBorder="1" applyNumberFormat="1">
      <alignment horizontal="center" vertical="center" wrapText="1"/>
    </xf>
    <xf numFmtId="249" fontId="23" fillId="0" borderId="18" xfId="0" applyFont="1" applyBorder="1" applyNumberFormat="1">
      <alignment horizontal="center" vertical="center" wrapText="1"/>
    </xf>
    <xf numFmtId="4" fontId="23" fillId="0" borderId="24" xfId="0" applyFont="1" applyBorder="1" applyNumberFormat="1">
      <alignment horizontal="center" vertical="center" wrapText="1"/>
    </xf>
    <xf numFmtId="14" fontId="23" fillId="42" borderId="13" xfId="0" applyFont="1" applyFill="1" applyBorder="1" applyNumberFormat="1">
      <alignment horizontal="left" vertical="center" wrapText="1"/>
    </xf>
    <xf numFmtId="49" fontId="23" fillId="0" borderId="21" xfId="0" applyFont="1" applyBorder="1" applyNumberFormat="1">
      <alignment horizontal="left" vertical="top" wrapText="1"/>
    </xf>
    <xf numFmtId="49" fontId="35" fillId="40" borderId="28" xfId="0" applyFont="1" applyFill="1" applyBorder="1" applyNumberFormat="1">
      <alignment horizontal="right" vertical="center" wrapText="1"/>
    </xf>
    <xf numFmtId="49" fontId="0" fillId="40" borderId="29" xfId="0" applyFont="1" applyFill="1" applyBorder="1" applyNumberFormat="1">
      <alignment horizontal="right" vertical="center" wrapText="1"/>
    </xf>
    <xf numFmtId="49" fontId="23" fillId="0" borderId="31" xfId="0" applyFont="1" applyBorder="1" applyNumberFormat="1">
      <alignment horizontal="left" vertical="top" wrapText="1"/>
    </xf>
    <xf numFmtId="0" fontId="119" fillId="0" borderId="0" xfId="0" applyFont="1">
      <alignment vertical="center" wrapText="1"/>
    </xf>
    <xf numFmtId="0" fontId="56" fillId="0" borderId="0" xfId="0" applyFont="1">
      <alignment vertical="center"/>
    </xf>
    <xf numFmtId="0" fontId="23" fillId="38" borderId="24" xfId="0" applyFont="1" applyFill="1" applyBorder="1">
      <alignment horizontal="left" vertical="center" wrapText="1" indent="1"/>
    </xf>
    <xf numFmtId="250" fontId="56" fillId="0" borderId="0" xfId="0" applyFont="1" applyNumberFormat="1">
      <alignment horizontal="center" vertical="center" wrapText="1"/>
    </xf>
    <xf numFmtId="249" fontId="23" fillId="0" borderId="18" xfId="0" applyFont="1" applyBorder="1" applyNumberFormat="1">
      <alignment horizontal="center" vertical="center" wrapText="1"/>
    </xf>
    <xf numFmtId="249" fontId="23" fillId="0" borderId="18" xfId="0" applyFont="1" applyBorder="1" applyNumberFormat="1">
      <alignment horizontal="center" vertical="center" wrapText="1"/>
    </xf>
    <xf numFmtId="249" fontId="23" fillId="0" borderId="15" xfId="0" applyFont="1" applyBorder="1" applyNumberFormat="1">
      <alignment horizontal="center" vertical="center" wrapText="1"/>
    </xf>
    <xf numFmtId="249" fontId="23" fillId="0" borderId="16" xfId="0" applyFont="1" applyBorder="1" applyNumberFormat="1">
      <alignment horizontal="center" vertical="center" wrapText="1"/>
    </xf>
    <xf numFmtId="249" fontId="23" fillId="0" borderId="14" xfId="0" applyFont="1" applyBorder="1" applyNumberFormat="1">
      <alignment horizontal="center" vertical="center" wrapText="1"/>
    </xf>
    <xf numFmtId="4" fontId="23" fillId="0" borderId="37" xfId="0" applyFont="1" applyBorder="1" applyNumberFormat="1">
      <alignment horizontal="center" vertical="center" wrapText="1"/>
    </xf>
    <xf numFmtId="249" fontId="23" fillId="0" borderId="24" xfId="0" applyFont="1" applyBorder="1" applyNumberFormat="1">
      <alignment horizontal="center" vertical="center" wrapText="1"/>
    </xf>
    <xf numFmtId="249" fontId="23" fillId="0" borderId="24" xfId="0" applyFont="1" applyBorder="1" applyNumberFormat="1">
      <alignment horizontal="center" vertical="center" wrapText="1"/>
    </xf>
    <xf numFmtId="249" fontId="23" fillId="0" borderId="24" xfId="0" applyFont="1" applyBorder="1" applyNumberFormat="1">
      <alignment horizontal="center" vertical="center" wrapText="1"/>
    </xf>
    <xf numFmtId="14" fontId="23" fillId="41" borderId="24" xfId="0" applyFont="1" applyFill="1" applyBorder="1" applyNumberFormat="1">
      <alignment horizontal="left" vertical="center" wrapText="1" indent="1"/>
      <protection locked="0"/>
    </xf>
    <xf numFmtId="14" fontId="23" fillId="42" borderId="13" xfId="0" applyFont="1" applyFill="1" applyBorder="1" applyNumberFormat="1">
      <alignment horizontal="left" vertical="center" wrapText="1"/>
    </xf>
    <xf numFmtId="49" fontId="23" fillId="42" borderId="15" xfId="0" applyFont="1" applyFill="1" applyBorder="1" applyNumberFormat="1">
      <alignment horizontal="left" vertical="center" wrapText="1"/>
    </xf>
    <xf numFmtId="49" fontId="35" fillId="40" borderId="29" xfId="0" applyFont="1" applyFill="1" applyBorder="1" applyNumberFormat="1">
      <alignment horizontal="right" vertical="center" wrapText="1"/>
    </xf>
    <xf numFmtId="49" fontId="29" fillId="40" borderId="29" xfId="0" applyFont="1" applyFill="1" applyBorder="1" applyNumberFormat="1">
      <alignment horizontal="left" vertical="center" wrapText="1"/>
    </xf>
    <xf numFmtId="49" fontId="29" fillId="40" borderId="24" xfId="0" applyFont="1" applyFill="1" applyBorder="1" applyNumberFormat="1">
      <alignment horizontal="left" vertical="center" wrapText="1"/>
    </xf>
    <xf numFmtId="0" fontId="56" fillId="0" borderId="29" xfId="0" applyFont="1" applyBorder="1">
      <alignment horizontal="center" vertical="center" wrapText="1"/>
    </xf>
    <xf numFmtId="0" fontId="51" fillId="0" borderId="0" xfId="0" applyFont="1">
      <alignment horizontal="center" vertical="center" wrapText="1"/>
    </xf>
    <xf numFmtId="0" fontId="23" fillId="0" borderId="0" xfId="0" applyFont="1">
      <alignment horizontal="center" vertical="center" wrapText="1"/>
    </xf>
    <xf numFmtId="249" fontId="54" fillId="0" borderId="59" xfId="0" applyFont="1" applyBorder="1" applyNumberFormat="1">
      <alignment horizontal="center" vertical="center" wrapText="1"/>
    </xf>
    <xf numFmtId="249" fontId="54" fillId="0" borderId="59" xfId="0" applyFont="1" applyBorder="1" applyNumberFormat="1">
      <alignment horizontal="center" vertical="center" wrapText="1"/>
    </xf>
    <xf numFmtId="249" fontId="54" fillId="0" borderId="58" xfId="0" applyFont="1" applyBorder="1" applyNumberFormat="1">
      <alignment horizontal="center" vertical="center" wrapText="1"/>
    </xf>
    <xf numFmtId="249" fontId="54" fillId="0" borderId="52" xfId="0" applyFont="1" applyBorder="1" applyNumberFormat="1">
      <alignment horizontal="center" vertical="center" wrapText="1"/>
    </xf>
    <xf numFmtId="249" fontId="54" fillId="0" borderId="77" xfId="0" applyFont="1" applyBorder="1" applyNumberFormat="1">
      <alignment horizontal="center" vertical="center" wrapText="1"/>
    </xf>
    <xf numFmtId="0" fontId="56" fillId="0" borderId="0" xfId="0" applyFont="1">
      <alignment horizontal="center" vertical="center"/>
    </xf>
    <xf numFmtId="0" fontId="56" fillId="0" borderId="0" xfId="0" applyFont="1">
      <alignment horizontal="center" vertical="center"/>
    </xf>
    <xf numFmtId="0" fontId="61" fillId="0" borderId="0" xfId="0" applyFont="1">
      <alignment horizontal="center" vertical="center"/>
    </xf>
    <xf numFmtId="0" fontId="23" fillId="0" borderId="24" xfId="0" applyFont="1" applyBorder="1">
      <alignment horizontal="center" vertical="center" wrapText="1"/>
    </xf>
    <xf numFmtId="249" fontId="23" fillId="0" borderId="13" xfId="0" applyFont="1" applyBorder="1" applyNumberFormat="1">
      <alignment horizontal="center" vertical="center" wrapText="1"/>
    </xf>
    <xf numFmtId="249" fontId="23" fillId="0" borderId="13" xfId="0" applyFont="1" applyBorder="1" applyNumberFormat="1">
      <alignment horizontal="center" vertical="center" wrapText="1"/>
    </xf>
    <xf numFmtId="0" fontId="23" fillId="38" borderId="24" xfId="0" applyFont="1" applyFill="1" applyBorder="1">
      <alignment horizontal="left" vertical="center" wrapText="1"/>
    </xf>
    <xf numFmtId="14" fontId="23" fillId="42" borderId="24" xfId="0" applyFont="1" applyFill="1" applyBorder="1" applyNumberFormat="1">
      <alignment horizontal="left" vertical="center" wrapText="1"/>
    </xf>
    <xf numFmtId="49" fontId="23" fillId="42" borderId="28" xfId="0" applyFont="1" applyFill="1" applyBorder="1" applyNumberFormat="1">
      <alignment horizontal="left" vertical="center" wrapText="1"/>
    </xf>
    <xf numFmtId="49" fontId="29" fillId="41" borderId="29" xfId="0" applyFont="1" applyFill="1" applyBorder="1" applyNumberFormat="1">
      <alignment horizontal="left" vertical="center" wrapText="1"/>
      <protection locked="0"/>
    </xf>
    <xf numFmtId="49" fontId="29" fillId="41" borderId="28" xfId="0" applyFont="1" applyFill="1" applyBorder="1" applyNumberFormat="1">
      <alignment horizontal="left" vertical="center" wrapText="1"/>
      <protection locked="0"/>
    </xf>
    <xf numFmtId="49" fontId="29" fillId="41" borderId="24" xfId="0" applyFont="1" applyFill="1" applyBorder="1" applyNumberFormat="1">
      <alignment horizontal="left" vertical="center" wrapText="1"/>
      <protection locked="0"/>
    </xf>
    <xf numFmtId="49" fontId="0" fillId="40" borderId="13" xfId="0" applyFont="1" applyFill="1" applyBorder="1" applyNumberFormat="1">
      <alignment horizontal="right" vertical="center" wrapText="1"/>
    </xf>
    <xf numFmtId="0" fontId="23" fillId="0" borderId="0" xfId="0" applyFont="1"/>
    <xf numFmtId="49" fontId="23" fillId="0" borderId="13" xfId="0" applyFont="1" applyBorder="1" applyNumberFormat="1">
      <alignment horizontal="left" vertical="center" wrapText="1"/>
    </xf>
    <xf numFmtId="49" fontId="49" fillId="40" borderId="14" xfId="0" applyFont="1" applyFill="1" applyBorder="1" applyNumberFormat="1">
      <alignment horizontal="left" vertical="center"/>
    </xf>
    <xf numFmtId="49" fontId="0" fillId="0" borderId="16" xfId="0" applyFont="1" applyBorder="1" applyNumberFormat="1">
      <alignment horizontal="left" vertical="center" indent="1"/>
    </xf>
    <xf numFmtId="49" fontId="71" fillId="0" borderId="0" xfId="0" applyFont="1" applyNumberFormat="1">
      <alignment vertical="top"/>
    </xf>
    <xf numFmtId="49" fontId="0" fillId="0" borderId="26" xfId="0" applyFont="1" applyBorder="1" applyNumberFormat="1">
      <alignment horizontal="center" vertical="center"/>
    </xf>
    <xf numFmtId="49" fontId="0" fillId="0" borderId="0" xfId="0" applyFont="1" applyNumberFormat="1">
      <alignment vertical="top"/>
    </xf>
    <xf numFmtId="49" fontId="0" fillId="0" borderId="0" xfId="0" applyFont="1" applyNumberFormat="1">
      <alignment vertical="top"/>
    </xf>
    <xf numFmtId="49" fontId="0" fillId="0" borderId="13" xfId="0" applyFont="1" applyBorder="1" applyNumberFormat="1">
      <alignment vertical="top"/>
    </xf>
    <xf numFmtId="49" fontId="0" fillId="0" borderId="15" xfId="0" applyFont="1" applyBorder="1" applyNumberFormat="1">
      <alignment vertical="top"/>
    </xf>
    <xf numFmtId="49" fontId="0" fillId="0" borderId="13" xfId="0" applyFont="1" applyBorder="1" applyNumberFormat="1">
      <alignment horizontal="center" vertical="top"/>
    </xf>
    <xf numFmtId="49" fontId="0" fillId="0" borderId="15" xfId="0" applyFont="1" applyBorder="1" applyNumberFormat="1">
      <alignment horizontal="center" vertical="top"/>
    </xf>
    <xf numFmtId="49" fontId="0" fillId="0" borderId="13" xfId="0" applyFont="1" applyBorder="1" applyNumberFormat="1">
      <alignment vertical="top"/>
    </xf>
    <xf numFmtId="49" fontId="0" fillId="44" borderId="18" xfId="0" applyFont="1" applyFill="1" applyBorder="1" applyNumberFormat="1">
      <alignment vertical="top"/>
    </xf>
    <xf numFmtId="49" fontId="0" fillId="0" borderId="15" xfId="0" applyFont="1" applyBorder="1" applyNumberFormat="1">
      <alignment horizontal="center" vertical="top"/>
    </xf>
    <xf numFmtId="49" fontId="0" fillId="45" borderId="13" xfId="0" applyFont="1" applyFill="1" applyBorder="1" applyNumberFormat="1">
      <alignment vertical="top"/>
    </xf>
    <xf numFmtId="49" fontId="0" fillId="0" borderId="16" xfId="0" applyFont="1" applyBorder="1" applyNumberFormat="1">
      <alignment horizontal="center" vertical="top"/>
    </xf>
    <xf numFmtId="49" fontId="0" fillId="3" borderId="13" xfId="0" applyFont="1" applyFill="1" applyBorder="1" applyNumberFormat="1">
      <alignment vertical="top"/>
    </xf>
    <xf numFmtId="49" fontId="0" fillId="46" borderId="13" xfId="0" applyFont="1" applyFill="1" applyBorder="1" applyNumberFormat="1">
      <alignment vertical="top"/>
    </xf>
    <xf numFmtId="49" fontId="0" fillId="16" borderId="18" xfId="0" applyFont="1" applyFill="1" applyBorder="1" applyNumberFormat="1">
      <alignment vertical="top"/>
    </xf>
    <xf numFmtId="49" fontId="0" fillId="5" borderId="15" xfId="0" applyFont="1" applyFill="1" applyBorder="1" applyNumberFormat="1">
      <alignment vertical="top"/>
    </xf>
    <xf numFmtId="49" fontId="0" fillId="5" borderId="13" xfId="0" applyFont="1" applyFill="1" applyBorder="1" applyNumberFormat="1">
      <alignment vertical="top"/>
    </xf>
    <xf numFmtId="49" fontId="0" fillId="16" borderId="13" xfId="0" applyFont="1" applyFill="1" applyBorder="1" applyNumberFormat="1">
      <alignment vertical="top"/>
    </xf>
    <xf numFmtId="49" fontId="0" fillId="0" borderId="0" xfId="0" applyFont="1" applyNumberFormat="1">
      <alignment vertical="top"/>
    </xf>
    <xf numFmtId="49" fontId="0" fillId="0" borderId="0" xfId="0" applyFont="1" applyNumberFormat="1">
      <alignment vertical="top"/>
    </xf>
    <xf numFmtId="49" fontId="0" fillId="0" borderId="0" xfId="0" applyFont="1" applyNumberFormat="1">
      <alignment vertical="top"/>
    </xf>
    <xf numFmtId="0" fontId="0" fillId="0" borderId="0" xfId="0" applyFont="1">
      <alignment vertical="top"/>
    </xf>
    <xf numFmtId="0" fontId="0" fillId="0" borderId="0" xfId="0" applyFont="1">
      <alignment vertical="top"/>
    </xf>
    <xf numFmtId="0" fontId="0" fillId="0" borderId="0" xfId="0" applyFont="1">
      <alignment vertical="top"/>
    </xf>
    <xf numFmtId="0" fontId="0" fillId="0" borderId="0" xfId="0" applyFont="1"/>
    <xf numFmtId="0" fontId="1" fillId="0" borderId="0" xfId="0" applyFont="1"/>
    <xf numFmtId="0" fontId="37" fillId="0" borderId="0" xfId="0" applyFont="1"/>
    <xf numFmtId="0" fontId="37" fillId="0" borderId="0" xfId="0" applyFont="1"/>
    <xf numFmtId="49" fontId="23" fillId="38" borderId="12" xfId="0" applyFont="1" applyFill="1" applyBorder="1" applyNumberFormat="1">
      <alignment horizontal="center" vertical="top"/>
    </xf>
    <xf numFmtId="49" fontId="0" fillId="0" borderId="0" xfId="0" applyFont="1" applyNumberFormat="1">
      <alignment vertical="top"/>
    </xf>
    <xf numFmtId="49" fontId="47" fillId="0" borderId="6" xfId="0" applyFont="1" applyBorder="1" applyNumberFormat="1">
      <alignment vertical="top" wrapText="1"/>
    </xf>
    <xf numFmtId="0" fontId="0" fillId="0" borderId="6" xfId="0" applyFont="1" applyBorder="1">
      <alignment vertical="top" wrapText="1"/>
    </xf>
    <xf numFmtId="0" fontId="22" fillId="0" borderId="19" xfId="0" applyFont="1" applyBorder="1">
      <alignment vertical="top" wrapText="1"/>
    </xf>
    <xf numFmtId="0" fontId="0" fillId="0" borderId="0" xfId="0" applyFont="1">
      <alignment vertical="top"/>
    </xf>
    <xf numFmtId="0" fontId="0" fillId="0" borderId="13" xfId="0" applyFont="1" applyBorder="1">
      <alignment vertical="top" wrapText="1"/>
    </xf>
    <xf numFmtId="49" fontId="0" fillId="0" borderId="13" xfId="0" applyFont="1" applyBorder="1" applyNumberFormat="1">
      <alignment vertical="top" wrapText="1"/>
    </xf>
    <xf numFmtId="49" fontId="0" fillId="0" borderId="18" xfId="0" applyFont="1" applyBorder="1" applyNumberFormat="1">
      <alignment vertical="top"/>
    </xf>
    <xf numFmtId="49" fontId="0" fillId="0" borderId="0" xfId="0" applyFont="1" applyNumberFormat="1">
      <alignment vertical="top"/>
    </xf>
    <xf numFmtId="0" fontId="35" fillId="0" borderId="6" xfId="0" applyFont="1" applyBorder="1">
      <alignment vertical="center" wrapText="1"/>
    </xf>
    <xf numFmtId="0" fontId="22" fillId="0" borderId="0" xfId="0" applyFont="1">
      <alignment vertical="top" wrapText="1"/>
    </xf>
    <xf numFmtId="0" fontId="23" fillId="0" borderId="6" xfId="0" applyFont="1" applyBorder="1">
      <alignment vertical="center" wrapText="1"/>
    </xf>
    <xf numFmtId="49" fontId="0" fillId="0" borderId="0" xfId="0" applyFont="1" applyNumberFormat="1">
      <alignment vertical="top"/>
    </xf>
    <xf numFmtId="49" fontId="135" fillId="41" borderId="13" xfId="0" applyFont="1" applyFill="1" applyBorder="1" applyNumberFormat="1">
      <alignment horizontal="left" vertical="center" wrapText="1" indent="1"/>
      <protection locked="0"/>
    </xf>
    <xf numFmtId="49" fontId="23" fillId="33" borderId="15" xfId="0" applyFont="1" applyFill="1" applyBorder="1" applyNumberFormat="1">
      <alignment horizontal="left" vertical="center" wrapText="1"/>
      <protection locked="0"/>
    </xf>
  </cellXfs>
  <cellStyles count="270">
    <cellStyle name="Normal" xfId="0" builtinId="0"/>
    <cellStyle name="20% - Accent1" xfId="1" builtinId="30"/>
    <cellStyle name="20% - Accent2" xfId="2" builtinId="34"/>
    <cellStyle name="20% - Accent3" xfId="3" builtinId="38"/>
    <cellStyle name="20% - Accent4" xfId="4" builtinId="42"/>
    <cellStyle name="20% - Accent5" xfId="5" builtinId="46"/>
    <cellStyle name="20% - Accent6" xfId="6" builtinId="50"/>
    <cellStyle name="40% - Accent1" xfId="7" builtinId="31"/>
    <cellStyle name="40% - Accent2" xfId="8" builtinId="35"/>
    <cellStyle name="40% - Accent3" xfId="9" builtinId="39"/>
    <cellStyle name="40% - Accent4" xfId="10" builtinId="43"/>
    <cellStyle name="40% - Accent5" xfId="11" builtinId="47"/>
    <cellStyle name="40% - Accent6" xfId="12" builtinId="51"/>
    <cellStyle name="60% - Accent1" xfId="13" builtinId="32"/>
    <cellStyle name="60% - Accent2" xfId="14" builtinId="36"/>
    <cellStyle name="60% - Accent3" xfId="15" builtinId="40"/>
    <cellStyle name="60% - Accent4" xfId="16" builtinId="44"/>
    <cellStyle name="60% - Accent5" xfId="17" builtinId="48"/>
    <cellStyle name="60% - Accent6" xfId="18" builtinId="52"/>
    <cellStyle name="Accent1" xfId="19" builtinId="29"/>
    <cellStyle name="Accent2" xfId="20" builtinId="33"/>
    <cellStyle name="Accent3" xfId="21" builtinId="37"/>
    <cellStyle name="Accent4" xfId="22" builtinId="41"/>
    <cellStyle name="Accent5" xfId="23" builtinId="45"/>
    <cellStyle name="Accent6" xfId="24" builtinId="49"/>
    <cellStyle name="Bad" xfId="25" builtinId="27"/>
    <cellStyle name="Calculation" xfId="26" builtinId="22"/>
    <cellStyle name="Check Cell" xfId="27" builtinId="23"/>
    <cellStyle name="Comma" xfId="28" builtinId="3"/>
    <cellStyle name="Comma [0]" xfId="29" builtinId="6"/>
    <cellStyle name="Currency" xfId="30" builtinId="4"/>
    <cellStyle name="Currency [0]" xfId="31" builtinId="7"/>
    <cellStyle name="Explanatory Text" xfId="32" builtinId="53"/>
    <cellStyle name="Good" xfId="33" builtinId="26"/>
    <cellStyle name="Heading 1" xfId="34" builtinId="16"/>
    <cellStyle name="Heading 2" xfId="35" builtinId="17"/>
    <cellStyle name="Heading 3" xfId="36" builtinId="18"/>
    <cellStyle name="Heading 4" xfId="37" builtinId="19"/>
    <cellStyle name="Input" xfId="38" builtinId="20"/>
    <cellStyle name="Linked Cell" xfId="39" builtinId="24"/>
    <cellStyle name="Neutral" xfId="40" builtinId="28"/>
    <cellStyle name="normal" xfId="41"/>
    <cellStyle name="Note" xfId="42" builtinId="10"/>
    <cellStyle name="Output" xfId="43" builtinId="21"/>
    <cellStyle name="Percent" xfId="44" builtinId="5"/>
    <cellStyle name="Title" xfId="45" builtinId="15"/>
    <cellStyle name="Total" xfId="46" builtinId="25"/>
    <cellStyle name="Warning Text" xfId="47" builtinId="11"/>
    <cellStyle name=" 1" xfId="48"/>
    <cellStyle name=" 1 2" xfId="49"/>
    <cellStyle name=" 1 2 2" xfId="49"/>
    <cellStyle name=" 1 3" xfId="48"/>
    <cellStyle name=" 1_Stage1" xfId="48"/>
    <cellStyle name="_Model_RAB Мой_PR.PROG.WARM.NOTCOMBI.2012.2.16_v1.4(04.04.11) " xfId="50"/>
    <cellStyle name="_Model_RAB Мой_PR.PROG.WARM.NOTCOMBI.2012.2.16_v1.4(04.04.11)  2" xfId="50"/>
    <cellStyle name="_Model_RAB Мой_Книга2_PR.PROG.WARM.NOTCOMBI.2012.2.16_v1.4(04.04.11) " xfId="50"/>
    <cellStyle name="_Model_RAB Мой_Книга2_PR.PROG.WARM.NOTCOMBI.2012.2.16_v1.4(04.04.11)  2" xfId="50"/>
    <cellStyle name="_Model_RAB_MRSK_svod_PR.PROG.WARM.NOTCOMBI.2012.2.16_v1.4(04.04.11) " xfId="50"/>
    <cellStyle name="_Model_RAB_MRSK_svod_PR.PROG.WARM.NOTCOMBI.2012.2.16_v1.4(04.04.11)  2" xfId="50"/>
    <cellStyle name="_Model_RAB_MRSK_svod_Книга2_PR.PROG.WARM.NOTCOMBI.2012.2.16_v1.4(04.04.11) " xfId="50"/>
    <cellStyle name="_Model_RAB_MRSK_svod_Книга2_PR.PROG.WARM.NOTCOMBI.2012.2.16_v1.4(04.04.11)  2" xfId="50"/>
    <cellStyle name="_МОДЕЛЬ_1 (2)_PR.PROG.WARM.NOTCOMBI.2012.2.16_v1.4(04.04.11) " xfId="50"/>
    <cellStyle name="_МОДЕЛЬ_1 (2)_PR.PROG.WARM.NOTCOMBI.2012.2.16_v1.4(04.04.11)  2" xfId="50"/>
    <cellStyle name="_МОДЕЛЬ_1 (2)_Книга2_PR.PROG.WARM.NOTCOMBI.2012.2.16_v1.4(04.04.11) " xfId="50"/>
    <cellStyle name="_МОДЕЛЬ_1 (2)_Книга2_PR.PROG.WARM.NOTCOMBI.2012.2.16_v1.4(04.04.11)  2" xfId="50"/>
    <cellStyle name="_пр 5 тариф RAB_PR.PROG.WARM.NOTCOMBI.2012.2.16_v1.4(04.04.11) " xfId="50"/>
    <cellStyle name="_пр 5 тариф RAB_PR.PROG.WARM.NOTCOMBI.2012.2.16_v1.4(04.04.11)  2" xfId="50"/>
    <cellStyle name="_пр 5 тариф RAB_Книга2_PR.PROG.WARM.NOTCOMBI.2012.2.16_v1.4(04.04.11) " xfId="50"/>
    <cellStyle name="_пр 5 тариф RAB_Книга2_PR.PROG.WARM.NOTCOMBI.2012.2.16_v1.4(04.04.11)  2" xfId="50"/>
    <cellStyle name="_Расчет RAB_22072008_PR.PROG.WARM.NOTCOMBI.2012.2.16_v1.4(04.04.11) " xfId="50"/>
    <cellStyle name="_Расчет RAB_22072008_PR.PROG.WARM.NOTCOMBI.2012.2.16_v1.4(04.04.11)  2" xfId="50"/>
    <cellStyle name="_Расчет RAB_22072008_Книга2_PR.PROG.WARM.NOTCOMBI.2012.2.16_v1.4(04.04.11) " xfId="50"/>
    <cellStyle name="_Расчет RAB_22072008_Книга2_PR.PROG.WARM.NOTCOMBI.2012.2.16_v1.4(04.04.11)  2" xfId="50"/>
    <cellStyle name="_Расчет RAB_Лен и МОЭСК_с 2010 года_14.04.2009_со сглаж_version 3.0_без ФСК_PR.PROG.WARM.NOTCOMBI.2012.2.16_v1.4(04.04.11) " xfId="50"/>
    <cellStyle name="_Расчет RAB_Лен и МОЭСК_с 2010 года_14.04.2009_со сглаж_version 3.0_без ФСК_PR.PROG.WARM.NOTCOMBI.2012.2.16_v1.4(04.04.11)  2" xfId="50"/>
    <cellStyle name="_Расчет RAB_Лен и МОЭСК_с 2010 года_14.04.2009_со сглаж_version 3.0_без ФСК_Книга2_PR.PROG.WARM.NOTCOMBI.2012.2.16_v1.4(04.04.11) " xfId="50"/>
    <cellStyle name="_Расчет RAB_Лен и МОЭСК_с 2010 года_14.04.2009_со сглаж_version 3.0_без ФСК_Книга2_PR.PROG.WARM.NOTCOMBI.2012.2.16_v1.4(04.04.11)  2" xfId="50"/>
    <cellStyle name="Cells 2" xfId="51"/>
    <cellStyle name="Cells 2 2" xfId="51"/>
    <cellStyle name="currency1" xfId="52"/>
    <cellStyle name="currency1 2" xfId="52"/>
    <cellStyle name="Currency2" xfId="53"/>
    <cellStyle name="Currency2 2" xfId="53"/>
    <cellStyle name="currency3" xfId="54"/>
    <cellStyle name="currency3 2" xfId="54"/>
    <cellStyle name="currency4" xfId="55"/>
    <cellStyle name="currency4 2" xfId="55"/>
    <cellStyle name="Followed Hyperlink" xfId="56"/>
    <cellStyle name="Followed Hyperlink 2" xfId="56"/>
    <cellStyle name="Header 3" xfId="57"/>
    <cellStyle name="Header 3 2" xfId="57"/>
    <cellStyle name="Hyperlink" xfId="58" builtinId="8"/>
    <cellStyle name="normal 2" xfId="41"/>
    <cellStyle name="Normal1" xfId="59"/>
    <cellStyle name="Normal1 2" xfId="59"/>
    <cellStyle name="Normal2" xfId="53"/>
    <cellStyle name="Normal2 2" xfId="53"/>
    <cellStyle name="Percent1" xfId="53"/>
    <cellStyle name="Percent1 2" xfId="53"/>
    <cellStyle name="Title 4" xfId="60"/>
    <cellStyle name="Title 4 2" xfId="60"/>
    <cellStyle name="Ввод  2" xfId="61"/>
    <cellStyle name="Ввод  2 2" xfId="61"/>
    <cellStyle name="Ввод  3" xfId="61"/>
    <cellStyle name="Ввод  3 2" xfId="61"/>
    <cellStyle name="Гиперссылка" xfId="62"/>
    <cellStyle name="Гиперссылка 2" xfId="63"/>
    <cellStyle name="Гиперссылка 2 2" xfId="64"/>
    <cellStyle name="Гиперссылка 2 2 2" xfId="64"/>
    <cellStyle name="Гиперссылка 2 3" xfId="65"/>
    <cellStyle name="Гиперссылка 2 3 2" xfId="65"/>
    <cellStyle name="Гиперссылка 2 4" xfId="63"/>
    <cellStyle name="Гиперссылка 3" xfId="62"/>
    <cellStyle name="Гиперссылка 4" xfId="66"/>
    <cellStyle name="Гиперссылка 4 2" xfId="62"/>
    <cellStyle name="Гиперссылка 4 2 2" xfId="62"/>
    <cellStyle name="Гиперссылка 4 3" xfId="66"/>
    <cellStyle name="Гиперссылка 5" xfId="62"/>
    <cellStyle name="Гиперссылка 5 2" xfId="62"/>
    <cellStyle name="Границы" xfId="67"/>
    <cellStyle name="Границы 2" xfId="67"/>
    <cellStyle name="Заголовок" xfId="68"/>
    <cellStyle name="Заголовок 2" xfId="68"/>
    <cellStyle name="ЗаголовокСтолбца" xfId="69"/>
    <cellStyle name="ЗаголовокСтолбца 2" xfId="69"/>
    <cellStyle name="Значение" xfId="70"/>
    <cellStyle name="Значение 2" xfId="70"/>
    <cellStyle name="Обычный 10" xfId="71"/>
    <cellStyle name="Обычный 10 2" xfId="71"/>
    <cellStyle name="Обычный 11" xfId="72"/>
    <cellStyle name="Обычный 11 2" xfId="72"/>
    <cellStyle name="Обычный 11 2 2" xfId="72"/>
    <cellStyle name="Обычный 11 2 2 2" xfId="72"/>
    <cellStyle name="Обычный 11 2 3" xfId="72"/>
    <cellStyle name="Обычный 11 3" xfId="72"/>
    <cellStyle name="Обычный 11 3 2" xfId="72"/>
    <cellStyle name="Обычный 11 4" xfId="72"/>
    <cellStyle name="Обычный 12" xfId="72"/>
    <cellStyle name="Обычный 12 2" xfId="73"/>
    <cellStyle name="Обычный 12 2 2" xfId="73"/>
    <cellStyle name="Обычный 12 3" xfId="72"/>
    <cellStyle name="Обычный 12 3 2" xfId="72"/>
    <cellStyle name="Обычный 12 3 2 2" xfId="72"/>
    <cellStyle name="Обычный 12 3 2 2 2" xfId="72"/>
    <cellStyle name="Обычный 12 3 2 3" xfId="72"/>
    <cellStyle name="Обычный 12 3 3" xfId="72"/>
    <cellStyle name="Обычный 12 3 3 2" xfId="72"/>
    <cellStyle name="Обычный 12 3 4" xfId="72"/>
    <cellStyle name="Обычный 12 4" xfId="72"/>
    <cellStyle name="Обычный 12 4 2" xfId="72"/>
    <cellStyle name="Обычный 12 4 2 2" xfId="72"/>
    <cellStyle name="Обычный 12 4 3" xfId="72"/>
    <cellStyle name="Обычный 12 5" xfId="72"/>
    <cellStyle name="Обычный 12 5 2" xfId="72"/>
    <cellStyle name="Обычный 12 5 2 2" xfId="72"/>
    <cellStyle name="Обычный 12 5 3" xfId="72"/>
    <cellStyle name="Обычный 12 6" xfId="72"/>
    <cellStyle name="Обычный 12 6 2" xfId="72"/>
    <cellStyle name="Обычный 12 6 2 2" xfId="72"/>
    <cellStyle name="Обычный 12 6 3" xfId="72"/>
    <cellStyle name="Обычный 12 7" xfId="72"/>
    <cellStyle name="Обычный 12 7 2" xfId="72"/>
    <cellStyle name="Обычный 12 8" xfId="72"/>
    <cellStyle name="Обычный 13" xfId="74"/>
    <cellStyle name="Обычный 13 2" xfId="74"/>
    <cellStyle name="Обычный 14" xfId="72"/>
    <cellStyle name="Обычный 14 2" xfId="72"/>
    <cellStyle name="Обычный 14 2 2" xfId="72"/>
    <cellStyle name="Обычный 14 2 2 2" xfId="72"/>
    <cellStyle name="Обычный 14 2 2 2 2" xfId="72"/>
    <cellStyle name="Обычный 14 2 2 3" xfId="72"/>
    <cellStyle name="Обычный 14 2 3" xfId="72"/>
    <cellStyle name="Обычный 14 2 3 2" xfId="72"/>
    <cellStyle name="Обычный 14 2 4" xfId="72"/>
    <cellStyle name="Обычный 14 3" xfId="72"/>
    <cellStyle name="Обычный 14 3 2" xfId="72"/>
    <cellStyle name="Обычный 14 3 2 2" xfId="72"/>
    <cellStyle name="Обычный 14 3 3" xfId="72"/>
    <cellStyle name="Обычный 14 4" xfId="72"/>
    <cellStyle name="Обычный 14 4 2" xfId="72"/>
    <cellStyle name="Обычный 14 4 2 2" xfId="72"/>
    <cellStyle name="Обычный 14 4 3" xfId="72"/>
    <cellStyle name="Обычный 14 5" xfId="72"/>
    <cellStyle name="Обычный 14 5 2" xfId="72"/>
    <cellStyle name="Обычный 14 5 2 2" xfId="72"/>
    <cellStyle name="Обычный 14 5 3" xfId="72"/>
    <cellStyle name="Обычный 14 6" xfId="72"/>
    <cellStyle name="Обычный 14 6 2" xfId="72"/>
    <cellStyle name="Обычный 14 6 2 2" xfId="72"/>
    <cellStyle name="Обычный 14 6 2 2 2" xfId="72"/>
    <cellStyle name="Обычный 14 6 2 2 2 2" xfId="72"/>
    <cellStyle name="Обычный 14 6 2 2 3" xfId="72"/>
    <cellStyle name="Обычный 14 6 2 3" xfId="72"/>
    <cellStyle name="Обычный 14 6 2 3 2" xfId="72"/>
    <cellStyle name="Обычный 14 6 2 4" xfId="72"/>
    <cellStyle name="Обычный 14 6 3" xfId="72"/>
    <cellStyle name="Обычный 14 6 3 2" xfId="72"/>
    <cellStyle name="Обычный 14 6 3 2 2" xfId="72"/>
    <cellStyle name="Обычный 14 6 3 3" xfId="72"/>
    <cellStyle name="Обычный 14 6 4" xfId="72"/>
    <cellStyle name="Обычный 14 6 4 2" xfId="72"/>
    <cellStyle name="Обычный 14 6 5" xfId="72"/>
    <cellStyle name="Обычный 14 7" xfId="72"/>
    <cellStyle name="Обычный 14 7 2" xfId="72"/>
    <cellStyle name="Обычный 14 8" xfId="75"/>
    <cellStyle name="Обычный 14 8 2" xfId="75"/>
    <cellStyle name="Обычный 14 9" xfId="72"/>
    <cellStyle name="Обычный 15" xfId="72"/>
    <cellStyle name="Обычный 15 2" xfId="72"/>
    <cellStyle name="Обычный 16" xfId="74"/>
    <cellStyle name="Обычный 16 2" xfId="74"/>
    <cellStyle name="Обычный 17" xfId="72"/>
    <cellStyle name="Обычный 17 2" xfId="72"/>
    <cellStyle name="Обычный 18" xfId="74"/>
    <cellStyle name="Обычный 2" xfId="75"/>
    <cellStyle name="Обычный 2 10 2" xfId="75"/>
    <cellStyle name="Обычный 2 10 2 2" xfId="75"/>
    <cellStyle name="Обычный 2 2" xfId="76"/>
    <cellStyle name="Обычный 2 2 2" xfId="76"/>
    <cellStyle name="Обычный 2 3" xfId="73"/>
    <cellStyle name="Обычный 2 3 2" xfId="73"/>
    <cellStyle name="Обычный 2 4" xfId="74"/>
    <cellStyle name="Обычный 2 4 2" xfId="74"/>
    <cellStyle name="Обычный 2 5" xfId="75"/>
    <cellStyle name="Обычный 3" xfId="71"/>
    <cellStyle name="Обычный 3 2" xfId="74"/>
    <cellStyle name="Обычный 3 2 2" xfId="77"/>
    <cellStyle name="Обычный 3 2 2 2" xfId="77"/>
    <cellStyle name="Обычный 3 2 3" xfId="74"/>
    <cellStyle name="Обычный 3 3" xfId="78"/>
    <cellStyle name="Обычный 3 3 2" xfId="78"/>
    <cellStyle name="Обычный 3 3 2 2" xfId="78"/>
    <cellStyle name="Обычный 3 3 3" xfId="78"/>
    <cellStyle name="Обычный 3 4" xfId="79"/>
    <cellStyle name="Обычный 3 4 2" xfId="71"/>
    <cellStyle name="Обычный 3 4 2 2" xfId="71"/>
    <cellStyle name="Обычный 3 4 3" xfId="79"/>
    <cellStyle name="Обычный 3 5" xfId="71"/>
    <cellStyle name="Обычный 4" xfId="77"/>
    <cellStyle name="Обычный 4 2" xfId="74"/>
    <cellStyle name="Обычный 4 2 2" xfId="74"/>
    <cellStyle name="Обычный 4 3" xfId="77"/>
    <cellStyle name="Обычный 5" xfId="74"/>
    <cellStyle name="Обычный 5 2" xfId="74"/>
    <cellStyle name="Обычный 6" xfId="72"/>
    <cellStyle name="Обычный 6 2" xfId="77"/>
    <cellStyle name="Обычный 6 2 2" xfId="77"/>
    <cellStyle name="Обычный 6 3" xfId="72"/>
    <cellStyle name="Обычный 6 3 2" xfId="72"/>
    <cellStyle name="Обычный 6 4" xfId="72"/>
    <cellStyle name="Обычный 7" xfId="77"/>
    <cellStyle name="Обычный 7 2" xfId="77"/>
    <cellStyle name="Обычный 8" xfId="77"/>
    <cellStyle name="Обычный 8 2" xfId="77"/>
    <cellStyle name="Обычный 9" xfId="77"/>
    <cellStyle name="Обычный 9 2" xfId="77"/>
    <cellStyle name="Обычный_BALANCE.WARM.2007YEAR(FACT)" xfId="75"/>
    <cellStyle name="Обычный_JKH.OPEN.INFO.HVS(v3.5)_цены161210" xfId="73"/>
    <cellStyle name="Обычный_JKH.OPEN.INFO.PRICE.VO_v4.0(10.02.11)" xfId="71"/>
    <cellStyle name="Обычный_MINENERGO.340.PRIL79(v0.1)" xfId="75"/>
    <cellStyle name="Обычный_razrabotka_sablonov_po_WKU" xfId="75"/>
    <cellStyle name="Обычный_RESP.INFO" xfId="73"/>
    <cellStyle name="Обычный_SIMPLE_1_massive2" xfId="80"/>
    <cellStyle name="Обычный_ЖКУ_проект3" xfId="75"/>
    <cellStyle name="Обычный_Мониторинг инвестиций" xfId="75"/>
    <cellStyle name="Обычный_форма 1 водопровод для орг" xfId="81"/>
    <cellStyle name="Обычный_Шаблон по источникам для Модуля Реестр (2)" xfId="73"/>
    <cellStyle name="Открывавшаяся гиперссылка" xfId="82"/>
    <cellStyle name="Открывавшаяся гиперссылка 2" xfId="82"/>
    <cellStyle name="ФормулаВБ_Мониторинг инвестиций" xfId="83"/>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worksheet" Target="worksheets/sheet3.xml"/><Relationship Id="rId5" Type="http://schemas.openxmlformats.org/officeDocument/2006/relationships/worksheet" Target="worksheets/sheet4.xml"/><Relationship Id="rId6" Type="http://schemas.openxmlformats.org/officeDocument/2006/relationships/worksheet" Target="worksheets/sheet5.xml"/><Relationship Id="rId7" Type="http://schemas.openxmlformats.org/officeDocument/2006/relationships/worksheet" Target="worksheets/sheet6.xml"/><Relationship Id="rId8" Type="http://schemas.openxmlformats.org/officeDocument/2006/relationships/worksheet" Target="worksheets/sheet7.xml"/><Relationship Id="rId9" Type="http://schemas.openxmlformats.org/officeDocument/2006/relationships/worksheet" Target="worksheets/sheet8.xml"/><Relationship Id="rId10" Type="http://schemas.openxmlformats.org/officeDocument/2006/relationships/worksheet" Target="worksheets/sheet9.xml"/><Relationship Id="rId11" Type="http://schemas.openxmlformats.org/officeDocument/2006/relationships/worksheet" Target="worksheets/sheet10.xml"/><Relationship Id="rId12" Type="http://schemas.openxmlformats.org/officeDocument/2006/relationships/worksheet" Target="worksheets/sheet11.xml"/><Relationship Id="rId13" Type="http://schemas.openxmlformats.org/officeDocument/2006/relationships/worksheet" Target="worksheets/sheet12.xml"/><Relationship Id="rId14" Type="http://schemas.openxmlformats.org/officeDocument/2006/relationships/worksheet" Target="worksheets/sheet13.xml"/><Relationship Id="rId15" Type="http://schemas.openxmlformats.org/officeDocument/2006/relationships/worksheet" Target="worksheets/sheet14.xml"/><Relationship Id="rId16" Type="http://schemas.openxmlformats.org/officeDocument/2006/relationships/worksheet" Target="worksheets/sheet15.xml"/><Relationship Id="rId17" Type="http://schemas.openxmlformats.org/officeDocument/2006/relationships/worksheet" Target="worksheets/sheet16.xml"/><Relationship Id="rId18" Type="http://schemas.openxmlformats.org/officeDocument/2006/relationships/worksheet" Target="worksheets/sheet17.xml"/><Relationship Id="rId19" Type="http://schemas.openxmlformats.org/officeDocument/2006/relationships/worksheet" Target="worksheets/sheet18.xml"/><Relationship Id="rId20" Type="http://schemas.openxmlformats.org/officeDocument/2006/relationships/worksheet" Target="worksheets/sheet19.xml"/><Relationship Id="rId21" Type="http://schemas.openxmlformats.org/officeDocument/2006/relationships/worksheet" Target="worksheets/sheet20.xml"/><Relationship Id="rId22" Type="http://schemas.openxmlformats.org/officeDocument/2006/relationships/worksheet" Target="worksheets/sheet21.xml"/><Relationship Id="rId23" Type="http://schemas.openxmlformats.org/officeDocument/2006/relationships/worksheet" Target="worksheets/sheet22.xml"/><Relationship Id="rId24" Type="http://schemas.openxmlformats.org/officeDocument/2006/relationships/worksheet" Target="worksheets/sheet23.xml"/><Relationship Id="rId25" Type="http://schemas.openxmlformats.org/officeDocument/2006/relationships/worksheet" Target="worksheets/sheet24.xml"/><Relationship Id="rId26" Type="http://schemas.openxmlformats.org/officeDocument/2006/relationships/worksheet" Target="worksheets/sheet25.xml"/><Relationship Id="rId27" Type="http://schemas.openxmlformats.org/officeDocument/2006/relationships/worksheet" Target="worksheets/sheet26.xml"/><Relationship Id="rId28" Type="http://schemas.openxmlformats.org/officeDocument/2006/relationships/worksheet" Target="worksheets/sheet27.xml"/><Relationship Id="rId29" Type="http://schemas.openxmlformats.org/officeDocument/2006/relationships/worksheet" Target="worksheets/sheet28.xml"/><Relationship Id="rId30" Type="http://schemas.openxmlformats.org/officeDocument/2006/relationships/worksheet" Target="worksheets/sheet29.xml"/><Relationship Id="rId31" Type="http://schemas.openxmlformats.org/officeDocument/2006/relationships/worksheet" Target="worksheets/sheet30.xml"/><Relationship Id="rId32" Type="http://schemas.openxmlformats.org/officeDocument/2006/relationships/worksheet" Target="worksheets/sheet31.xml"/><Relationship Id="rId33" Type="http://schemas.openxmlformats.org/officeDocument/2006/relationships/worksheet" Target="worksheets/sheet32.xml"/><Relationship Id="rId34" Type="http://schemas.openxmlformats.org/officeDocument/2006/relationships/worksheet" Target="worksheets/sheet33.xml"/><Relationship Id="rId35" Type="http://schemas.openxmlformats.org/officeDocument/2006/relationships/worksheet" Target="worksheets/sheet34.xml"/><Relationship Id="rId36" Type="http://schemas.openxmlformats.org/officeDocument/2006/relationships/worksheet" Target="worksheets/sheet35.xml"/><Relationship Id="rId37" Type="http://schemas.openxmlformats.org/officeDocument/2006/relationships/worksheet" Target="worksheets/sheet36.xml"/><Relationship Id="rId38" Type="http://schemas.openxmlformats.org/officeDocument/2006/relationships/worksheet" Target="worksheets/sheet37.xml"/><Relationship Id="rId39" Type="http://schemas.openxmlformats.org/officeDocument/2006/relationships/worksheet" Target="worksheets/sheet38.xml"/><Relationship Id="rId40" Type="http://schemas.openxmlformats.org/officeDocument/2006/relationships/worksheet" Target="worksheets/sheet39.xml"/><Relationship Id="rId41" Type="http://schemas.openxmlformats.org/officeDocument/2006/relationships/worksheet" Target="worksheets/sheet40.xml"/><Relationship Id="rId42" Type="http://schemas.openxmlformats.org/officeDocument/2006/relationships/worksheet" Target="worksheets/sheet41.xml"/><Relationship Id="rId43" Type="http://schemas.openxmlformats.org/officeDocument/2006/relationships/worksheet" Target="worksheets/sheet42.xml"/><Relationship Id="rId44" Type="http://schemas.openxmlformats.org/officeDocument/2006/relationships/worksheet" Target="worksheets/sheet43.xml"/><Relationship Id="rId45" Type="http://schemas.openxmlformats.org/officeDocument/2006/relationships/worksheet" Target="worksheets/sheet44.xml"/><Relationship Id="rId46" Type="http://schemas.openxmlformats.org/officeDocument/2006/relationships/worksheet" Target="worksheets/sheet45.xml"/><Relationship Id="rId47" Type="http://schemas.openxmlformats.org/officeDocument/2006/relationships/worksheet" Target="worksheets/sheet46.xml"/><Relationship Id="rId48" Type="http://schemas.openxmlformats.org/officeDocument/2006/relationships/worksheet" Target="worksheets/sheet47.xml"/><Relationship Id="rId49" Type="http://schemas.openxmlformats.org/officeDocument/2006/relationships/worksheet" Target="worksheets/sheet48.xml"/><Relationship Id="rId50" Type="http://schemas.openxmlformats.org/officeDocument/2006/relationships/worksheet" Target="worksheets/sheet49.xml"/><Relationship Id="rId51" Type="http://schemas.openxmlformats.org/officeDocument/2006/relationships/worksheet" Target="worksheets/sheet50.xml"/><Relationship Id="rId52" Type="http://schemas.openxmlformats.org/officeDocument/2006/relationships/worksheet" Target="worksheets/sheet51.xml"/><Relationship Id="rId53" Type="http://schemas.openxmlformats.org/officeDocument/2006/relationships/worksheet" Target="worksheets/sheet52.xml"/><Relationship Id="rId54" Type="http://schemas.openxmlformats.org/officeDocument/2006/relationships/worksheet" Target="worksheets/sheet53.xml"/><Relationship Id="rId55" Type="http://schemas.openxmlformats.org/officeDocument/2006/relationships/worksheet" Target="worksheets/sheet54.xml"/><Relationship Id="rId56" Type="http://schemas.openxmlformats.org/officeDocument/2006/relationships/worksheet" Target="worksheets/sheet55.xml"/><Relationship Id="rId57" Type="http://schemas.openxmlformats.org/officeDocument/2006/relationships/worksheet" Target="worksheets/sheet56.xml"/><Relationship Id="rId58" Type="http://schemas.openxmlformats.org/officeDocument/2006/relationships/worksheet" Target="worksheets/sheet57.xml"/><Relationship Id="rId59" Type="http://schemas.openxmlformats.org/officeDocument/2006/relationships/worksheet" Target="worksheets/sheet58.xml"/><Relationship Id="rId60" Type="http://schemas.openxmlformats.org/officeDocument/2006/relationships/worksheet" Target="worksheets/sheet59.xml"/><Relationship Id="rId61" Type="http://schemas.openxmlformats.org/officeDocument/2006/relationships/worksheet" Target="worksheets/sheet60.xml"/><Relationship Id="rId62" Type="http://schemas.openxmlformats.org/officeDocument/2006/relationships/worksheet" Target="worksheets/sheet61.xml"/><Relationship Id="rId63" Type="http://schemas.openxmlformats.org/officeDocument/2006/relationships/worksheet" Target="worksheets/sheet62.xml"/><Relationship Id="rId64" Type="http://schemas.openxmlformats.org/officeDocument/2006/relationships/worksheet" Target="worksheets/sheet63.xml"/><Relationship Id="rId65" Type="http://schemas.openxmlformats.org/officeDocument/2006/relationships/worksheet" Target="worksheets/sheet64.xml"/><Relationship Id="rId66" Type="http://schemas.openxmlformats.org/officeDocument/2006/relationships/worksheet" Target="worksheets/sheet65.xml"/><Relationship Id="rId67" Type="http://schemas.openxmlformats.org/officeDocument/2006/relationships/worksheet" Target="worksheets/sheet66.xml"/><Relationship Id="rId68" Type="http://schemas.openxmlformats.org/officeDocument/2006/relationships/worksheet" Target="worksheets/sheet67.xml"/><Relationship Id="rId69" Type="http://schemas.openxmlformats.org/officeDocument/2006/relationships/worksheet" Target="worksheets/sheet68.xml"/><Relationship Id="rId70" Type="http://schemas.openxmlformats.org/officeDocument/2006/relationships/worksheet" Target="worksheets/sheet69.xml"/><Relationship Id="rId71" Type="http://schemas.openxmlformats.org/officeDocument/2006/relationships/worksheet" Target="worksheets/sheet70.xml"/><Relationship Id="rId72" Type="http://schemas.openxmlformats.org/officeDocument/2006/relationships/worksheet" Target="worksheets/sheet71.xml"/><Relationship Id="rId73" Type="http://schemas.openxmlformats.org/officeDocument/2006/relationships/worksheet" Target="worksheets/sheet72.xml"/><Relationship Id="rId74" Type="http://schemas.openxmlformats.org/officeDocument/2006/relationships/worksheet" Target="worksheets/sheet73.xml"/><Relationship Id="rId75" Type="http://schemas.openxmlformats.org/officeDocument/2006/relationships/worksheet" Target="worksheets/sheet74.xml"/><Relationship Id="rId76" Type="http://schemas.openxmlformats.org/officeDocument/2006/relationships/worksheet" Target="worksheets/sheet75.xml"/><Relationship Id="rId77" Type="http://schemas.openxmlformats.org/officeDocument/2006/relationships/worksheet" Target="worksheets/sheet76.xml"/><Relationship Id="rId78" Type="http://schemas.openxmlformats.org/officeDocument/2006/relationships/worksheet" Target="worksheets/sheet77.xml"/><Relationship Id="rId79" Type="http://schemas.openxmlformats.org/officeDocument/2006/relationships/worksheet" Target="worksheets/sheet78.xml"/><Relationship Id="rId80" Type="http://schemas.openxmlformats.org/officeDocument/2006/relationships/worksheet" Target="worksheets/sheet79.xml"/><Relationship Id="rId81" Type="http://schemas.openxmlformats.org/officeDocument/2006/relationships/worksheet" Target="worksheets/sheet80.xml"/><Relationship Id="rId82" Type="http://schemas.openxmlformats.org/officeDocument/2006/relationships/worksheet" Target="worksheets/sheet81.xml"/><Relationship Id="rId83" Type="http://schemas.openxmlformats.org/officeDocument/2006/relationships/worksheet" Target="worksheets/sheet82.xml"/><Relationship Id="rId84" Type="http://schemas.openxmlformats.org/officeDocument/2006/relationships/worksheet" Target="worksheets/sheet83.xml"/><Relationship Id="rId85" Type="http://schemas.openxmlformats.org/officeDocument/2006/relationships/worksheet" Target="worksheets/sheet84.xml"/><Relationship Id="rId86" Type="http://schemas.openxmlformats.org/officeDocument/2006/relationships/worksheet" Target="worksheets/sheet85.xml"/><Relationship Id="rId87" Type="http://schemas.openxmlformats.org/officeDocument/2006/relationships/worksheet" Target="worksheets/sheet86.xml"/><Relationship Id="rId88" Type="http://schemas.openxmlformats.org/officeDocument/2006/relationships/sharedStrings" Target="sharedStrings.xml"/><Relationship Id="rId89"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 Id="rId3" Type="http://schemas.openxmlformats.org/officeDocument/2006/relationships/image" Target="../media/image3.jpeg"/></Relationships>
</file>

<file path=xl/drawings/_rels/drawing2.xml.rels><?xml version="1.0" encoding="UTF-8" standalone="yes"?>
<Relationships xmlns="http://schemas.openxmlformats.org/package/2006/relationships"><Relationship Id="rId1" Type="http://schemas.openxmlformats.org/officeDocument/2006/relationships/image" Target="../media/image4.png"/><Relationship Id="rId2" Type="http://schemas.openxmlformats.org/officeDocument/2006/relationships/image" Target="../media/image5.png"/></Relationships>
</file>

<file path=xl/drawings/_rels/drawing3.xml.rels><?xml version="1.0" encoding="UTF-8" standalone="yes"?>
<Relationships xmlns="http://schemas.openxmlformats.org/package/2006/relationships"><Relationship Id="rId1" Type="http://schemas.openxmlformats.org/officeDocument/2006/relationships/image" Target="../media/image6.png"/></Relationships>
</file>

<file path=xl/drawings/_rels/drawing4.xml.rels><?xml version="1.0" encoding="UTF-8" standalone="yes"?>
<Relationships xmlns="http://schemas.openxmlformats.org/package/2006/relationships"><Relationship Id="rId1" Type="http://schemas.openxmlformats.org/officeDocument/2006/relationships/image" Target="../media/image7.png"/></Relationships>
</file>

<file path=xl/drawings/_rels/drawing5.xml.rels><?xml version="1.0" encoding="UTF-8" standalone="yes"?>
<Relationships xmlns="http://schemas.openxmlformats.org/package/2006/relationships"><Relationship Id="rId1" Type="http://schemas.openxmlformats.org/officeDocument/2006/relationships/image" Target="../media/image8.png"/></Relationships>
</file>

<file path=xl/drawings/_rels/drawing6.xml.rels><?xml version="1.0" encoding="UTF-8" standalone="yes"?>
<Relationships xmlns="http://schemas.openxmlformats.org/package/2006/relationships"><Relationship Id="rId1" Type="http://schemas.openxmlformats.org/officeDocument/2006/relationships/image" Target="../media/image9.png"/></Relationships>
</file>

<file path=xl/drawings/drawing1.xml><?xml version="1.0" encoding="utf-8"?>
<xdr:wsDr xmlns:xdr="http://schemas.openxmlformats.org/drawingml/2006/spreadsheetDrawing" xmlns:a="http://schemas.openxmlformats.org/drawingml/2006/main">
  <xdr:twoCellAnchor editAs="oneCell">
    <xdr:from>
      <xdr:col>7</xdr:col>
      <xdr:colOff>0</xdr:colOff>
      <xdr:row>4</xdr:row>
      <xdr:rowOff>0</xdr:rowOff>
    </xdr:from>
    <xdr:to>
      <xdr:col>8</xdr:col>
      <xdr:colOff>219075</xdr:colOff>
      <xdr:row>4</xdr:row>
      <xdr:rowOff>219075</xdr:rowOff>
    </xdr:to>
    <xdr:pic>
      <xdr:nvPicPr>
        <xdr:cNvPr id="1" name="cmdCreatePrintedForm" descr="Создание печатной формы"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4</xdr:col>
      <xdr:colOff>0</xdr:colOff>
      <xdr:row>28</xdr:row>
      <xdr:rowOff>0</xdr:rowOff>
    </xdr:from>
    <xdr:to>
      <xdr:col>4</xdr:col>
      <xdr:colOff>288036</xdr:colOff>
      <xdr:row>29</xdr:row>
      <xdr:rowOff>0</xdr:rowOff>
    </xdr:to>
    <xdr:pic>
      <xdr:nvPicPr>
        <xdr:cNvPr id="2" name="UPDATE_PLAN1X_DATA" descr="update_org.png"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3</xdr:col>
      <xdr:colOff>104775</xdr:colOff>
      <xdr:row>63</xdr:row>
      <xdr:rowOff>76200</xdr:rowOff>
    </xdr:from>
    <xdr:to>
      <xdr:col>4</xdr:col>
      <xdr:colOff>312325</xdr:colOff>
      <xdr:row>63</xdr:row>
      <xdr:rowOff>400241</xdr:rowOff>
    </xdr:to>
    <xdr:pic>
      <xdr:nvPicPr>
        <xdr:cNvPr id="3" name="PHONE_PIC" descr="update_org.png" hidden="1"/>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6</xdr:col>
      <xdr:colOff>0</xdr:colOff>
      <xdr:row>8</xdr:row>
      <xdr:rowOff>0</xdr:rowOff>
    </xdr:from>
    <xdr:to>
      <xdr:col>6</xdr:col>
      <xdr:colOff>219075</xdr:colOff>
      <xdr:row>8</xdr:row>
      <xdr:rowOff>219075</xdr:rowOff>
    </xdr:to>
    <xdr:pic>
      <xdr:nvPicPr>
        <xdr:cNvPr id="1" name="ExcludeHelp_2" descr="Справка по листу"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xdr:from>
      <xdr:col>4</xdr:col>
      <xdr:colOff>114300</xdr:colOff>
      <xdr:row>5</xdr:row>
      <xdr:rowOff>0</xdr:rowOff>
    </xdr:from>
    <xdr:to>
      <xdr:col>6</xdr:col>
      <xdr:colOff>18764</xdr:colOff>
      <xdr:row>6</xdr:row>
      <xdr:rowOff>0</xdr:rowOff>
    </xdr:to>
    <xdr:pic>
      <xdr:nvPicPr>
        <xdr:cNvPr id="2" name="Рисунок 1"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3</xdr:col>
      <xdr:colOff>73533</xdr:colOff>
      <xdr:row>6</xdr:row>
      <xdr:rowOff>0</xdr:rowOff>
    </xdr:from>
    <xdr:to>
      <xdr:col>4</xdr:col>
      <xdr:colOff>155734</xdr:colOff>
      <xdr:row>6</xdr:row>
      <xdr:rowOff>0</xdr:rowOff>
    </xdr:to>
    <xdr:pic>
      <xdr:nvPicPr>
        <xdr:cNvPr id="1" name="Рисунок 8"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0</xdr:col>
      <xdr:colOff>0</xdr:colOff>
      <xdr:row>13</xdr:row>
      <xdr:rowOff>0</xdr:rowOff>
    </xdr:from>
    <xdr:to>
      <xdr:col>3</xdr:col>
      <xdr:colOff>0</xdr:colOff>
      <xdr:row>13</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5.xml><?xml version="1.0" encoding="utf-8"?>
<xdr:wsDr xmlns:xdr="http://schemas.openxmlformats.org/drawingml/2006/spreadsheetDrawing" xmlns:a="http://schemas.openxmlformats.org/drawingml/2006/main">
  <xdr:twoCellAnchor>
    <xdr:from>
      <xdr:col>0</xdr:col>
      <xdr:colOff>0</xdr:colOff>
      <xdr:row>4</xdr:row>
      <xdr:rowOff>0</xdr:rowOff>
    </xdr:from>
    <xdr:to>
      <xdr:col>3</xdr:col>
      <xdr:colOff>0</xdr:colOff>
      <xdr:row>4</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4</xdr:row>
      <xdr:rowOff>0</xdr:rowOff>
    </xdr:from>
    <xdr:to>
      <xdr:col>3</xdr:col>
      <xdr:colOff>0</xdr:colOff>
      <xdr:row>4</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Тема 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comments" Target="../comments1.xml"/><Relationship Id="rId2" Type="http://schemas.openxmlformats.org/officeDocument/2006/relationships/vmlDrawing" Target="../drawings/vmlDrawing1.vml"/><Relationship Id="rId3" Type="http://schemas.openxmlformats.org/officeDocument/2006/relationships/drawing" Target="../drawings/drawing1.xml"/><Relationship Id="rId4" Type="http://schemas.openxmlformats.org/officeDocument/2006/relationships/hyperlink" Target="mailto:zverevalm@yandex.ru" TargetMode="Externa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12.xml.rels><?xml version="1.0" encoding="UTF-8" standalone="yes"?>
<Relationships xmlns="http://schemas.openxmlformats.org/package/2006/relationships"><Relationship Id="rId1" Type="http://schemas.openxmlformats.org/officeDocument/2006/relationships/comments" Target="../comments2.xml"/><Relationship Id="rId2" Type="http://schemas.openxmlformats.org/officeDocument/2006/relationships/vmlDrawing" Target="../drawings/vmlDrawing2.vml"/></Relationships>
</file>

<file path=xl/worksheets/_rels/sheet13.xml.rels><?xml version="1.0" encoding="UTF-8" standalone="yes"?>
<Relationships xmlns="http://schemas.openxmlformats.org/package/2006/relationships"><Relationship Id="rId1" Type="http://schemas.openxmlformats.org/officeDocument/2006/relationships/comments" Target="../comments3.xml"/><Relationship Id="rId2" Type="http://schemas.openxmlformats.org/officeDocument/2006/relationships/vmlDrawing" Target="../drawings/vmlDrawing3.vml"/></Relationships>
</file>

<file path=xl/worksheets/_rels/sheet28.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29.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34.xml.rels><?xml version="1.0" encoding="UTF-8" standalone="yes"?>
<Relationships xmlns="http://schemas.openxmlformats.org/package/2006/relationships"><Relationship Id="rId1" Type="http://schemas.openxmlformats.org/officeDocument/2006/relationships/drawing" Target="../drawings/drawing6.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65FF74F-2ABA-46A1-4E3F-63ED8C65D351}" mc:Ignorable="x14ac xr xr2 xr3">
  <dimension ref="A1:AB21"/>
  <sheetViews>
    <sheetView topLeftCell="A1" showGridLines="0" showRowColHeaders="0" workbookViewId="0">
      <selection activeCell="A1" sqref="A1"/>
    </sheetView>
  </sheetViews>
  <sheetFormatPr defaultColWidth="11.00390625" customHeight="1" defaultRowHeight="12.75"/>
  <cols>
    <col min="1" max="1" style="11389" width="5.421875" customWidth="1"/>
    <col min="2" max="2" style="11389" width="9.140625" customWidth="1"/>
    <col min="3" max="3" style="11389" width="16.421875" customWidth="1"/>
    <col min="4" max="25" style="11389" width="6.28125" customWidth="1"/>
    <col min="26" max="28" style="11389" width="11.00390625"/>
  </cols>
  <sheetData>
    <row customHeight="1" ht="15.75">
      <c r="A1" s="2013"/>
      <c r="B1" s="2014"/>
      <c r="C1" s="2014"/>
      <c r="D1" s="2014"/>
      <c r="E1" s="2014"/>
      <c r="F1" s="2014"/>
      <c r="G1" s="2014"/>
      <c r="H1" s="2014"/>
      <c r="I1" s="2014"/>
      <c r="J1" s="2014"/>
      <c r="K1" s="2014"/>
      <c r="L1" s="2014"/>
      <c r="M1" s="2014"/>
      <c r="N1" s="2014"/>
      <c r="O1" s="2014"/>
      <c r="P1" s="2014"/>
      <c r="Q1" s="2014"/>
      <c r="R1" s="2014"/>
      <c r="S1" s="2014"/>
      <c r="T1" s="2014"/>
      <c r="U1" s="2014"/>
      <c r="V1" s="2014"/>
      <c r="W1" s="2014"/>
      <c r="X1" s="2014"/>
      <c r="Y1" s="2015"/>
      <c r="Z1" s="2014"/>
      <c r="AA1" s="2016" t="s">
        <v>0</v>
      </c>
      <c r="AB1" s="2014"/>
    </row>
    <row customHeight="1" ht="17.25">
      <c r="A2" s="2014"/>
      <c r="B2" s="2111" t="s">
        <v>1</v>
      </c>
      <c r="C2" s="2111"/>
      <c r="D2" s="2111"/>
      <c r="E2" s="2111"/>
      <c r="F2" s="2111"/>
      <c r="G2" s="2111"/>
      <c r="H2" s="2111"/>
      <c r="I2" s="2111"/>
      <c r="J2" s="2111"/>
      <c r="K2" s="2111"/>
      <c r="L2" s="2111"/>
      <c r="M2" s="2111"/>
      <c r="N2" s="2111"/>
      <c r="O2" s="2111"/>
      <c r="P2" s="2111"/>
      <c r="Q2" s="2018"/>
      <c r="R2" s="2018"/>
      <c r="S2" s="2018"/>
      <c r="T2" s="2018"/>
      <c r="U2" s="2018"/>
      <c r="V2" s="2019"/>
      <c r="W2" s="2018"/>
      <c r="X2" s="2018"/>
      <c r="Y2" s="2015"/>
      <c r="Z2" s="2014"/>
      <c r="AA2" s="2016"/>
      <c r="AB2" s="2014"/>
    </row>
    <row customHeight="1" ht="15.75">
      <c r="A3" s="2014"/>
      <c r="B3" s="2112" t="s">
        <v>2</v>
      </c>
      <c r="C3" s="2112"/>
      <c r="D3" s="2112"/>
      <c r="E3" s="2112"/>
      <c r="F3" s="2112"/>
      <c r="G3" s="2112"/>
      <c r="H3" s="2112"/>
      <c r="I3" s="2112"/>
      <c r="J3" s="2112"/>
      <c r="K3" s="2112"/>
      <c r="L3" s="2112"/>
      <c r="M3" s="2112"/>
      <c r="N3" s="2112"/>
      <c r="O3" s="2112"/>
      <c r="P3" s="2112"/>
      <c r="Q3" s="2019"/>
      <c r="R3" s="2019"/>
      <c r="S3" s="2018"/>
      <c r="T3" s="2018"/>
      <c r="U3" s="2018"/>
      <c r="V3" s="2019"/>
      <c r="W3" s="2019"/>
      <c r="X3" s="2019"/>
      <c r="Y3" s="2019"/>
      <c r="Z3" s="2014"/>
      <c r="AA3" s="2016"/>
      <c r="AB3" s="2014"/>
    </row>
    <row customHeight="1" ht="17.25">
      <c r="A4" s="2014"/>
      <c r="B4" s="2020"/>
      <c r="C4" s="2014"/>
      <c r="D4" s="2019"/>
      <c r="E4" s="2019"/>
      <c r="F4" s="2019"/>
      <c r="G4" s="2019"/>
      <c r="H4" s="2019"/>
      <c r="I4" s="2019"/>
      <c r="J4" s="2019"/>
      <c r="K4" s="2019"/>
      <c r="L4" s="2019"/>
      <c r="M4" s="2019"/>
      <c r="N4" s="2019"/>
      <c r="O4" s="2019"/>
      <c r="P4" s="2019"/>
      <c r="Q4" s="2019"/>
      <c r="R4" s="2019"/>
      <c r="S4" s="2019"/>
      <c r="T4" s="2019"/>
      <c r="U4" s="2019"/>
      <c r="V4" s="2019"/>
      <c r="W4" s="2019"/>
      <c r="X4" s="2019"/>
      <c r="Y4" s="2019"/>
      <c r="Z4" s="2014"/>
      <c r="AA4" s="2016"/>
      <c r="AB4" s="2014"/>
    </row>
    <row customHeight="1" ht="22.5">
      <c r="A5" s="2021"/>
      <c r="B5" s="2113" t="str">
        <f>IF(TEMPLATE_SPHERE="","Информация, подлежащая раскрытию регулируемыми организациями",Титульный!E5)</f>
        <v>Информация о наличии (отсутствии) технической возможности подключения к централизованной системе теплоснабжения, а также о регистрации и ходе реализации заявок о подключении к централизованной системе теплоснабжения</v>
      </c>
      <c r="C5" s="2114"/>
      <c r="D5" s="2114"/>
      <c r="E5" s="2114"/>
      <c r="F5" s="2114"/>
      <c r="G5" s="2114"/>
      <c r="H5" s="2114"/>
      <c r="I5" s="2114"/>
      <c r="J5" s="2114"/>
      <c r="K5" s="2114"/>
      <c r="L5" s="2114"/>
      <c r="M5" s="2114"/>
      <c r="N5" s="2114"/>
      <c r="O5" s="2114"/>
      <c r="P5" s="2114"/>
      <c r="Q5" s="2114"/>
      <c r="R5" s="2114"/>
      <c r="S5" s="2114"/>
      <c r="T5" s="2114"/>
      <c r="U5" s="2114"/>
      <c r="V5" s="2114"/>
      <c r="W5" s="2114"/>
      <c r="X5" s="2114"/>
      <c r="Y5" s="2115"/>
      <c r="Z5" s="2021"/>
      <c r="AA5" s="2016"/>
      <c r="AB5" s="2021"/>
    </row>
    <row customHeight="1" ht="15">
      <c r="A6" s="2022"/>
      <c r="B6" s="2116" t="s">
        <v>3</v>
      </c>
      <c r="C6" s="2117"/>
      <c r="D6" s="2023"/>
      <c r="E6" s="2023"/>
      <c r="F6" s="2023"/>
      <c r="G6" s="2023"/>
      <c r="H6" s="2023"/>
      <c r="I6" s="2023"/>
      <c r="J6" s="2023"/>
      <c r="K6" s="2023"/>
      <c r="L6" s="2023"/>
      <c r="M6" s="2023"/>
      <c r="N6" s="2023"/>
      <c r="O6" s="2023"/>
      <c r="P6" s="2023"/>
      <c r="Q6" s="2023"/>
      <c r="R6" s="2023"/>
      <c r="S6" s="2023"/>
      <c r="T6" s="2023"/>
      <c r="U6" s="2023"/>
      <c r="V6" s="2023"/>
      <c r="W6" s="2023"/>
      <c r="X6" s="2023"/>
      <c r="Y6" s="2024"/>
      <c r="Z6" s="2025"/>
      <c r="AA6" s="2026"/>
      <c r="AB6" s="2026"/>
    </row>
    <row customHeight="1" ht="15">
      <c r="A7" s="2022"/>
      <c r="B7" s="2116"/>
      <c r="C7" s="2117"/>
      <c r="D7" s="2023"/>
      <c r="E7" s="2023"/>
      <c r="F7" s="2027"/>
      <c r="G7" s="2027"/>
      <c r="H7" s="2027"/>
      <c r="I7" s="2027"/>
      <c r="J7" s="2027"/>
      <c r="K7" s="2027"/>
      <c r="L7" s="2027"/>
      <c r="M7" s="2027"/>
      <c r="N7" s="2027"/>
      <c r="O7" s="2023"/>
      <c r="P7" s="2027"/>
      <c r="Q7" s="2027"/>
      <c r="R7" s="2027"/>
      <c r="S7" s="2027"/>
      <c r="T7" s="2027"/>
      <c r="U7" s="2027"/>
      <c r="V7" s="2027"/>
      <c r="W7" s="2027"/>
      <c r="X7" s="2027"/>
      <c r="Y7" s="2024"/>
      <c r="Z7" s="2025"/>
      <c r="AA7" s="2026"/>
      <c r="AB7" s="2026"/>
    </row>
    <row customHeight="1" ht="15">
      <c r="A8" s="2022"/>
      <c r="B8" s="2116"/>
      <c r="C8" s="2117"/>
      <c r="D8" s="2028"/>
      <c r="E8" s="2029" t="s">
        <v>4</v>
      </c>
      <c r="F8" s="2119" t="s">
        <v>5</v>
      </c>
      <c r="G8" s="2120"/>
      <c r="H8" s="2120"/>
      <c r="I8" s="2120"/>
      <c r="J8" s="2120"/>
      <c r="K8" s="2120"/>
      <c r="L8" s="2120"/>
      <c r="M8" s="2120"/>
      <c r="N8" s="2028"/>
      <c r="O8" s="2030" t="s">
        <v>4</v>
      </c>
      <c r="P8" s="2121" t="s">
        <v>6</v>
      </c>
      <c r="Q8" s="2122"/>
      <c r="R8" s="2122"/>
      <c r="S8" s="2122"/>
      <c r="T8" s="2122"/>
      <c r="U8" s="2122"/>
      <c r="V8" s="2122"/>
      <c r="W8" s="2122"/>
      <c r="X8" s="2122"/>
      <c r="Y8" s="2024"/>
      <c r="Z8" s="2025"/>
      <c r="AA8" s="2026"/>
      <c r="AB8" s="2026"/>
    </row>
    <row customHeight="1" ht="15">
      <c r="A9" s="2022"/>
      <c r="B9" s="2116"/>
      <c r="C9" s="2117"/>
      <c r="D9" s="2028"/>
      <c r="E9" s="2031" t="s">
        <v>4</v>
      </c>
      <c r="F9" s="2119" t="s">
        <v>7</v>
      </c>
      <c r="G9" s="2120"/>
      <c r="H9" s="2120"/>
      <c r="I9" s="2120"/>
      <c r="J9" s="2120"/>
      <c r="K9" s="2120"/>
      <c r="L9" s="2120"/>
      <c r="M9" s="2120"/>
      <c r="N9" s="2028"/>
      <c r="O9" s="2032" t="s">
        <v>4</v>
      </c>
      <c r="P9" s="2121" t="s">
        <v>8</v>
      </c>
      <c r="Q9" s="2122"/>
      <c r="R9" s="2122"/>
      <c r="S9" s="2122"/>
      <c r="T9" s="2122"/>
      <c r="U9" s="2122"/>
      <c r="V9" s="2122"/>
      <c r="W9" s="2122"/>
      <c r="X9" s="2122"/>
      <c r="Y9" s="2024"/>
      <c r="Z9" s="2025"/>
      <c r="AA9" s="2026"/>
      <c r="AB9" s="2026"/>
    </row>
    <row customHeight="1" ht="30">
      <c r="A10" s="2022"/>
      <c r="B10" s="2116"/>
      <c r="C10" s="2118"/>
      <c r="D10" s="2033"/>
      <c r="E10" s="2034"/>
      <c r="F10" s="2027"/>
      <c r="G10" s="2027"/>
      <c r="H10" s="2027"/>
      <c r="I10" s="2027"/>
      <c r="J10" s="2027"/>
      <c r="K10" s="2027"/>
      <c r="L10" s="2027"/>
      <c r="M10" s="2027"/>
      <c r="N10" s="2027"/>
      <c r="O10" s="2034"/>
      <c r="P10" s="2027"/>
      <c r="Q10" s="2027"/>
      <c r="R10" s="2027"/>
      <c r="S10" s="2027"/>
      <c r="T10" s="2027"/>
      <c r="U10" s="2027"/>
      <c r="V10" s="2027"/>
      <c r="W10" s="2027"/>
      <c r="X10" s="2027"/>
      <c r="Y10" s="2024"/>
      <c r="Z10" s="2025"/>
      <c r="AA10" s="2026"/>
      <c r="AB10" s="2026"/>
    </row>
    <row customHeight="1" ht="19.5">
      <c r="A11" s="2022"/>
      <c r="B11" s="2123" t="s">
        <v>9</v>
      </c>
      <c r="C11" s="2124"/>
      <c r="D11" s="2028"/>
      <c r="E11" s="2035"/>
      <c r="F11" s="2035"/>
      <c r="G11" s="2035"/>
      <c r="H11" s="2035"/>
      <c r="I11" s="2035"/>
      <c r="J11" s="2035"/>
      <c r="K11" s="2035"/>
      <c r="L11" s="2035"/>
      <c r="M11" s="2035"/>
      <c r="N11" s="2035"/>
      <c r="O11" s="2035"/>
      <c r="P11" s="2035"/>
      <c r="Q11" s="2035"/>
      <c r="R11" s="2035"/>
      <c r="S11" s="2035"/>
      <c r="T11" s="2035"/>
      <c r="U11" s="2035"/>
      <c r="V11" s="2035"/>
      <c r="W11" s="2035"/>
      <c r="X11" s="2035"/>
      <c r="Y11" s="2024"/>
      <c r="Z11" s="2025"/>
      <c r="AA11" s="2026"/>
      <c r="AB11" s="2026"/>
    </row>
    <row customHeight="1" ht="69">
      <c r="A12" s="2022"/>
      <c r="B12" s="2116"/>
      <c r="C12" s="2118"/>
      <c r="D12" s="2036"/>
      <c r="E12" s="2120" t="s">
        <v>10</v>
      </c>
      <c r="F12" s="2120"/>
      <c r="G12" s="2120"/>
      <c r="H12" s="2120"/>
      <c r="I12" s="2120"/>
      <c r="J12" s="2120"/>
      <c r="K12" s="2120"/>
      <c r="L12" s="2120"/>
      <c r="M12" s="2120"/>
      <c r="N12" s="2120"/>
      <c r="O12" s="2120"/>
      <c r="P12" s="2120"/>
      <c r="Q12" s="2120"/>
      <c r="R12" s="2120"/>
      <c r="S12" s="2120"/>
      <c r="T12" s="2120"/>
      <c r="U12" s="2120"/>
      <c r="V12" s="2120"/>
      <c r="W12" s="2120"/>
      <c r="X12" s="2120"/>
      <c r="Y12" s="2024"/>
      <c r="Z12" s="2025"/>
      <c r="AA12" s="2026"/>
      <c r="AB12" s="2026"/>
    </row>
    <row customHeight="1" ht="15">
      <c r="A13" s="2022"/>
      <c r="B13" s="2123" t="s">
        <v>11</v>
      </c>
      <c r="C13" s="2124"/>
      <c r="D13" s="2023"/>
      <c r="E13" s="2035"/>
      <c r="F13" s="2035"/>
      <c r="G13" s="2035"/>
      <c r="H13" s="2035"/>
      <c r="I13" s="2035"/>
      <c r="J13" s="2035"/>
      <c r="K13" s="2035"/>
      <c r="L13" s="2035"/>
      <c r="M13" s="2035"/>
      <c r="N13" s="2035"/>
      <c r="O13" s="2035"/>
      <c r="P13" s="2035"/>
      <c r="Q13" s="2035"/>
      <c r="R13" s="2035"/>
      <c r="S13" s="2035"/>
      <c r="T13" s="2035"/>
      <c r="U13" s="2035"/>
      <c r="V13" s="2035"/>
      <c r="W13" s="2035"/>
      <c r="X13" s="2035"/>
      <c r="Y13" s="2024"/>
      <c r="Z13" s="2025"/>
      <c r="AA13" s="2026"/>
      <c r="AB13" s="2026"/>
    </row>
    <row customHeight="1" ht="57">
      <c r="A14" s="2022"/>
      <c r="B14" s="2116"/>
      <c r="C14" s="2117"/>
      <c r="D14" s="2028"/>
      <c r="E14" s="2127" t="s">
        <v>12</v>
      </c>
      <c r="F14" s="2127"/>
      <c r="G14" s="2127"/>
      <c r="H14" s="2127"/>
      <c r="I14" s="2127"/>
      <c r="J14" s="2127"/>
      <c r="K14" s="2127"/>
      <c r="L14" s="2127"/>
      <c r="M14" s="2127"/>
      <c r="N14" s="2127"/>
      <c r="O14" s="2127"/>
      <c r="P14" s="2127"/>
      <c r="Q14" s="2127"/>
      <c r="R14" s="2127"/>
      <c r="S14" s="2127"/>
      <c r="T14" s="2127"/>
      <c r="U14" s="2127"/>
      <c r="V14" s="2127"/>
      <c r="W14" s="2127"/>
      <c r="X14" s="2127"/>
      <c r="Y14" s="2024"/>
      <c r="Z14" s="2025"/>
      <c r="AA14" s="2026"/>
      <c r="AB14" s="2026"/>
    </row>
    <row customHeight="1" ht="16.5">
      <c r="A15" s="2022"/>
      <c r="B15" s="2125"/>
      <c r="C15" s="2126"/>
      <c r="D15" s="2037"/>
      <c r="E15" s="2038"/>
      <c r="F15" s="2038"/>
      <c r="G15" s="2038"/>
      <c r="H15" s="2038"/>
      <c r="I15" s="2038"/>
      <c r="J15" s="2038"/>
      <c r="K15" s="2038"/>
      <c r="L15" s="2038"/>
      <c r="M15" s="2038"/>
      <c r="N15" s="2038"/>
      <c r="O15" s="2038"/>
      <c r="P15" s="2038"/>
      <c r="Q15" s="2038"/>
      <c r="R15" s="2038"/>
      <c r="S15" s="2038"/>
      <c r="T15" s="2038"/>
      <c r="U15" s="2038"/>
      <c r="V15" s="2038"/>
      <c r="W15" s="2038"/>
      <c r="X15" s="2038"/>
      <c r="Y15" s="2039"/>
      <c r="Z15" s="2025"/>
      <c r="AA15" s="2040"/>
      <c r="AB15" s="2026"/>
    </row>
    <row customHeight="1" ht="95.25">
      <c r="A16" s="2014"/>
      <c r="B16" s="2128"/>
      <c r="C16" s="2129"/>
      <c r="D16" s="2129"/>
      <c r="E16" s="2129"/>
      <c r="F16" s="2129"/>
      <c r="G16" s="2129"/>
      <c r="H16" s="2129"/>
      <c r="I16" s="2129"/>
      <c r="J16" s="2129"/>
      <c r="K16" s="2129"/>
      <c r="L16" s="2129"/>
      <c r="M16" s="2129"/>
      <c r="N16" s="2129"/>
      <c r="O16" s="2129"/>
      <c r="P16" s="2129"/>
      <c r="Q16" s="2129"/>
      <c r="R16" s="2129"/>
      <c r="S16" s="2129"/>
      <c r="T16" s="2129"/>
      <c r="U16" s="2129"/>
      <c r="V16" s="2129"/>
      <c r="W16" s="2129"/>
      <c r="X16" s="2129"/>
      <c r="Y16" s="2129"/>
      <c r="Z16" s="2014"/>
      <c r="AA16" s="2016"/>
      <c r="AB16" s="2014"/>
    </row>
    <row customHeight="1" ht="14.25">
      <c r="A17" s="2014"/>
      <c r="B17" s="2014"/>
      <c r="C17" s="2014"/>
      <c r="D17" s="2014"/>
      <c r="E17" s="2014"/>
      <c r="F17" s="2014"/>
      <c r="G17" s="2014"/>
      <c r="H17" s="2014"/>
      <c r="I17" s="2014"/>
      <c r="J17" s="2014"/>
      <c r="K17" s="2014"/>
      <c r="L17" s="2014"/>
      <c r="M17" s="2014"/>
      <c r="N17" s="2014"/>
      <c r="O17" s="2014"/>
      <c r="P17" s="2014"/>
      <c r="Q17" s="2014"/>
      <c r="R17" s="2014"/>
      <c r="S17" s="2014"/>
      <c r="T17" s="2014"/>
      <c r="U17" s="2014"/>
      <c r="V17" s="2014"/>
      <c r="W17" s="2014"/>
      <c r="X17" s="2014"/>
      <c r="Y17" s="2015"/>
      <c r="Z17" s="2014"/>
      <c r="AA17" s="2016"/>
      <c r="AB17" s="2014"/>
    </row>
    <row customHeight="1" ht="14.25">
      <c r="A18" s="2014"/>
      <c r="B18" s="2014"/>
      <c r="C18" s="2014"/>
      <c r="D18" s="2014"/>
      <c r="E18" s="2014"/>
      <c r="F18" s="2014"/>
      <c r="G18" s="2014"/>
      <c r="H18" s="2014"/>
      <c r="I18" s="2014"/>
      <c r="J18" s="2014"/>
      <c r="K18" s="2014"/>
      <c r="L18" s="2014"/>
      <c r="M18" s="2014"/>
      <c r="N18" s="2014"/>
      <c r="O18" s="2014"/>
      <c r="P18" s="2014"/>
      <c r="Q18" s="2014"/>
      <c r="R18" s="2014"/>
      <c r="S18" s="2014"/>
      <c r="T18" s="2014"/>
      <c r="U18" s="2014"/>
      <c r="V18" s="2014"/>
      <c r="W18" s="2014"/>
      <c r="X18" s="2014"/>
      <c r="Y18" s="2015"/>
      <c r="Z18" s="2014"/>
      <c r="AA18" s="2016"/>
      <c r="AB18" s="2014"/>
    </row>
    <row customHeight="1" ht="14.25">
      <c r="A19" s="2014"/>
      <c r="B19" s="2014"/>
      <c r="C19" s="2014"/>
      <c r="D19" s="2014"/>
      <c r="E19" s="2014"/>
      <c r="F19" s="2014"/>
      <c r="G19" s="2014"/>
      <c r="H19" s="2014"/>
      <c r="I19" s="2014"/>
      <c r="J19" s="2014"/>
      <c r="K19" s="2014"/>
      <c r="L19" s="2014"/>
      <c r="M19" s="2014"/>
      <c r="N19" s="2014"/>
      <c r="O19" s="2014"/>
      <c r="P19" s="2014"/>
      <c r="Q19" s="2014"/>
      <c r="R19" s="2014"/>
      <c r="S19" s="2014"/>
      <c r="T19" s="2014"/>
      <c r="U19" s="2014"/>
      <c r="V19" s="2014"/>
      <c r="W19" s="2014"/>
      <c r="X19" s="2014"/>
      <c r="Y19" s="2015"/>
      <c r="Z19" s="2014"/>
      <c r="AA19" s="2016"/>
      <c r="AB19" s="2014"/>
    </row>
    <row customHeight="1" ht="14.25">
      <c r="A20" s="2014"/>
      <c r="B20" s="2014"/>
      <c r="C20" s="2014"/>
      <c r="D20" s="2014"/>
      <c r="E20" s="2014"/>
      <c r="F20" s="2014"/>
      <c r="G20" s="2014"/>
      <c r="H20" s="2014"/>
      <c r="I20" s="2014"/>
      <c r="J20" s="2014"/>
      <c r="K20" s="2014"/>
      <c r="L20" s="2014"/>
      <c r="M20" s="2014"/>
      <c r="N20" s="2014"/>
      <c r="O20" s="2014"/>
      <c r="P20" s="2014"/>
      <c r="Q20" s="2014"/>
      <c r="R20" s="2014"/>
      <c r="S20" s="2014"/>
      <c r="T20" s="2014"/>
      <c r="U20" s="2014"/>
      <c r="V20" s="2014"/>
      <c r="W20" s="2014"/>
      <c r="X20" s="2014"/>
      <c r="Y20" s="2015"/>
      <c r="Z20" s="2014"/>
      <c r="AA20" s="2016"/>
      <c r="AB20" s="2014"/>
    </row>
    <row customHeight="1" ht="14.25">
      <c r="A21" s="2014"/>
      <c r="B21" s="2014"/>
      <c r="C21" s="2014"/>
      <c r="D21" s="2014"/>
      <c r="E21" s="2014"/>
      <c r="F21" s="2014"/>
      <c r="G21" s="2014"/>
      <c r="H21" s="2014"/>
      <c r="I21" s="2014"/>
      <c r="J21" s="2014"/>
      <c r="K21" s="2014"/>
      <c r="L21" s="2014"/>
      <c r="M21" s="2014"/>
      <c r="N21" s="2014"/>
      <c r="O21" s="2014"/>
      <c r="P21" s="2014"/>
      <c r="Q21" s="2014"/>
      <c r="R21" s="2014"/>
      <c r="S21" s="2014"/>
      <c r="T21" s="2014"/>
      <c r="U21" s="2014"/>
      <c r="V21" s="2014"/>
      <c r="W21" s="2014"/>
      <c r="X21" s="2014"/>
      <c r="Y21" s="2015"/>
      <c r="Z21" s="2014"/>
      <c r="AA21" s="2016"/>
      <c r="AB21" s="2014"/>
    </row>
  </sheetData>
  <sheetProtection formatColumns="0" formatRows="0" sort="0" autoFilter="0" insertRows="0" insertColumns="1" deleteRows="0" deleteColumns="0"/>
  <mergeCells count="13">
    <mergeCell ref="B11:C12"/>
    <mergeCell ref="E12:X12"/>
    <mergeCell ref="B13:C15"/>
    <mergeCell ref="E14:X14"/>
    <mergeCell ref="B16:Y16"/>
    <mergeCell ref="B2:P2"/>
    <mergeCell ref="B3:P3"/>
    <mergeCell ref="B5:Y5"/>
    <mergeCell ref="B6:C10"/>
    <mergeCell ref="F8:M8"/>
    <mergeCell ref="P8:X8"/>
    <mergeCell ref="F9:M9"/>
    <mergeCell ref="P9:X9"/>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C563CC02-75DF-E3CD-2EC2-5C7920F28F43}" mc:Ignorable="x14ac xr xr2 xr3">
  <sheetPr>
    <tabColor rgb="FFCCCCFF"/>
  </sheetPr>
  <dimension ref="A1:Q82"/>
  <sheetViews>
    <sheetView topLeftCell="C1" showGridLines="0" zoomScale="90" workbookViewId="0">
      <selection activeCell="I67" sqref="I67"/>
    </sheetView>
  </sheetViews>
  <sheetFormatPr defaultColWidth="9.140625" customHeight="1" defaultRowHeight="11.25"/>
  <cols>
    <col min="1" max="1" style="8452" width="10.7109375" hidden="1" customWidth="1"/>
    <col min="2" max="2" style="10630" width="10.7109375" hidden="1" customWidth="1"/>
    <col min="3" max="3" style="8454" width="3.7109375" customWidth="1"/>
    <col min="4" max="4" style="11126" width="1.7109375" customWidth="1"/>
    <col min="5" max="5" style="11126" width="55.28125" customWidth="1"/>
    <col min="6" max="6" style="11126" width="50.7109375" customWidth="1"/>
    <col min="7" max="7" style="11338" width="1.7109375" customWidth="1"/>
    <col min="8" max="8" style="11126" width="18.00390625" hidden="1" customWidth="1"/>
    <col min="9" max="9" style="10013" width="9.57421875" customWidth="1"/>
    <col min="10" max="10" style="11074" width="52.140625" hidden="1" customWidth="1"/>
    <col min="11" max="11" style="11126" width="9.140625"/>
    <col min="12" max="12" style="11126" width="78.00390625" customWidth="1"/>
    <col min="13" max="16" style="11126" width="9.140625"/>
  </cols>
  <sheetData>
    <row s="10841" customFormat="1" customHeight="1" ht="3">
      <c r="A1" s="1023"/>
      <c r="B1" s="449"/>
      <c r="F1" s="450">
        <v>26354809</v>
      </c>
      <c r="G1" s="647"/>
      <c r="H1" s="272"/>
      <c r="I1" s="647"/>
      <c r="J1" s="1118"/>
    </row>
    <row s="11248" customFormat="1" customHeight="1" ht="14.25">
      <c r="A2" s="1023"/>
      <c r="B2" s="302"/>
      <c r="E2" s="2058" t="str">
        <f>code</f>
        <v>Код отчёта: PP110.OPEN.INFO.QUARTER.HEAT.EIAS</v>
      </c>
      <c r="F2" s="477"/>
      <c r="G2" s="2785"/>
      <c r="H2" s="2785"/>
      <c r="I2" s="2785"/>
      <c r="J2" s="2786"/>
      <c r="K2" s="2785"/>
    </row>
    <row customHeight="1" ht="14.25">
      <c r="E3" s="454" t="str">
        <f>version</f>
        <v>Версия отчёта: 1.0.0</v>
      </c>
      <c r="F3" s="477"/>
      <c r="G3" s="1009"/>
      <c r="H3" s="1009"/>
      <c r="I3" s="1009"/>
      <c r="J3" s="1120"/>
      <c r="K3" s="290"/>
    </row>
    <row s="9070" customFormat="1" customHeight="1" ht="6">
      <c r="A4" s="1024"/>
      <c r="B4" s="440"/>
      <c r="C4" s="441"/>
      <c r="D4" s="442"/>
      <c r="E4" s="451"/>
      <c r="F4" s="452"/>
      <c r="G4" s="1010"/>
      <c r="H4" s="645"/>
      <c r="I4" s="647"/>
      <c r="J4" s="1121"/>
    </row>
    <row customHeight="1" ht="37.5">
      <c r="D5" s="276"/>
      <c r="E5" s="2130" t="str">
        <f>NameTemplatesInTitle</f>
        <v>Информация о наличии (отсутствии) технической возможности подключения к централизованной системе теплоснабжения, а также о регистрации и ходе реализации заявок о подключении к централизованной системе теплоснабжения</v>
      </c>
      <c r="F5" s="2131"/>
      <c r="G5" s="1011"/>
      <c r="J5" s="1122"/>
    </row>
    <row s="9070" customFormat="1" customHeight="1" ht="6">
      <c r="A6" s="1024"/>
      <c r="B6" s="440"/>
      <c r="C6" s="441"/>
      <c r="D6" s="442"/>
      <c r="E6" s="445"/>
      <c r="F6" s="446"/>
      <c r="G6" s="1011"/>
      <c r="H6" s="645"/>
      <c r="I6" s="647"/>
      <c r="J6" s="1121"/>
    </row>
    <row customHeight="1" ht="19.5">
      <c r="D7" s="276"/>
      <c r="E7" s="623" t="s">
        <v>13</v>
      </c>
      <c r="F7" s="423" t="s">
        <v>14</v>
      </c>
      <c r="G7" s="1011"/>
    </row>
    <row s="9070" customFormat="1" customHeight="1" ht="6">
      <c r="A8" s="1025"/>
      <c r="B8" s="440"/>
      <c r="C8" s="441"/>
      <c r="D8" s="447"/>
      <c r="E8" s="445"/>
      <c r="F8" s="448"/>
      <c r="G8" s="278"/>
      <c r="H8" s="645"/>
      <c r="I8" s="647"/>
      <c r="J8" s="1124"/>
    </row>
    <row customHeight="1" ht="22.5" hidden="1">
      <c r="A9" s="2133" t="s">
        <v>15</v>
      </c>
      <c r="D9" s="276"/>
      <c r="E9" s="2727" t="s">
        <v>16</v>
      </c>
      <c r="F9" s="2725" t="s">
        <v>17</v>
      </c>
      <c r="G9" s="278"/>
      <c r="H9" s="1012" t="s">
        <v>18</v>
      </c>
      <c r="J9" s="1123" t="s">
        <v>19</v>
      </c>
    </row>
    <row customHeight="1" ht="22.5" hidden="1">
      <c r="A10" s="2133"/>
      <c r="D10" s="276"/>
      <c r="E10" s="2727" t="s">
        <v>20</v>
      </c>
      <c r="F10" s="2725"/>
      <c r="G10" s="274"/>
      <c r="J10" s="1123" t="s">
        <v>21</v>
      </c>
    </row>
    <row s="11126" customFormat="1" customHeight="1" ht="22.5" hidden="1">
      <c r="A11" s="1028" t="s">
        <v>22</v>
      </c>
      <c r="B11" s="302"/>
      <c r="C11" s="644"/>
      <c r="D11" s="646"/>
      <c r="E11" s="2727" t="s">
        <v>23</v>
      </c>
      <c r="F11" s="2725" t="s">
        <v>17</v>
      </c>
      <c r="G11" s="278"/>
      <c r="H11" s="1009"/>
      <c r="I11" s="647"/>
      <c r="J11" s="1123" t="s">
        <v>24</v>
      </c>
    </row>
    <row s="11126" customFormat="1" customHeight="1" ht="27">
      <c r="A12" s="1028" t="s">
        <v>25</v>
      </c>
      <c r="B12" s="302"/>
      <c r="C12" s="644"/>
      <c r="D12" s="646"/>
      <c r="E12" s="2727" t="s">
        <v>26</v>
      </c>
      <c r="F12" s="8396">
        <v>2023</v>
      </c>
      <c r="G12" s="278"/>
      <c r="H12" s="1009"/>
      <c r="I12" s="647"/>
      <c r="J12" s="1123" t="s">
        <v>27</v>
      </c>
    </row>
    <row s="11126" customFormat="1" customHeight="1" ht="19.5">
      <c r="A13" s="1028" t="s">
        <v>28</v>
      </c>
      <c r="B13" s="302"/>
      <c r="C13" s="644"/>
      <c r="D13" s="646"/>
      <c r="E13" s="2727" t="s">
        <v>29</v>
      </c>
      <c r="F13" s="8396" t="s">
        <v>30</v>
      </c>
      <c r="G13" s="278"/>
      <c r="H13" s="1009"/>
      <c r="I13" s="647"/>
      <c r="J13" s="1123" t="s">
        <v>31</v>
      </c>
    </row>
    <row s="9070" customFormat="1" customHeight="1" ht="6">
      <c r="A14" s="1025"/>
      <c r="B14" s="440"/>
      <c r="C14" s="441"/>
      <c r="D14" s="447"/>
      <c r="E14" s="445"/>
      <c r="F14" s="448"/>
      <c r="G14" s="278"/>
      <c r="H14" s="645"/>
      <c r="I14" s="647"/>
      <c r="J14" s="1121"/>
    </row>
    <row customHeight="1" ht="19.5">
      <c r="D15" s="276"/>
      <c r="E15" s="623" t="s">
        <v>32</v>
      </c>
      <c r="F15" s="424" t="s">
        <v>33</v>
      </c>
      <c r="G15" s="274"/>
      <c r="H15" s="1012" t="s">
        <v>18</v>
      </c>
    </row>
    <row customHeight="1" ht="22.5" hidden="1">
      <c r="D16" s="276"/>
      <c r="E16" s="623" t="s">
        <v>34</v>
      </c>
      <c r="F16" s="2048" t="s">
        <v>35</v>
      </c>
      <c r="G16" s="274"/>
      <c r="I16" s="1013"/>
      <c r="J16" s="2132" t="s">
        <v>36</v>
      </c>
    </row>
    <row customHeight="1" ht="22.5" hidden="1">
      <c r="D17" s="276"/>
      <c r="E17" s="623" t="s">
        <v>37</v>
      </c>
      <c r="F17" s="2048"/>
      <c r="G17" s="274"/>
      <c r="I17" s="1013"/>
      <c r="J17" s="2132"/>
    </row>
    <row customHeight="1" ht="22.5" hidden="1">
      <c r="D18" s="276"/>
      <c r="E18" s="277"/>
      <c r="F18" s="478" t="str">
        <f>"Первичное "&amp;IF(TEMPLATE_GROUP="P","установление тарифов","предложение по тарифам")</f>
        <v>Первичное предложение по тарифам</v>
      </c>
      <c r="G18" s="274"/>
      <c r="I18" s="626"/>
      <c r="J18" s="1122" t="s">
        <v>38</v>
      </c>
    </row>
    <row customHeight="1" ht="19.5" hidden="1">
      <c r="D19" s="276"/>
      <c r="E19" s="623" t="str">
        <f>"Дата "&amp;IF(TEMPLATE_GROUP="P","документа","подачи заявления")&amp;" об "&amp;IF(TITLE_DATE_PR_CHANGE="","утверждении","изменении")&amp;" тарифов"</f>
        <v>Дата подачи заявления об утверждении тарифов</v>
      </c>
      <c r="F19" s="2047" t="s">
        <v>17</v>
      </c>
      <c r="G19" s="274"/>
      <c r="I19" s="1014"/>
    </row>
    <row customHeight="1" ht="19.5" hidden="1">
      <c r="D20" s="276"/>
      <c r="E20" s="623" t="str">
        <f>"Номер "&amp;IF(TEMPLATE_GROUP="P","документа","подачи заявления")&amp;" об "&amp;IF(TITLE_NUMBER_PR_CHANGE="","утверждении","изменении")&amp;" тарифов"</f>
        <v>Номер подачи заявления об утверждении тарифов</v>
      </c>
      <c r="F20" s="424"/>
      <c r="G20" s="274"/>
      <c r="I20" s="1014"/>
    </row>
    <row customHeight="1" ht="22.5" hidden="1">
      <c r="D21" s="276"/>
      <c r="E21" s="623" t="s">
        <v>39</v>
      </c>
      <c r="F21" s="424"/>
      <c r="G21" s="274"/>
    </row>
    <row customHeight="1" ht="19.5" hidden="1">
      <c r="D22" s="276"/>
      <c r="E22" s="623" t="s">
        <v>40</v>
      </c>
      <c r="F22" s="424"/>
      <c r="G22" s="274"/>
    </row>
    <row customHeight="1" ht="22.5" hidden="1">
      <c r="D23" s="276"/>
      <c r="E23" s="277"/>
      <c r="F23" s="478" t="str">
        <f>"Изменение "&amp;IF(TEMPLATE_GROUP="P","тарифов","предложения по тарифам")</f>
        <v>Изменение предложения по тарифам</v>
      </c>
      <c r="G23" s="274"/>
      <c r="J23" s="1122" t="s">
        <v>41</v>
      </c>
    </row>
    <row customHeight="1" ht="22.5" hidden="1">
      <c r="D24" s="276"/>
      <c r="E24" s="623" t="s">
        <v>42</v>
      </c>
      <c r="F24" s="426"/>
      <c r="G24" s="274"/>
    </row>
    <row customHeight="1" ht="19.5" hidden="1">
      <c r="D25" s="276"/>
      <c r="E25" s="623" t="s">
        <v>43</v>
      </c>
      <c r="F25" s="2048"/>
      <c r="G25" s="274"/>
    </row>
    <row customHeight="1" ht="19.5" hidden="1">
      <c r="D26" s="276"/>
      <c r="E26" s="623" t="s">
        <v>44</v>
      </c>
      <c r="F26" s="426"/>
      <c r="G26" s="274"/>
    </row>
    <row customHeight="1" ht="19.5" hidden="1">
      <c r="D27" s="276"/>
      <c r="E27" s="623" t="s">
        <v>40</v>
      </c>
      <c r="F27" s="426"/>
      <c r="G27" s="274"/>
    </row>
    <row s="9070" customFormat="1" customHeight="1" ht="6">
      <c r="A28" s="1025"/>
      <c r="B28" s="440"/>
      <c r="C28" s="441"/>
      <c r="D28" s="447"/>
      <c r="E28" s="445"/>
      <c r="F28" s="448"/>
      <c r="G28" s="278"/>
      <c r="H28" s="645"/>
      <c r="I28" s="647"/>
      <c r="J28" s="1121"/>
    </row>
    <row customHeight="1" ht="19.5">
      <c r="C29" s="279"/>
      <c r="D29" s="280"/>
      <c r="E29" s="623" t="s">
        <v>45</v>
      </c>
      <c r="F29" s="425" t="s">
        <v>46</v>
      </c>
      <c r="G29" s="1015"/>
    </row>
    <row customHeight="1" ht="19.5" hidden="1">
      <c r="C30" s="279"/>
      <c r="D30" s="280"/>
      <c r="E30" s="624" t="s">
        <v>47</v>
      </c>
      <c r="F30" s="2728"/>
      <c r="G30" s="1015"/>
    </row>
    <row customHeight="1" ht="19.5">
      <c r="C31" s="279"/>
      <c r="D31" s="280"/>
      <c r="E31" s="623" t="s">
        <v>48</v>
      </c>
      <c r="F31" s="425" t="s">
        <v>49</v>
      </c>
      <c r="G31" s="1015"/>
    </row>
    <row customHeight="1" ht="19.5">
      <c r="C32" s="279"/>
      <c r="D32" s="280"/>
      <c r="E32" s="623" t="s">
        <v>50</v>
      </c>
      <c r="F32" s="425" t="s">
        <v>51</v>
      </c>
      <c r="G32" s="1015"/>
      <c r="H32" s="281"/>
    </row>
    <row s="9070" customFormat="1" customHeight="1" ht="11.25">
      <c r="A33" s="1025"/>
      <c r="B33" s="440"/>
      <c r="C33" s="441"/>
      <c r="D33" s="447"/>
      <c r="E33" s="445"/>
      <c r="F33" s="448"/>
      <c r="G33" s="278"/>
      <c r="H33" s="645"/>
      <c r="I33" s="647"/>
      <c r="J33" s="1121"/>
    </row>
    <row customHeight="1" ht="19.5">
      <c r="A34" s="1126"/>
      <c r="D34" s="280"/>
      <c r="E34" s="623" t="s">
        <v>52</v>
      </c>
      <c r="F34" s="5309" t="s">
        <v>53</v>
      </c>
      <c r="G34" s="278"/>
    </row>
    <row customHeight="1" ht="19.5">
      <c r="A35" s="1126"/>
      <c r="D35" s="280"/>
      <c r="E35" s="623" t="s">
        <v>54</v>
      </c>
      <c r="F35" s="5309" t="s">
        <v>55</v>
      </c>
      <c r="G35" s="278"/>
    </row>
    <row s="9070" customFormat="1" customHeight="1" ht="6">
      <c r="A36" s="1025"/>
      <c r="B36" s="440"/>
      <c r="C36" s="441"/>
      <c r="D36" s="442"/>
      <c r="E36" s="443"/>
      <c r="F36" s="1312"/>
      <c r="G36" s="274"/>
      <c r="H36" s="645"/>
      <c r="I36" s="647"/>
      <c r="J36" s="1123"/>
    </row>
    <row customHeight="1" ht="22.5">
      <c r="A37" s="1025"/>
      <c r="D37" s="276"/>
      <c r="E37" s="623" t="s">
        <v>56</v>
      </c>
      <c r="F37" s="947" t="s">
        <v>57</v>
      </c>
      <c r="G37" s="274"/>
      <c r="H37" s="1012" t="s">
        <v>18</v>
      </c>
    </row>
    <row s="9070" customFormat="1" customHeight="1" ht="6" hidden="1">
      <c r="A38" s="1024"/>
      <c r="B38" s="662"/>
      <c r="C38" s="663"/>
      <c r="D38" s="664"/>
      <c r="E38" s="665"/>
      <c r="F38" s="1312"/>
      <c r="G38" s="274"/>
      <c r="H38" s="645"/>
      <c r="I38" s="647"/>
      <c r="J38" s="1123"/>
    </row>
    <row s="11126" customFormat="1" customHeight="1" ht="19.5" hidden="1">
      <c r="A39" s="1028" t="s">
        <v>22</v>
      </c>
      <c r="B39" s="649"/>
      <c r="C39" s="644"/>
      <c r="D39" s="646"/>
      <c r="E39" s="623" t="str">
        <f>"Дифференциация информации по централизованным системам  "&amp;TEMPLATE_SPHERE_RUS</f>
        <v>Дифференциация информации по централизованным системам  теплоснабжения</v>
      </c>
      <c r="F39" s="947" t="s">
        <v>57</v>
      </c>
      <c r="G39" s="274"/>
      <c r="I39" s="647"/>
      <c r="J39" s="1123"/>
    </row>
    <row s="9070" customFormat="1" customHeight="1" ht="6" hidden="1">
      <c r="A40" s="1024"/>
      <c r="B40" s="662"/>
      <c r="C40" s="663"/>
      <c r="D40" s="664"/>
      <c r="E40" s="665"/>
      <c r="F40" s="1312"/>
      <c r="G40" s="274"/>
      <c r="H40" s="645"/>
      <c r="I40" s="647"/>
      <c r="J40" s="1121"/>
    </row>
    <row s="11126" customFormat="1" customHeight="1" ht="22.5" hidden="1">
      <c r="A41" s="1024"/>
      <c r="B41" s="649"/>
      <c r="C41" s="644"/>
      <c r="D41" s="646"/>
      <c r="E41" s="623" t="s">
        <v>58</v>
      </c>
      <c r="F41" s="947"/>
      <c r="G41" s="274"/>
      <c r="I41" s="647"/>
      <c r="J41" s="1123"/>
    </row>
    <row s="11126" customFormat="1" customHeight="1" ht="22.5" hidden="1">
      <c r="A42" s="1024"/>
      <c r="B42" s="649"/>
      <c r="C42" s="644"/>
      <c r="D42" s="646"/>
      <c r="E42" s="1426" t="s">
        <v>59</v>
      </c>
      <c r="F42" s="990"/>
      <c r="G42" s="274"/>
      <c r="I42" s="647"/>
      <c r="J42" s="1123"/>
    </row>
    <row s="9070" customFormat="1" customHeight="1" ht="6" hidden="1">
      <c r="A43" s="1024"/>
      <c r="B43" s="662"/>
      <c r="C43" s="663"/>
      <c r="D43" s="664"/>
      <c r="E43" s="665"/>
      <c r="F43" s="1312"/>
      <c r="G43" s="274"/>
      <c r="H43" s="645"/>
      <c r="I43" s="647"/>
      <c r="J43" s="1123"/>
    </row>
    <row s="9070" customFormat="1" customHeight="1" ht="22.5" hidden="1">
      <c r="A44" s="1024"/>
      <c r="B44" s="662"/>
      <c r="C44" s="663"/>
      <c r="D44" s="664"/>
      <c r="E44" s="1426" t="s">
        <v>60</v>
      </c>
      <c r="F44" s="947" t="s">
        <v>57</v>
      </c>
      <c r="G44" s="274"/>
      <c r="H44" s="645"/>
      <c r="I44" s="647"/>
      <c r="J44" s="1123"/>
    </row>
    <row s="11126" customFormat="1" customHeight="1" ht="22.5" hidden="1">
      <c r="A45" s="1024"/>
      <c r="B45" s="649"/>
      <c r="C45" s="644"/>
      <c r="D45" s="646"/>
      <c r="E45" s="1426" t="s">
        <v>61</v>
      </c>
      <c r="F45" s="947" t="s">
        <v>57</v>
      </c>
      <c r="G45" s="274"/>
      <c r="I45" s="647"/>
      <c r="J45" s="1123"/>
    </row>
    <row s="9070" customFormat="1" customHeight="1" ht="6" hidden="1">
      <c r="A46" s="1024"/>
      <c r="B46" s="440"/>
      <c r="C46" s="441"/>
      <c r="D46" s="442"/>
      <c r="E46" s="443"/>
      <c r="F46" s="1312"/>
      <c r="G46" s="274"/>
      <c r="H46" s="645"/>
      <c r="I46" s="647"/>
      <c r="J46" s="1123"/>
    </row>
    <row customHeight="1" ht="19.5" hidden="1">
      <c r="B47" s="354"/>
      <c r="D47" s="276"/>
      <c r="E47" s="623" t="str">
        <f>"Организация осуществляет подключение (технологическое присоединение) к системе "&amp;TEMPLATE_SPHERE_RUS</f>
        <v>Организация осуществляет подключение (технологическое присоединение) к системе теплоснабжения</v>
      </c>
      <c r="F47" s="947"/>
      <c r="G47" s="274"/>
    </row>
    <row s="9070" customFormat="1" customHeight="1" ht="6" hidden="1">
      <c r="A48" s="1025"/>
      <c r="B48" s="662"/>
      <c r="C48" s="663"/>
      <c r="D48" s="447"/>
      <c r="E48" s="445"/>
      <c r="F48" s="448"/>
      <c r="G48" s="278"/>
      <c r="H48" s="645"/>
      <c r="I48" s="647"/>
      <c r="J48" s="1123"/>
    </row>
    <row s="11126" customFormat="1" customHeight="1" ht="22.5" hidden="1">
      <c r="A49" s="1026"/>
      <c r="B49" s="649"/>
      <c r="C49" s="767"/>
      <c r="D49" s="768"/>
      <c r="E49" s="623" t="s">
        <v>62</v>
      </c>
      <c r="F49" s="947" t="s">
        <v>57</v>
      </c>
      <c r="G49" s="769"/>
      <c r="I49" s="771"/>
      <c r="J49" s="1125"/>
      <c r="P49" s="772"/>
    </row>
    <row s="9070" customFormat="1" customHeight="1" ht="6" hidden="1">
      <c r="A50" s="1025"/>
      <c r="B50" s="662"/>
      <c r="C50" s="663"/>
      <c r="D50" s="447"/>
      <c r="E50" s="445"/>
      <c r="F50" s="448"/>
      <c r="G50" s="278"/>
      <c r="H50" s="645"/>
      <c r="I50" s="647"/>
      <c r="J50" s="1121"/>
    </row>
    <row s="11126" customFormat="1" customHeight="1" ht="22.5" hidden="1">
      <c r="A51" s="1026"/>
      <c r="B51" s="649"/>
      <c r="C51" s="767"/>
      <c r="D51" s="768"/>
      <c r="E51" s="623" t="s">
        <v>63</v>
      </c>
      <c r="F51" s="1307" t="s">
        <v>57</v>
      </c>
      <c r="G51" s="769"/>
      <c r="I51" s="771"/>
      <c r="J51" s="1125"/>
      <c r="P51" s="772"/>
    </row>
    <row s="11126" customFormat="1" customHeight="1" ht="22.5" hidden="1">
      <c r="A52" s="1026"/>
      <c r="B52" s="649"/>
      <c r="C52" s="767"/>
      <c r="D52" s="768"/>
      <c r="E52" s="623" t="s">
        <v>64</v>
      </c>
      <c r="F52" s="1313"/>
      <c r="G52" s="769"/>
      <c r="I52" s="771"/>
      <c r="J52" s="1125"/>
      <c r="P52" s="772"/>
    </row>
    <row s="9070" customFormat="1" customHeight="1" ht="6" hidden="1">
      <c r="A53" s="1025"/>
      <c r="B53" s="662"/>
      <c r="C53" s="663"/>
      <c r="D53" s="447"/>
      <c r="E53" s="445"/>
      <c r="F53" s="448"/>
      <c r="G53" s="278"/>
      <c r="H53" s="645"/>
      <c r="I53" s="647"/>
      <c r="J53" s="1121"/>
    </row>
    <row s="11126" customFormat="1" customHeight="1" ht="22.5" hidden="1">
      <c r="A54" s="1026"/>
      <c r="B54" s="649"/>
      <c r="C54" s="767"/>
      <c r="D54" s="768"/>
      <c r="E54" s="623" t="s">
        <v>65</v>
      </c>
      <c r="F54" s="1307" t="s">
        <v>57</v>
      </c>
      <c r="G54" s="769"/>
      <c r="I54" s="771"/>
      <c r="J54" s="1125"/>
      <c r="P54" s="772"/>
    </row>
    <row s="9070" customFormat="1" customHeight="1" ht="6" hidden="1">
      <c r="A55" s="1025"/>
      <c r="B55" s="662"/>
      <c r="C55" s="663"/>
      <c r="D55" s="447"/>
      <c r="E55" s="445"/>
      <c r="F55" s="448"/>
      <c r="G55" s="278"/>
      <c r="H55" s="645"/>
      <c r="I55" s="647"/>
      <c r="J55" s="1121"/>
    </row>
    <row s="11126" customFormat="1" customHeight="1" ht="15" hidden="1">
      <c r="A56" s="1026"/>
      <c r="B56" s="649"/>
      <c r="C56" s="767"/>
      <c r="D56" s="768"/>
      <c r="E56" s="623" t="s">
        <v>66</v>
      </c>
      <c r="F56" s="1307" t="s">
        <v>67</v>
      </c>
      <c r="G56" s="769"/>
      <c r="I56" s="771"/>
      <c r="J56" s="1125"/>
      <c r="P56" s="772"/>
    </row>
    <row s="11126" customFormat="1" customHeight="1" ht="15" hidden="1">
      <c r="A57" s="1026"/>
      <c r="B57" s="649"/>
      <c r="C57" s="767"/>
      <c r="D57" s="768"/>
      <c r="E57" s="623" t="str">
        <f>"Инвестиционная программа относится к деятельности, при осуществлении которой расчеты за товары (услуги) в сфере  "&amp;TEMPLATE_SPHERE_RUS&amp;" осуществляются по регулируемым ценам (тарифам) (за исключением деятельности по подключению (технологическому присоединению) к системе  "&amp;TEMPLATE_SPHERE_RUS&amp;")"</f>
        <v>Инвестиционная программа относится к деятельности, при осуществлении которой расчеты за товары (услуги) в сфере  теплоснабжения осуществляются по регулируемым ценам (тарифам) (за исключением деятельности по подключению (технологическому присоединению) к системе  теплоснабжения)</v>
      </c>
      <c r="F57" s="1454"/>
      <c r="G57" s="769"/>
      <c r="I57" s="771"/>
      <c r="J57" s="1125"/>
      <c r="P57" s="772"/>
    </row>
    <row s="11126" customFormat="1" customHeight="1" ht="15" hidden="1">
      <c r="A58" s="1026"/>
      <c r="B58" s="649"/>
      <c r="C58" s="767"/>
      <c r="D58" s="768"/>
      <c r="E58" s="1426" t="s">
        <v>68</v>
      </c>
      <c r="F58" s="1412"/>
      <c r="G58" s="769"/>
      <c r="I58" s="771"/>
      <c r="J58" s="1125"/>
      <c r="P58" s="772"/>
    </row>
    <row s="9070" customFormat="1" customHeight="1" ht="6" hidden="1">
      <c r="A59" s="1025"/>
      <c r="B59" s="662"/>
      <c r="C59" s="663"/>
      <c r="D59" s="664"/>
      <c r="E59" s="665"/>
      <c r="F59" s="1312"/>
      <c r="G59" s="274"/>
      <c r="H59" s="645"/>
      <c r="I59" s="647"/>
      <c r="J59" s="1123"/>
    </row>
    <row s="11126" customFormat="1" customHeight="1" ht="33.75" hidden="1">
      <c r="A60" s="1025"/>
      <c r="B60" s="302"/>
      <c r="C60" s="644"/>
      <c r="D60" s="646"/>
      <c r="E60" s="1426" t="s">
        <v>69</v>
      </c>
      <c r="F60" s="1984" t="s">
        <v>67</v>
      </c>
      <c r="G60" s="274"/>
      <c r="H60" s="1012" t="s">
        <v>18</v>
      </c>
      <c r="I60" s="647"/>
      <c r="J60" s="1123"/>
    </row>
    <row s="9070" customFormat="1" customHeight="1" ht="6">
      <c r="A61" s="1025"/>
      <c r="B61" s="440"/>
      <c r="C61" s="441"/>
      <c r="D61" s="447"/>
      <c r="E61" s="445"/>
      <c r="F61" s="448"/>
      <c r="G61" s="278"/>
      <c r="H61" s="645"/>
      <c r="I61" s="647"/>
      <c r="J61" s="1121"/>
    </row>
    <row customHeight="1" ht="19.5">
      <c r="A62" s="1027"/>
      <c r="B62" s="303"/>
      <c r="D62" s="283"/>
      <c r="E62" s="623" t="s">
        <v>70</v>
      </c>
      <c r="F62" s="424" t="s">
        <v>71</v>
      </c>
      <c r="G62" s="278"/>
    </row>
    <row customHeight="1" ht="19.5">
      <c r="A63" s="1027"/>
      <c r="B63" s="303"/>
      <c r="D63" s="283"/>
      <c r="E63" s="623" t="s">
        <v>72</v>
      </c>
      <c r="F63" s="424" t="s">
        <v>73</v>
      </c>
      <c r="G63" s="278"/>
    </row>
    <row customHeight="1" ht="35.25">
      <c r="D64" s="276"/>
      <c r="E64" s="625" t="s">
        <v>74</v>
      </c>
      <c r="F64" s="1314"/>
      <c r="G64" s="274"/>
    </row>
    <row customHeight="1" ht="19.5">
      <c r="A65" s="1027"/>
      <c r="D65" s="646"/>
      <c r="E65" s="623" t="s">
        <v>75</v>
      </c>
      <c r="F65" s="479" t="s">
        <v>76</v>
      </c>
      <c r="G65" s="278"/>
    </row>
    <row customHeight="1" ht="19.5">
      <c r="A66" s="1027"/>
      <c r="B66" s="303"/>
      <c r="D66" s="283"/>
      <c r="E66" s="623" t="s">
        <v>77</v>
      </c>
      <c r="F66" s="479" t="s">
        <v>78</v>
      </c>
      <c r="G66" s="278"/>
    </row>
    <row customHeight="1" ht="19.5">
      <c r="A67" s="1027"/>
      <c r="B67" s="303"/>
      <c r="D67" s="283"/>
      <c r="E67" s="623" t="s">
        <v>79</v>
      </c>
      <c r="F67" s="479" t="s">
        <v>80</v>
      </c>
      <c r="G67" s="278"/>
    </row>
    <row customHeight="1" ht="19.5">
      <c r="D68" s="646"/>
      <c r="E68" s="623" t="s">
        <v>81</v>
      </c>
      <c r="F68" s="11404" t="s">
        <v>82</v>
      </c>
      <c r="G68" s="274"/>
    </row>
    <row customHeight="1" ht="20.25">
      <c r="A69" s="1027"/>
      <c r="D69" s="274"/>
      <c r="F69" s="339"/>
      <c r="G69" s="278"/>
    </row>
    <row customHeight="1" ht="19.5">
      <c r="A70" s="1027"/>
      <c r="B70" s="303"/>
      <c r="D70" s="283"/>
      <c r="E70" s="282"/>
      <c r="F70" s="340"/>
      <c r="G70" s="278"/>
    </row>
    <row customHeight="1" ht="19.5">
      <c r="A71" s="1027"/>
      <c r="B71" s="303"/>
      <c r="D71" s="283"/>
      <c r="E71" s="282"/>
      <c r="F71" s="340"/>
      <c r="G71" s="278"/>
    </row>
    <row customHeight="1" ht="19.5">
      <c r="A72" s="1027"/>
      <c r="B72" s="303"/>
      <c r="D72" s="283"/>
      <c r="E72" s="288"/>
      <c r="F72" s="340"/>
      <c r="G72" s="278"/>
    </row>
    <row customHeight="1" ht="19.5">
      <c r="A73" s="1027"/>
      <c r="B73" s="303"/>
      <c r="D73" s="283"/>
      <c r="E73" s="282"/>
      <c r="F73" s="340"/>
      <c r="G73" s="278"/>
    </row>
    <row r="76" customHeight="1" ht="11.25">
      <c r="E76" s="622"/>
      <c r="F76" s="622"/>
      <c r="G76" s="622"/>
      <c r="H76" s="622"/>
      <c r="I76" s="622"/>
    </row>
  </sheetData>
  <sheetProtection formatColumns="0" formatRows="0" sort="0" autoFilter="0" insertRows="0" insertColumns="1" deleteRows="0" deleteColumns="0"/>
  <mergeCells count="3">
    <mergeCell ref="E5:F5"/>
    <mergeCell ref="J16:J17"/>
    <mergeCell ref="A9:A10"/>
  </mergeCells>
  <dataValidations count="11">
    <dataValidation type="textLength" operator="lessThanOrEqual" allowBlank="1" showInputMessage="1" showErrorMessage="1" errorTitle="Ошибка" error="Допускается ввод не более 900 символов!" sqref="F70:F73 F26:F27 F62:F63 F65:F68 F20:F22 F24">
      <formula1>900</formula1>
    </dataValidation>
    <dataValidation type="list" allowBlank="1" showInputMessage="1" showErrorMessage="1" errorTitle="Ошибка" error="Выберите значение из списка" prompt="Выберите значение из списка" sqref="F35:F36 F59">
      <formula1>kind_of_NDS</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5 F19 F16:F17 F9:F11"/>
    <dataValidation type="list" allowBlank="1" showInputMessage="1" showErrorMessage="1" errorTitle="Ошибка" error="Выберите значение из списка" prompt="Выберите значение из списка" sqref="F15">
      <formula1>kind_of_data_type</formula1>
    </dataValidation>
    <dataValidation allowBlank="1" showInputMessage="1" showErrorMessage="1" prompt="Для выбора выполните двойной щелчок левой клавиши мыши по соответствующей ячейке." sqref="F47 F51 F54 F56 F49 F37:F39 F41 F43:F45 F60"/>
    <dataValidation type="list" allowBlank="1" showInputMessage="1" showErrorMessage="1" errorTitle="Ошибка" error="Выберите значение из списка" prompt="Выберите значение из списка" sqref="F34">
      <formula1>kind_of_org_type</formula1>
    </dataValidation>
    <dataValidation type="list" allowBlank="1" showInputMessage="1" showErrorMessage="1" errorTitle="Ошибка" error="Выберите значение из списка" prompt="Выберите значение из списка" sqref="F12">
      <formula1>year_list</formula1>
    </dataValidation>
    <dataValidation type="list" allowBlank="1" showInputMessage="1" showErrorMessage="1" errorTitle="Ошибка" error="Выберите значение из списка" prompt="Выберите значение из списка" sqref="F13">
      <formula1>QUARTER</formula1>
    </dataValidation>
    <dataValidation allowBlank="1" showInputMessage="1" showErrorMessage="1" prompt="Выберите значение из календаря (иконка справа от выбранной ячейки), либо введите дату непосредственно в ячейку в формате - 'ДД.ММ.ГГГГ'" sqref="F52"/>
    <dataValidation type="list" allowBlank="1" showInputMessage="1" showErrorMessage="1" errorTitle="Ошибка" error="Выберите значение из списка" prompt="Выберите значение из списка" sqref="F58">
      <formula1>TITLE_IP_DETAILED_METHOD_LIST</formula1>
    </dataValidation>
    <dataValidation type="textLength" operator="lessThanOrEqual" allowBlank="1" showInputMessage="1" showErrorMessage="1" errorTitle="Ошибка" error="Допускается ввод не более 900 символов!" sqref="F30">
      <formula1>900</formula1>
    </dataValidation>
  </dataValidations>
  <hyperlinks>
    <hyperlink ref="H9" location="Титульный!H9" display="Как заполнить?" tooltip="Помощь по работе с полями отчётной формы" xr:uid="{FB40F0CA-247F-6E97-222E-070178D07E54}"/>
    <hyperlink ref="H15" location="Титульный!H9" display="Как заполнить?" tooltip="Помощь по работе с полями отчётной формы" xr:uid="{0D2F2C1A-78B7-04C8-60AD-C807C4AA6BFC}"/>
    <hyperlink ref="H37" location="Титульный!H9" display="Как заполнить?" tooltip="Помощь по работе с полями отчётной формы" xr:uid="{A6D0A4B5-0445-0E73-4D2B-2817391BDB7A}"/>
    <hyperlink ref="H60" location="Титульный!H9" display="Как заполнить?" tooltip="Помощь по работе с полями отчётной формы" xr:uid="{9535CE81-468C-22CF-FAB4-5704601F8294}"/>
    <hyperlink ref="F68" r:id="rId4" xr:uid="{11942ED8-8EB1-3338-8172-4797F1B86B0D}"/>
  </hyperlinks>
  <pageMargins left="0.75" right="0.75" top="1.00" bottom="1.00" header="0.50" footer="0.50"/>
  <pageSetup paperSize="8" pageOrder="downThenOver" orientation="portrait"/>
  <headerFooter>
    <oddHeader>&amp;L&amp;C&amp;R</oddHeader>
    <oddFooter>&amp;L&amp;C&amp;R</oddFooter>
    <evenHeader>&amp;L&amp;C&amp;R</evenHeader>
    <evenFooter>&amp;L&amp;C&amp;R</evenFooter>
  </headerFooter>
  <drawing r:id="rId3"/>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990618C-66E8-B2F6-CD5F-17489170CB66}" mc:Ignorable="x14ac xr xr2 xr3">
  <sheetPr>
    <tabColor rgb="FFCCCCFF"/>
    <pageSetUpPr fitToPage="1"/>
  </sheetPr>
  <dimension ref="A1:AB28"/>
  <sheetViews>
    <sheetView topLeftCell="C2" showGridLines="0" zoomScale="90" workbookViewId="0">
      <selection activeCell="G24" sqref="G24"/>
    </sheetView>
  </sheetViews>
  <sheetFormatPr defaultColWidth="9.140625" customHeight="1" defaultRowHeight="14.25"/>
  <cols>
    <col min="1" max="1" style="11126" width="8.00390625" hidden="1" customWidth="1"/>
    <col min="2" max="2" style="11074" width="6.00390625" hidden="1" customWidth="1"/>
    <col min="3" max="3" style="11126" width="3.7109375" customWidth="1"/>
    <col min="4" max="4" style="11307" width="3.7109375" customWidth="1"/>
    <col min="5" max="5" style="11126" width="6.28125" customWidth="1"/>
    <col min="6" max="6" style="11126" width="2.7109375" hidden="1" customWidth="1"/>
    <col min="7" max="7" style="11126" width="46.7109375" customWidth="1"/>
    <col min="8" max="8" style="11126" width="43.140625" customWidth="1"/>
    <col min="9" max="9" style="11126" width="14.8515625" customWidth="1"/>
    <col min="10" max="10" style="11318" width="3.7109375" customWidth="1"/>
    <col min="11" max="13" style="11318" width="9.140625" hidden="1"/>
    <col min="14" max="14" style="11318" width="25.7109375" hidden="1" customWidth="1"/>
    <col min="15" max="15" style="11318" width="14.421875" hidden="1" customWidth="1"/>
    <col min="16" max="19" style="8548" width="9.140625" hidden="1"/>
    <col min="20" max="27" style="11126" width="9.140625" hidden="1"/>
    <col min="28" max="28" style="11126" width="9.140625"/>
  </cols>
  <sheetData>
    <row s="10863" customFormat="1" customHeight="1" ht="5.25" hidden="1">
      <c r="A1" s="733"/>
      <c r="B1" s="748"/>
      <c r="C1" s="748"/>
      <c r="D1" s="429"/>
      <c r="F1" s="748"/>
      <c r="G1" s="455" t="s">
        <v>83</v>
      </c>
      <c r="H1" s="731" t="s">
        <v>84</v>
      </c>
      <c r="I1" s="435" t="s">
        <v>85</v>
      </c>
      <c r="J1" s="455" t="s">
        <v>83</v>
      </c>
      <c r="K1" s="455"/>
      <c r="L1" s="455"/>
      <c r="M1" s="455"/>
      <c r="N1" s="456"/>
      <c r="O1" s="455"/>
      <c r="P1" s="455"/>
      <c r="Q1" s="455"/>
      <c r="R1" s="455"/>
      <c r="S1" s="455"/>
      <c r="T1" s="435"/>
      <c r="U1" s="435"/>
      <c r="V1" s="435"/>
      <c r="W1" s="435"/>
      <c r="X1" s="435"/>
      <c r="Y1" s="435"/>
      <c r="Z1" s="435"/>
      <c r="AA1" s="435"/>
      <c r="AB1" s="435"/>
    </row>
    <row s="9890" customFormat="1" customHeight="1" ht="11.25">
      <c r="A2" s="1076"/>
      <c r="B2" s="436"/>
      <c r="C2" s="436"/>
      <c r="D2" s="437"/>
      <c r="E2" s="436"/>
      <c r="F2" s="436"/>
      <c r="G2" s="436"/>
      <c r="H2" s="436"/>
      <c r="I2" s="436"/>
      <c r="J2" s="455"/>
      <c r="K2" s="455"/>
      <c r="L2" s="455"/>
      <c r="M2" s="455"/>
      <c r="N2" s="456"/>
      <c r="O2" s="455"/>
      <c r="P2" s="438"/>
      <c r="Q2" s="438"/>
      <c r="R2" s="438"/>
      <c r="S2" s="438"/>
      <c r="T2" s="437"/>
      <c r="U2" s="437"/>
      <c r="V2" s="437"/>
      <c r="W2" s="437"/>
      <c r="X2" s="437"/>
      <c r="Y2" s="437"/>
      <c r="Z2" s="437"/>
      <c r="AA2" s="437"/>
      <c r="AB2" s="437"/>
    </row>
    <row s="9038" customFormat="1" customHeight="1" ht="3">
      <c r="A3" s="997"/>
      <c r="B3" s="653"/>
      <c r="C3" s="997"/>
      <c r="D3" s="372"/>
      <c r="E3" s="308"/>
      <c r="F3" s="746"/>
      <c r="G3" s="308"/>
      <c r="H3" s="308"/>
      <c r="I3" s="374"/>
      <c r="J3" s="455"/>
      <c r="K3" s="363"/>
      <c r="L3" s="363"/>
      <c r="M3" s="363"/>
      <c r="N3" s="434"/>
      <c r="O3" s="363"/>
      <c r="P3" s="433"/>
      <c r="Q3" s="433"/>
      <c r="R3" s="433"/>
      <c r="S3" s="433"/>
    </row>
    <row s="9038" customFormat="1" customHeight="1" ht="25.5">
      <c r="A4" s="997"/>
      <c r="B4" s="653"/>
      <c r="C4" s="997"/>
      <c r="D4" s="372"/>
      <c r="E4" s="2135" t="str">
        <f>NameTemplatesInListMO</f>
        <v>Перечень муниципальных районов и муниципальных образований (территорий действия тарифа)</v>
      </c>
      <c r="F4" s="2135"/>
      <c r="G4" s="2135"/>
      <c r="H4" s="2135"/>
      <c r="I4" s="2135"/>
      <c r="J4" s="455"/>
      <c r="K4" s="363"/>
      <c r="L4" s="363"/>
      <c r="M4" s="363"/>
      <c r="N4" s="434"/>
      <c r="O4" s="363"/>
      <c r="P4" s="433"/>
      <c r="Q4" s="433"/>
      <c r="R4" s="433"/>
      <c r="S4" s="433"/>
    </row>
    <row s="9038" customFormat="1" customHeight="1" ht="3">
      <c r="A5" s="997"/>
      <c r="B5" s="653"/>
      <c r="C5" s="997"/>
      <c r="D5" s="372"/>
      <c r="E5" s="308"/>
      <c r="F5" s="746"/>
      <c r="G5" s="375"/>
      <c r="H5" s="375"/>
      <c r="I5" s="376"/>
      <c r="J5" s="363"/>
      <c r="K5" s="363"/>
      <c r="L5" s="363"/>
      <c r="M5" s="363"/>
      <c r="N5" s="434"/>
      <c r="O5" s="363"/>
      <c r="P5" s="433"/>
      <c r="Q5" s="433"/>
      <c r="R5" s="433"/>
      <c r="S5" s="433"/>
    </row>
    <row s="9038" customFormat="1" customHeight="1" ht="20.25" hidden="1">
      <c r="A6" s="1083"/>
      <c r="B6" s="1078"/>
      <c r="C6" s="377"/>
      <c r="D6" s="372"/>
      <c r="E6" s="1018"/>
      <c r="F6" s="1018"/>
      <c r="G6" s="375"/>
      <c r="H6" s="378"/>
      <c r="I6" s="378"/>
      <c r="J6" s="363"/>
      <c r="K6" s="363"/>
      <c r="L6" s="363"/>
      <c r="M6" s="363"/>
      <c r="N6" s="434"/>
      <c r="O6" s="363"/>
      <c r="P6" s="433"/>
      <c r="Q6" s="433"/>
      <c r="R6" s="433"/>
      <c r="S6" s="433"/>
    </row>
    <row customHeight="1" ht="25.5" hidden="1"/>
    <row s="9038" customFormat="1" customHeight="1" ht="14.25">
      <c r="A8" s="997"/>
      <c r="B8" s="653"/>
      <c r="C8" s="997"/>
      <c r="D8" s="372"/>
      <c r="E8" s="2136" t="s">
        <v>86</v>
      </c>
      <c r="F8" s="2137"/>
      <c r="G8" s="2138"/>
      <c r="H8" s="2139" t="s">
        <v>87</v>
      </c>
      <c r="I8" s="2139"/>
      <c r="J8" s="363"/>
      <c r="K8" s="363"/>
      <c r="L8" s="363"/>
      <c r="M8" s="363"/>
      <c r="N8" s="434"/>
      <c r="O8" s="363"/>
      <c r="P8" s="433"/>
      <c r="Q8" s="433"/>
      <c r="R8" s="433"/>
      <c r="S8" s="433"/>
    </row>
    <row s="9038" customFormat="1" customHeight="1" ht="20.25">
      <c r="A9" s="997"/>
      <c r="B9" s="653"/>
      <c r="C9" s="997"/>
      <c r="D9" s="372"/>
      <c r="E9" s="1016" t="s">
        <v>88</v>
      </c>
      <c r="F9" s="1016"/>
      <c r="G9" s="380" t="s">
        <v>89</v>
      </c>
      <c r="H9" s="380" t="s">
        <v>89</v>
      </c>
      <c r="I9" s="380" t="s">
        <v>85</v>
      </c>
      <c r="J9" s="363"/>
      <c r="K9" s="363"/>
      <c r="L9" s="363"/>
      <c r="M9" s="363"/>
      <c r="N9" s="434"/>
      <c r="O9" s="363"/>
      <c r="P9" s="433"/>
      <c r="Q9" s="433"/>
      <c r="R9" s="433"/>
      <c r="S9" s="433"/>
    </row>
    <row customHeight="1" ht="11.25">
      <c r="D10" s="384"/>
      <c r="E10" s="1017" t="s">
        <v>90</v>
      </c>
      <c r="F10" s="1017"/>
      <c r="G10" s="431" t="s">
        <v>91</v>
      </c>
      <c r="H10" s="431" t="s">
        <v>92</v>
      </c>
      <c r="I10" s="431" t="s">
        <v>93</v>
      </c>
      <c r="J10" s="393"/>
      <c r="K10" s="393"/>
      <c r="L10" s="393"/>
      <c r="M10" s="393"/>
      <c r="N10" s="379"/>
      <c r="O10" s="393"/>
      <c r="P10" s="432"/>
      <c r="Q10" s="432"/>
      <c r="R10" s="432"/>
      <c r="S10" s="432"/>
    </row>
    <row s="9038" customFormat="1" customHeight="1" ht="0.75">
      <c r="A11" s="997"/>
      <c r="B11" s="653"/>
      <c r="C11" s="997"/>
      <c r="D11" s="372"/>
      <c r="E11" s="1030"/>
      <c r="F11" s="1030"/>
      <c r="G11" s="381"/>
      <c r="H11" s="381"/>
      <c r="I11" s="383"/>
      <c r="J11" s="457" t="s">
        <v>94</v>
      </c>
      <c r="K11" s="363"/>
      <c r="L11" s="363"/>
      <c r="M11" s="363" t="s">
        <v>95</v>
      </c>
      <c r="N11" s="434" t="s">
        <v>96</v>
      </c>
      <c r="O11" s="363" t="s">
        <v>97</v>
      </c>
      <c r="P11" s="433"/>
      <c r="Q11" s="433"/>
      <c r="R11" s="433"/>
      <c r="S11" s="433"/>
    </row>
    <row s="9038" customFormat="1" customHeight="1" ht="14.25">
      <c r="A12" s="2134">
        <v>1</v>
      </c>
      <c r="B12" s="653"/>
      <c r="C12" s="997"/>
      <c r="D12" s="1022"/>
      <c r="E12" s="427">
        <f>A12</f>
        <v>1</v>
      </c>
      <c r="F12" s="1042" t="s">
        <v>98</v>
      </c>
      <c r="G12" s="777" t="str">
        <f>"Территория "&amp;E12</f>
        <v>Территория 1</v>
      </c>
      <c r="H12" s="1032"/>
      <c r="I12" s="1032"/>
      <c r="J12" s="1029"/>
      <c r="K12" s="737"/>
      <c r="L12" s="737"/>
      <c r="M12" s="737"/>
      <c r="N12" s="434"/>
      <c r="O12" s="737"/>
      <c r="P12" s="433"/>
      <c r="Q12" s="433"/>
      <c r="R12" s="433"/>
      <c r="S12" s="433"/>
    </row>
    <row s="11403" customFormat="1" customHeight="1" ht="15">
      <c r="A13" s="2134"/>
      <c r="B13" s="653">
        <v>1</v>
      </c>
      <c r="C13" s="653"/>
      <c r="D13" s="1040"/>
      <c r="E13" s="1019" t="str">
        <f>A12&amp;"."&amp;B13</f>
        <v>1.1</v>
      </c>
      <c r="F13" s="1035" t="s">
        <v>99</v>
      </c>
      <c r="G13" s="1033" t="s">
        <v>100</v>
      </c>
      <c r="H13" s="1033" t="s">
        <v>100</v>
      </c>
      <c r="I13" s="1031" t="s">
        <v>101</v>
      </c>
      <c r="J13" s="737">
        <f>MERGEVALUE(G13)</f>
      </c>
      <c r="K13" s="748"/>
      <c r="L13" s="748"/>
      <c r="M13" s="737" t="str">
        <f t="array" ref="M13:M13">IF(ISERROR(MATCH(MID(N13,1,250),MID(note_ter,1,250),0)),"n","y")</f>
        <v>n</v>
      </c>
      <c r="N13" s="748"/>
      <c r="O13" s="737" t="str">
        <f>H13&amp;"("&amp;I13&amp;")"</f>
        <v>городской округ Жигулевск(36704000)</v>
      </c>
      <c r="P13" s="653"/>
      <c r="Q13" s="653"/>
      <c r="R13" s="656"/>
      <c r="S13" s="653"/>
      <c r="T13" s="653"/>
      <c r="U13" s="653"/>
      <c r="V13" s="658"/>
      <c r="W13" s="658"/>
      <c r="X13" s="655"/>
      <c r="Y13" s="655"/>
      <c r="Z13" s="655"/>
      <c r="AA13" s="655"/>
      <c r="AB13" s="655"/>
    </row>
    <row s="11403" customFormat="1" customHeight="1" ht="15">
      <c r="A14" s="2134"/>
      <c r="B14" s="653"/>
      <c r="C14" s="648"/>
      <c r="D14" s="1041"/>
      <c r="E14" s="657"/>
      <c r="F14" s="385"/>
      <c r="G14" s="651" t="s">
        <v>102</v>
      </c>
      <c r="H14" s="394"/>
      <c r="I14" s="660"/>
      <c r="J14" s="748"/>
      <c r="K14" s="748"/>
      <c r="L14" s="748"/>
      <c r="M14" s="748"/>
      <c r="N14" s="737"/>
      <c r="O14" s="748"/>
      <c r="P14" s="653"/>
      <c r="Q14" s="653"/>
      <c r="R14" s="656"/>
      <c r="S14" s="653"/>
      <c r="T14" s="653"/>
      <c r="U14" s="653"/>
      <c r="V14" s="658"/>
      <c r="W14" s="658"/>
      <c r="X14" s="655"/>
      <c r="Y14" s="655"/>
      <c r="Z14" s="655"/>
      <c r="AA14" s="655"/>
      <c r="AB14" s="655"/>
    </row>
    <row s="9038" customFormat="1" customHeight="1" ht="14.25">
      <c r="A15" s="997"/>
      <c r="B15" s="653"/>
      <c r="C15" s="997"/>
      <c r="D15" s="1022"/>
      <c r="E15" s="1034"/>
      <c r="F15" s="386"/>
      <c r="G15" s="652" t="s">
        <v>103</v>
      </c>
      <c r="H15" s="386"/>
      <c r="I15" s="387"/>
      <c r="J15" s="457"/>
      <c r="K15" s="363"/>
      <c r="L15" s="363"/>
      <c r="M15" s="363"/>
      <c r="N15" s="434" t="s">
        <v>104</v>
      </c>
      <c r="O15" s="363"/>
      <c r="P15" s="433"/>
      <c r="Q15" s="433"/>
      <c r="R15" s="433"/>
      <c r="S15" s="433"/>
    </row>
    <row s="9038" customFormat="1" customHeight="1" ht="21">
      <c r="A16" s="997"/>
      <c r="B16" s="653"/>
      <c r="C16" s="997"/>
      <c r="D16" s="373"/>
      <c r="E16" s="388"/>
      <c r="F16" s="388"/>
      <c r="G16" s="388"/>
      <c r="H16" s="388"/>
      <c r="I16" s="388"/>
      <c r="J16" s="363"/>
      <c r="K16" s="363"/>
      <c r="L16" s="363"/>
      <c r="M16" s="363"/>
      <c r="N16" s="434"/>
      <c r="O16" s="363"/>
      <c r="P16" s="433"/>
      <c r="Q16" s="433"/>
      <c r="R16" s="433"/>
      <c r="S16" s="433"/>
    </row>
    <row s="9038" customFormat="1" customHeight="1" ht="14.25">
      <c r="A17" s="997"/>
      <c r="B17" s="653"/>
      <c r="C17" s="997"/>
      <c r="D17" s="373"/>
      <c r="E17" s="285"/>
      <c r="F17" s="997"/>
      <c r="G17" s="285"/>
      <c r="H17" s="285"/>
      <c r="I17" s="285"/>
      <c r="J17" s="363"/>
      <c r="K17" s="363"/>
      <c r="L17" s="363"/>
      <c r="M17" s="363"/>
      <c r="N17" s="434"/>
      <c r="O17" s="363"/>
      <c r="P17" s="433"/>
      <c r="Q17" s="433"/>
      <c r="R17" s="433"/>
      <c r="S17" s="433"/>
    </row>
    <row s="9038" customFormat="1" customHeight="1" ht="0.75">
      <c r="A18" s="997"/>
      <c r="B18" s="653"/>
      <c r="C18" s="997"/>
      <c r="D18" s="373"/>
      <c r="E18" s="285"/>
      <c r="F18" s="997"/>
      <c r="G18" s="285"/>
      <c r="H18" s="285"/>
      <c r="I18" s="285"/>
      <c r="J18" s="363"/>
      <c r="K18" s="363"/>
      <c r="L18" s="363"/>
      <c r="M18" s="363"/>
      <c r="N18" s="434"/>
      <c r="O18" s="363"/>
      <c r="P18" s="433"/>
      <c r="Q18" s="433"/>
      <c r="R18" s="433"/>
      <c r="S18" s="433"/>
    </row>
    <row s="11226" customFormat="1" customHeight="1" ht="10.5">
      <c r="B19" s="1079"/>
      <c r="D19" s="390"/>
      <c r="J19" s="363"/>
      <c r="K19" s="363"/>
      <c r="L19" s="363"/>
      <c r="M19" s="363"/>
      <c r="N19" s="434"/>
      <c r="O19" s="363"/>
      <c r="P19" s="433"/>
      <c r="Q19" s="433"/>
      <c r="R19" s="433"/>
      <c r="S19" s="433"/>
    </row>
    <row s="11226" customFormat="1" customHeight="1" ht="10.5">
      <c r="B20" s="1079"/>
      <c r="D20" s="390"/>
      <c r="J20" s="363"/>
      <c r="K20" s="363"/>
      <c r="L20" s="363"/>
      <c r="M20" s="363"/>
      <c r="N20" s="434"/>
      <c r="O20" s="363"/>
      <c r="P20" s="433"/>
      <c r="Q20" s="433"/>
      <c r="R20" s="433"/>
      <c r="S20" s="433"/>
    </row>
    <row r="24" customHeight="1" ht="14.25">
      <c r="H24" s="255"/>
    </row>
    <row r="28" customHeight="1" ht="14.25">
      <c r="J28" s="285"/>
      <c r="K28" s="285"/>
      <c r="L28" s="285"/>
    </row>
  </sheetData>
  <sheetProtection formatColumns="0" formatRows="0" autoFilter="0" sort="0" insertRows="0" insertColumns="1" deleteRows="0" deleteColumns="0"/>
  <mergeCells count="4">
    <mergeCell ref="A12:A14"/>
    <mergeCell ref="E4:I4"/>
    <mergeCell ref="E8:G8"/>
    <mergeCell ref="H8:I8"/>
  </mergeCells>
  <dataValidations count="1">
    <dataValidation type="textLength" operator="lessThanOrEqual" allowBlank="1" showInputMessage="1" showErrorMessage="1" errorTitle="Ошибка" error="Допускается ввод не более 900 символов!" sqref="G12">
      <formula1>900</formula1>
    </dataValidation>
  </dataValidations>
  <printOptions horizontalCentered="1" verticalCentered="1"/>
  <pageMargins left="0.00" right="0.00" top="0.00" bottom="0.00" header="0.00" footer="0.79"/>
  <pageSetup paperSize="9" scale="60" fitToHeight="0" pageOrder="downThenOver" orientation="portrait" blackAndWhite="1"/>
  <headerFooter>
    <oddHeader>&amp;L&amp;C&amp;R</oddHeader>
    <oddFooter>&amp;L&amp;C&amp;R</oddFooter>
    <evenHeader>&amp;L&amp;C&amp;R</evenHeader>
    <evenFooter>&amp;L&amp;C&amp;R</evenFooter>
  </headerFooter>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69FFEC6-7B48-EA96-7F2D-9C1F29AF6735}" mc:Ignorable="x14ac xr xr2 xr3">
  <sheetPr>
    <tabColor rgb="FFCCCCFF"/>
  </sheetPr>
  <dimension ref="A1:AL43"/>
  <sheetViews>
    <sheetView topLeftCell="C3" showGridLines="0" zoomScale="90" workbookViewId="0">
      <selection activeCell="M19" sqref="M19"/>
    </sheetView>
  </sheetViews>
  <sheetFormatPr defaultColWidth="9.140625" customHeight="1" defaultRowHeight="11.25"/>
  <cols>
    <col min="1" max="1" style="10859" width="6.421875" hidden="1" customWidth="1"/>
    <col min="2" max="2" style="10859" width="2.00390625" hidden="1" customWidth="1"/>
    <col min="3" max="3" style="10859" width="3.7109375" customWidth="1"/>
    <col min="4" max="4" style="10859" width="4.28125" customWidth="1"/>
    <col min="5" max="5" style="10859" width="45.00390625" customWidth="1"/>
    <col min="6" max="6" style="10859" width="6.421875" customWidth="1"/>
    <col min="7" max="7" style="10859" width="4.421875" customWidth="1"/>
    <col min="8" max="8" style="10859" width="5.57421875" customWidth="1"/>
    <col min="9" max="9" style="10859" width="52.8515625" customWidth="1"/>
    <col min="10" max="10" style="10859" width="7.00390625" customWidth="1"/>
    <col min="11" max="11" style="10859" width="3.7109375" customWidth="1"/>
    <col min="12" max="12" style="10859" width="6.28125" customWidth="1"/>
    <col min="13" max="13" style="10859" width="56.28125" customWidth="1"/>
    <col min="14" max="14" style="9731" width="9.140625"/>
    <col min="15" max="20" style="11318" width="9.140625" hidden="1"/>
    <col min="21" max="24" style="11120" width="9.140625" hidden="1"/>
    <col min="25" max="37" style="9731" width="9.140625" hidden="1"/>
    <col min="38" max="38" style="9731" width="9.140625"/>
  </cols>
  <sheetData>
    <row customHeight="1" ht="11.25" hidden="1"/>
    <row customHeight="1" ht="11.25" hidden="1"/>
    <row r="4" customHeight="1" ht="34.5">
      <c r="A4" s="822"/>
      <c r="B4" s="822"/>
      <c r="D4" s="2154" t="str">
        <f>Титульный!E5</f>
        <v>Информация о наличии (отсутствии) технической возможности подключения к централизованной системе теплоснабжения, а также о регистрации и ходе реализации заявок о подключении к централизованной системе теплоснабжения</v>
      </c>
      <c r="E4" s="2155"/>
      <c r="F4" s="2155"/>
      <c r="G4" s="2155"/>
      <c r="H4" s="2155"/>
      <c r="I4" s="2156"/>
      <c r="J4" s="821"/>
      <c r="K4" s="821"/>
      <c r="L4" s="821"/>
      <c r="M4" s="821"/>
    </row>
    <row s="8660" customFormat="1" customHeight="1" ht="15">
      <c r="A5" s="822"/>
      <c r="B5" s="822"/>
      <c r="C5" s="822"/>
      <c r="D5" s="2157" t="str">
        <f>IF(org=0,"Не определено",org)</f>
        <v>ООО "СамРЭК-Тепло Жигулевск"</v>
      </c>
      <c r="E5" s="2158"/>
      <c r="F5" s="2158"/>
      <c r="G5" s="2158"/>
      <c r="H5" s="2158"/>
      <c r="I5" s="2159"/>
      <c r="J5" s="823"/>
      <c r="K5" s="823"/>
      <c r="L5" s="823"/>
      <c r="M5" s="823"/>
      <c r="N5" s="823"/>
      <c r="O5" s="1117"/>
      <c r="P5" s="1117"/>
      <c r="Q5" s="1117"/>
      <c r="R5" s="1117"/>
      <c r="S5" s="1117"/>
      <c r="T5" s="1117"/>
      <c r="U5" s="1550"/>
      <c r="V5" s="1550"/>
      <c r="W5" s="1550"/>
      <c r="X5" s="1550"/>
      <c r="Y5" s="823"/>
      <c r="Z5" s="823"/>
      <c r="AA5" s="823"/>
      <c r="AB5" s="823"/>
      <c r="AC5" s="823"/>
      <c r="AD5" s="823"/>
      <c r="AE5" s="823"/>
      <c r="AF5" s="823"/>
      <c r="AG5" s="823"/>
      <c r="AH5" s="823"/>
      <c r="AI5" s="823"/>
      <c r="AJ5" s="823"/>
      <c r="AK5" s="823"/>
      <c r="AL5" s="823"/>
    </row>
    <row s="8660" customFormat="1" customHeight="1" ht="6">
      <c r="A6" s="2160"/>
      <c r="B6" s="2160"/>
      <c r="C6" s="2160"/>
      <c r="D6" s="2160"/>
      <c r="E6" s="2160"/>
      <c r="F6" s="2160"/>
      <c r="G6" s="825"/>
      <c r="H6" s="825"/>
      <c r="I6" s="825"/>
      <c r="J6" s="825"/>
      <c r="K6" s="825"/>
      <c r="N6" s="827"/>
      <c r="O6" s="1711"/>
      <c r="P6" s="1711"/>
      <c r="Q6" s="1711"/>
      <c r="R6" s="1711"/>
      <c r="S6" s="1711"/>
      <c r="T6" s="1711"/>
      <c r="U6" s="1553"/>
      <c r="V6" s="1553"/>
      <c r="W6" s="1553"/>
      <c r="X6" s="1553"/>
      <c r="Y6" s="827"/>
      <c r="Z6" s="827"/>
      <c r="AA6" s="827"/>
      <c r="AB6" s="827"/>
      <c r="AC6" s="827"/>
      <c r="AD6" s="827"/>
      <c r="AE6" s="827"/>
      <c r="AF6" s="827"/>
      <c r="AG6" s="827"/>
      <c r="AH6" s="827"/>
      <c r="AI6" s="827"/>
      <c r="AJ6" s="827"/>
      <c r="AK6" s="827"/>
      <c r="AL6" s="827"/>
    </row>
    <row customHeight="1" ht="45.75" hidden="1">
      <c r="E7" s="2165" t="str">
        <f>"1. В случае дифференциации раскрываемой информации по системам "&amp;TEMPLATE_SPHERE_RUS&amp;" для каждой системы "&amp;TEMPLATE_SPHERE_RUS&amp;"должна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"&amp;TEMPLATE_SPHERE_RUS&amp;"будут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f>
        <v>1. В случае дифференциации раскрываемой информации по системам теплоснабжения для каждой системы теплоснабжениядолжна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теплоснабжениябудут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v>
      </c>
      <c r="F7" s="2166"/>
      <c r="G7" s="2166"/>
      <c r="H7" s="2166"/>
      <c r="I7" s="2166"/>
      <c r="J7" s="2166"/>
      <c r="K7" s="2166"/>
      <c r="L7" s="2166"/>
      <c r="M7" s="2166"/>
    </row>
    <row s="8660" customFormat="1" customHeight="1" ht="6">
      <c r="A8" s="828"/>
      <c r="B8" s="828"/>
      <c r="C8" s="828"/>
      <c r="D8" s="828"/>
      <c r="E8" s="828"/>
      <c r="F8" s="828"/>
      <c r="G8" s="828"/>
      <c r="H8" s="828"/>
      <c r="I8" s="828"/>
      <c r="J8" s="828"/>
      <c r="K8" s="828"/>
      <c r="L8" s="828"/>
      <c r="M8" s="826"/>
      <c r="N8" s="823"/>
      <c r="O8" s="1117"/>
      <c r="P8" s="1117"/>
      <c r="Q8" s="1117"/>
      <c r="R8" s="1117"/>
      <c r="S8" s="1117"/>
      <c r="T8" s="1117"/>
      <c r="U8" s="1550"/>
      <c r="V8" s="1550"/>
      <c r="W8" s="1550"/>
      <c r="X8" s="1550"/>
      <c r="Y8" s="823"/>
      <c r="Z8" s="823"/>
      <c r="AA8" s="823"/>
      <c r="AB8" s="823"/>
      <c r="AC8" s="823"/>
      <c r="AD8" s="823"/>
      <c r="AE8" s="823"/>
      <c r="AF8" s="823"/>
      <c r="AG8" s="823"/>
      <c r="AH8" s="823"/>
      <c r="AI8" s="823"/>
      <c r="AJ8" s="823"/>
      <c r="AK8" s="823"/>
      <c r="AL8" s="823"/>
    </row>
    <row customHeight="1" ht="18">
      <c r="A9" s="2161"/>
      <c r="B9" s="543"/>
      <c r="C9" s="543"/>
      <c r="D9" s="2162" t="s">
        <v>105</v>
      </c>
      <c r="E9" s="2162"/>
      <c r="F9" s="2163" t="s">
        <v>106</v>
      </c>
      <c r="G9" s="2164"/>
      <c r="H9" s="2164"/>
      <c r="I9" s="2164"/>
      <c r="J9" s="2167" t="s">
        <v>107</v>
      </c>
      <c r="K9" s="2167"/>
      <c r="L9" s="2167"/>
      <c r="M9" s="2167"/>
    </row>
    <row customHeight="1" ht="22.5">
      <c r="A10" s="2161"/>
      <c r="B10" s="829"/>
      <c r="C10" s="762"/>
      <c r="D10" s="760" t="s">
        <v>88</v>
      </c>
      <c r="E10" s="760" t="s">
        <v>89</v>
      </c>
      <c r="F10" s="760" t="s">
        <v>108</v>
      </c>
      <c r="G10" s="2168" t="s">
        <v>88</v>
      </c>
      <c r="H10" s="2169"/>
      <c r="I10" s="760" t="s">
        <v>89</v>
      </c>
      <c r="J10" s="760" t="s">
        <v>108</v>
      </c>
      <c r="K10" s="2168" t="s">
        <v>88</v>
      </c>
      <c r="L10" s="2169"/>
      <c r="M10" s="760" t="s">
        <v>89</v>
      </c>
      <c r="N10" s="1940"/>
    </row>
    <row s="10859" customFormat="1" customHeight="1" ht="11.25" hidden="1">
      <c r="A11" s="830"/>
      <c r="B11" s="830"/>
      <c r="C11" s="830"/>
      <c r="D11" s="831" t="s">
        <v>109</v>
      </c>
      <c r="E11" s="831" t="s">
        <v>110</v>
      </c>
      <c r="F11" s="831" t="s">
        <v>90</v>
      </c>
      <c r="G11" s="2150" t="s">
        <v>91</v>
      </c>
      <c r="H11" s="2151"/>
      <c r="I11" s="831" t="s">
        <v>111</v>
      </c>
      <c r="J11" s="831" t="s">
        <v>92</v>
      </c>
      <c r="K11" s="2152" t="s">
        <v>93</v>
      </c>
      <c r="L11" s="2153"/>
      <c r="M11" s="831" t="s">
        <v>112</v>
      </c>
      <c r="N11" s="1939"/>
      <c r="O11" s="1710"/>
      <c r="P11" s="1712"/>
      <c r="Q11" s="1712"/>
      <c r="R11" s="1712"/>
      <c r="S11" s="1712"/>
      <c r="T11" s="1712"/>
      <c r="U11" s="1554"/>
      <c r="V11" s="1554"/>
      <c r="W11" s="1554"/>
      <c r="X11" s="1554"/>
      <c r="Y11" s="832"/>
      <c r="Z11" s="832"/>
      <c r="AA11" s="832"/>
      <c r="AB11" s="832"/>
      <c r="AC11" s="832"/>
      <c r="AD11" s="832"/>
      <c r="AE11" s="832"/>
      <c r="AF11" s="832"/>
      <c r="AG11" s="832"/>
      <c r="AH11" s="832"/>
      <c r="AI11" s="832"/>
      <c r="AJ11" s="832"/>
      <c r="AK11" s="832"/>
      <c r="AL11" s="832"/>
    </row>
    <row customHeight="1" ht="0.75">
      <c r="A12" s="834"/>
      <c r="B12" s="835"/>
      <c r="C12" s="835"/>
      <c r="D12" s="836"/>
      <c r="E12" s="592"/>
      <c r="F12" s="837"/>
      <c r="G12" s="1319"/>
      <c r="H12" s="1319"/>
      <c r="I12" s="837"/>
      <c r="J12" s="837"/>
      <c r="K12" s="382"/>
      <c r="L12" s="592"/>
      <c r="M12" s="838"/>
      <c r="N12" s="1940"/>
      <c r="O12" s="1710" t="s">
        <v>113</v>
      </c>
      <c r="P12" s="1710" t="s">
        <v>114</v>
      </c>
      <c r="Q12" s="1710" t="s">
        <v>115</v>
      </c>
      <c r="R12" s="1710" t="s">
        <v>116</v>
      </c>
    </row>
    <row s="10859" customFormat="1" customHeight="1" ht="15">
      <c r="A13" s="503"/>
      <c r="B13" s="503"/>
      <c r="C13" s="763"/>
      <c r="D13" s="2143" t="s">
        <v>109</v>
      </c>
      <c r="E13" s="2144" t="str">
        <f>INDEX(VD_NAME_LIST,MATCH("4190064",VD_ID_LIST,0))</f>
        <v>Производство тепловой энергии. Некомбинированная выработка</v>
      </c>
      <c r="F13" s="2147" t="s">
        <v>67</v>
      </c>
      <c r="G13" s="2148"/>
      <c r="H13" s="2149">
        <v>1</v>
      </c>
      <c r="I13" s="2140" t="str">
        <f>IF(U13="","",INDEX(TERRITORY_MR_LIST,MATCH(U13,TERRITORY_LIST_ID,0)))</f>
        <v>Территория 1</v>
      </c>
      <c r="J13" s="2142" t="s">
        <v>67</v>
      </c>
      <c r="K13" s="839"/>
      <c r="L13" s="764" t="s">
        <v>109</v>
      </c>
      <c r="M13" s="5509" t="s">
        <v>117</v>
      </c>
      <c r="N13" s="1055"/>
      <c r="O13" s="1713" t="s">
        <v>118</v>
      </c>
      <c r="P13" s="1710" t="str">
        <f>$E$13</f>
        <v>Производство тепловой энергии. Некомбинированная выработка</v>
      </c>
      <c r="Q13" s="1710" t="str">
        <f>IF($F$13="нет","без дифференциации",$I$13)</f>
        <v>Территория 1</v>
      </c>
      <c r="R13" s="1710" t="str">
        <f>IF($J$13="нет","без дифференциации",M13)</f>
        <v>Котельная №1 по ул.Ново-Самарская, д.12</v>
      </c>
      <c r="S13" s="1713"/>
      <c r="T13" s="1713"/>
      <c r="U13" s="1555" t="s">
        <v>98</v>
      </c>
      <c r="V13" s="1555" t="s">
        <v>119</v>
      </c>
      <c r="W13" s="1555"/>
      <c r="X13" s="1555"/>
      <c r="Y13" s="841" t="s">
        <v>120</v>
      </c>
      <c r="Z13" s="841">
        <v>1705000</v>
      </c>
      <c r="AA13" s="841"/>
      <c r="AB13" s="841"/>
      <c r="AC13" s="841"/>
      <c r="AD13" s="841"/>
      <c r="AE13" s="841"/>
      <c r="AF13" s="841"/>
      <c r="AG13" s="841"/>
      <c r="AH13" s="841"/>
      <c r="AI13" s="841"/>
      <c r="AJ13" s="841"/>
      <c r="AK13" s="841"/>
      <c r="AL13" s="841"/>
    </row>
    <row customHeight="1" ht="15">
      <c r="A14" s="503"/>
      <c r="B14" s="503"/>
      <c r="C14" s="384"/>
      <c r="D14" s="2043"/>
      <c r="E14" s="2043"/>
      <c r="F14" s="2043"/>
      <c r="G14" s="2043"/>
      <c r="H14" s="2043"/>
      <c r="I14" s="2043"/>
      <c r="J14" s="2043"/>
      <c r="K14" s="2044" t="s">
        <v>121</v>
      </c>
      <c r="L14" s="2042" t="s">
        <v>110</v>
      </c>
      <c r="M14" s="1054" t="s">
        <v>122</v>
      </c>
      <c r="N14" s="1055"/>
      <c r="O14" s="841" t="s">
        <v>123</v>
      </c>
      <c r="P14" s="841" t="str">
        <f>$E$13</f>
        <v>Производство тепловой энергии. Некомбинированная выработка</v>
      </c>
      <c r="Q14" s="841" t="str">
        <f>IF($F$13="нет","без дифференциации",$I$13)</f>
        <v>Территория 1</v>
      </c>
      <c r="R14" s="841" t="str">
        <f>IF($J$14="нет","без дифференциации",$M$14)</f>
        <v>Котельная №2,  ул.Пирогова около д.4</v>
      </c>
      <c r="S14" s="841"/>
      <c r="T14" s="841"/>
      <c r="U14" s="842"/>
      <c r="V14" s="841"/>
      <c r="W14" s="841"/>
      <c r="X14" s="832"/>
      <c r="Y14" s="832" t="s">
        <v>120</v>
      </c>
      <c r="Z14" s="832">
        <v>1705000</v>
      </c>
      <c r="AA14" s="832"/>
      <c r="AB14" s="832"/>
      <c r="AC14" s="832"/>
      <c r="AD14" s="832"/>
      <c r="AE14" s="832"/>
      <c r="AF14" s="832"/>
      <c r="AG14" s="832"/>
      <c r="AH14" s="832"/>
      <c r="AI14" s="832"/>
      <c r="AJ14" s="832"/>
      <c r="AK14" s="832"/>
      <c r="AL14" s="832"/>
    </row>
    <row customHeight="1" ht="15">
      <c r="A15" s="503"/>
      <c r="B15" s="503"/>
      <c r="C15" s="384"/>
      <c r="D15" s="2043"/>
      <c r="E15" s="2043"/>
      <c r="F15" s="2043"/>
      <c r="G15" s="2043"/>
      <c r="H15" s="2043"/>
      <c r="I15" s="2043"/>
      <c r="J15" s="2043"/>
      <c r="K15" s="2044" t="s">
        <v>121</v>
      </c>
      <c r="L15" s="2042" t="s">
        <v>90</v>
      </c>
      <c r="M15" s="1054" t="s">
        <v>124</v>
      </c>
      <c r="N15" s="1055"/>
      <c r="O15" s="841" t="s">
        <v>125</v>
      </c>
      <c r="P15" s="841" t="str">
        <f>$E$13</f>
        <v>Производство тепловой энергии. Некомбинированная выработка</v>
      </c>
      <c r="Q15" s="841" t="str">
        <f>IF($F$13="нет","без дифференциации",$I$13)</f>
        <v>Территория 1</v>
      </c>
      <c r="R15" s="841" t="str">
        <f>IF($J$15="нет","без дифференциации",$M$15)</f>
        <v>Котельная №3, ул.Комсомольская около д.1 по ул.Ленина</v>
      </c>
      <c r="S15" s="841"/>
      <c r="T15" s="841"/>
      <c r="U15" s="842"/>
      <c r="V15" s="841"/>
      <c r="W15" s="841"/>
      <c r="X15" s="832"/>
      <c r="Y15" s="832" t="s">
        <v>120</v>
      </c>
      <c r="Z15" s="832">
        <v>1705000</v>
      </c>
      <c r="AA15" s="832"/>
      <c r="AB15" s="832"/>
      <c r="AC15" s="832"/>
      <c r="AD15" s="832"/>
      <c r="AE15" s="832"/>
      <c r="AF15" s="832"/>
      <c r="AG15" s="832"/>
      <c r="AH15" s="832"/>
      <c r="AI15" s="832"/>
      <c r="AJ15" s="832"/>
      <c r="AK15" s="832"/>
      <c r="AL15" s="832"/>
    </row>
    <row customHeight="1" ht="15">
      <c r="A16" s="503"/>
      <c r="B16" s="503"/>
      <c r="C16" s="384"/>
      <c r="D16" s="2043"/>
      <c r="E16" s="2043"/>
      <c r="F16" s="2043"/>
      <c r="G16" s="2043"/>
      <c r="H16" s="2043"/>
      <c r="I16" s="2043"/>
      <c r="J16" s="2043"/>
      <c r="K16" s="2044" t="s">
        <v>121</v>
      </c>
      <c r="L16" s="2042" t="s">
        <v>91</v>
      </c>
      <c r="M16" s="1054" t="s">
        <v>126</v>
      </c>
      <c r="N16" s="1055"/>
      <c r="O16" s="841" t="s">
        <v>127</v>
      </c>
      <c r="P16" s="841" t="str">
        <f>$E$13</f>
        <v>Производство тепловой энергии. Некомбинированная выработка</v>
      </c>
      <c r="Q16" s="841" t="str">
        <f>IF($F$13="нет","без дифференциации",$I$13)</f>
        <v>Территория 1</v>
      </c>
      <c r="R16" s="841" t="str">
        <f>IF($J$16="нет","без дифференциации",$M$16)</f>
        <v>Тепловой центр №1 ул.Вокзальная ок д.№8</v>
      </c>
      <c r="S16" s="841"/>
      <c r="T16" s="841"/>
      <c r="U16" s="842"/>
      <c r="V16" s="841"/>
      <c r="W16" s="841"/>
      <c r="X16" s="832"/>
      <c r="Y16" s="832" t="s">
        <v>120</v>
      </c>
      <c r="Z16" s="832">
        <v>1705000</v>
      </c>
      <c r="AA16" s="832"/>
      <c r="AB16" s="832"/>
      <c r="AC16" s="832"/>
      <c r="AD16" s="832"/>
      <c r="AE16" s="832"/>
      <c r="AF16" s="832"/>
      <c r="AG16" s="832"/>
      <c r="AH16" s="832"/>
      <c r="AI16" s="832"/>
      <c r="AJ16" s="832"/>
      <c r="AK16" s="832"/>
      <c r="AL16" s="832"/>
    </row>
    <row customHeight="1" ht="15">
      <c r="A17" s="503"/>
      <c r="B17" s="503"/>
      <c r="C17" s="384"/>
      <c r="D17" s="2043"/>
      <c r="E17" s="2043"/>
      <c r="F17" s="2043"/>
      <c r="G17" s="2043"/>
      <c r="H17" s="2043"/>
      <c r="I17" s="2043"/>
      <c r="J17" s="2043"/>
      <c r="K17" s="2044" t="s">
        <v>121</v>
      </c>
      <c r="L17" s="2042" t="s">
        <v>111</v>
      </c>
      <c r="M17" s="1054" t="s">
        <v>128</v>
      </c>
      <c r="N17" s="1055"/>
      <c r="O17" s="841" t="s">
        <v>129</v>
      </c>
      <c r="P17" s="841" t="str">
        <f>$E$13</f>
        <v>Производство тепловой энергии. Некомбинированная выработка</v>
      </c>
      <c r="Q17" s="841" t="str">
        <f>IF($F$13="нет","без дифференциации",$I$13)</f>
        <v>Территория 1</v>
      </c>
      <c r="R17" s="841" t="str">
        <f>IF($J$17="нет","без дифференциации",$M$17)</f>
        <v>Котельная №5, Александр. Поле, около д.30 по ул.Советская </v>
      </c>
      <c r="S17" s="841"/>
      <c r="T17" s="841"/>
      <c r="U17" s="842"/>
      <c r="V17" s="841"/>
      <c r="W17" s="841"/>
      <c r="X17" s="832"/>
      <c r="Y17" s="832" t="s">
        <v>120</v>
      </c>
      <c r="Z17" s="832">
        <v>1705000</v>
      </c>
      <c r="AA17" s="832"/>
      <c r="AB17" s="832"/>
      <c r="AC17" s="832"/>
      <c r="AD17" s="832"/>
      <c r="AE17" s="832"/>
      <c r="AF17" s="832"/>
      <c r="AG17" s="832"/>
      <c r="AH17" s="832"/>
      <c r="AI17" s="832"/>
      <c r="AJ17" s="832"/>
      <c r="AK17" s="832"/>
      <c r="AL17" s="832"/>
    </row>
    <row customHeight="1" ht="15">
      <c r="A18" s="503"/>
      <c r="B18" s="503"/>
      <c r="C18" s="384"/>
      <c r="D18" s="2043"/>
      <c r="E18" s="2043"/>
      <c r="F18" s="2043"/>
      <c r="G18" s="2043"/>
      <c r="H18" s="2043"/>
      <c r="I18" s="2043"/>
      <c r="J18" s="2043"/>
      <c r="K18" s="2044" t="s">
        <v>121</v>
      </c>
      <c r="L18" s="2042" t="s">
        <v>92</v>
      </c>
      <c r="M18" s="1054" t="s">
        <v>130</v>
      </c>
      <c r="N18" s="1055"/>
      <c r="O18" s="841" t="s">
        <v>131</v>
      </c>
      <c r="P18" s="841" t="str">
        <f>$E$13</f>
        <v>Производство тепловой энергии. Некомбинированная выработка</v>
      </c>
      <c r="Q18" s="841" t="str">
        <f>IF($F$13="нет","без дифференциации",$I$13)</f>
        <v>Территория 1</v>
      </c>
      <c r="R18" s="841" t="str">
        <f>IF($J$18="нет","без дифференциации",$M$18)</f>
        <v>Котельная №6, ул.Пушкина </v>
      </c>
      <c r="S18" s="841"/>
      <c r="T18" s="841"/>
      <c r="U18" s="842"/>
      <c r="V18" s="841"/>
      <c r="W18" s="841"/>
      <c r="X18" s="832"/>
      <c r="Y18" s="832" t="s">
        <v>120</v>
      </c>
      <c r="Z18" s="832">
        <v>1705000</v>
      </c>
      <c r="AA18" s="832"/>
      <c r="AB18" s="832"/>
      <c r="AC18" s="832"/>
      <c r="AD18" s="832"/>
      <c r="AE18" s="832"/>
      <c r="AF18" s="832"/>
      <c r="AG18" s="832"/>
      <c r="AH18" s="832"/>
      <c r="AI18" s="832"/>
      <c r="AJ18" s="832"/>
      <c r="AK18" s="832"/>
      <c r="AL18" s="832"/>
    </row>
    <row customHeight="1" ht="15">
      <c r="A19" s="503"/>
      <c r="B19" s="503"/>
      <c r="C19" s="384"/>
      <c r="D19" s="2043"/>
      <c r="E19" s="2043"/>
      <c r="F19" s="2043"/>
      <c r="G19" s="2043"/>
      <c r="H19" s="2043"/>
      <c r="I19" s="2043"/>
      <c r="J19" s="2043"/>
      <c r="K19" s="2044" t="s">
        <v>121</v>
      </c>
      <c r="L19" s="2042" t="s">
        <v>93</v>
      </c>
      <c r="M19" s="1054" t="s">
        <v>132</v>
      </c>
      <c r="N19" s="1055"/>
      <c r="O19" s="841" t="s">
        <v>133</v>
      </c>
      <c r="P19" s="841" t="str">
        <f>$E$13</f>
        <v>Производство тепловой энергии. Некомбинированная выработка</v>
      </c>
      <c r="Q19" s="841" t="str">
        <f>IF($F$13="нет","без дифференциации",$I$13)</f>
        <v>Территория 1</v>
      </c>
      <c r="R19" s="841" t="str">
        <f>IF($J$19="нет","без дифференциации",$M$19)</f>
        <v>Тепловой центр №2 ул.Вокзальная ок д.№20</v>
      </c>
      <c r="S19" s="841"/>
      <c r="T19" s="841"/>
      <c r="U19" s="842"/>
      <c r="V19" s="841"/>
      <c r="W19" s="841"/>
      <c r="X19" s="832"/>
      <c r="Y19" s="832" t="s">
        <v>120</v>
      </c>
      <c r="Z19" s="832">
        <v>1705000</v>
      </c>
      <c r="AA19" s="832"/>
      <c r="AB19" s="832"/>
      <c r="AC19" s="832"/>
      <c r="AD19" s="832"/>
      <c r="AE19" s="832"/>
      <c r="AF19" s="832"/>
      <c r="AG19" s="832"/>
      <c r="AH19" s="832"/>
      <c r="AI19" s="832"/>
      <c r="AJ19" s="832"/>
      <c r="AK19" s="832"/>
      <c r="AL19" s="832"/>
    </row>
    <row customHeight="1" ht="15">
      <c r="A20" s="503"/>
      <c r="B20" s="503"/>
      <c r="C20" s="384"/>
      <c r="D20" s="2043"/>
      <c r="E20" s="2043"/>
      <c r="F20" s="2043"/>
      <c r="G20" s="2043"/>
      <c r="H20" s="2043"/>
      <c r="I20" s="2043"/>
      <c r="J20" s="2043"/>
      <c r="K20" s="2044" t="s">
        <v>121</v>
      </c>
      <c r="L20" s="2042" t="s">
        <v>112</v>
      </c>
      <c r="M20" s="1054" t="s">
        <v>134</v>
      </c>
      <c r="N20" s="1055"/>
      <c r="O20" s="841" t="s">
        <v>135</v>
      </c>
      <c r="P20" s="841" t="str">
        <f>$E$13</f>
        <v>Производство тепловой энергии. Некомбинированная выработка</v>
      </c>
      <c r="Q20" s="841" t="str">
        <f>IF($F$13="нет","без дифференциации",$I$13)</f>
        <v>Территория 1</v>
      </c>
      <c r="R20" s="841" t="str">
        <f>IF($J$20="нет","без дифференциации",$M$20)</f>
        <v>Котельная №8, ул.Мира</v>
      </c>
      <c r="S20" s="841"/>
      <c r="T20" s="841"/>
      <c r="U20" s="842"/>
      <c r="V20" s="841"/>
      <c r="W20" s="841"/>
      <c r="X20" s="832"/>
      <c r="Y20" s="832" t="s">
        <v>120</v>
      </c>
      <c r="Z20" s="832">
        <v>1705000</v>
      </c>
      <c r="AA20" s="832"/>
      <c r="AB20" s="832"/>
      <c r="AC20" s="832"/>
      <c r="AD20" s="832"/>
      <c r="AE20" s="832"/>
      <c r="AF20" s="832"/>
      <c r="AG20" s="832"/>
      <c r="AH20" s="832"/>
      <c r="AI20" s="832"/>
      <c r="AJ20" s="832"/>
      <c r="AK20" s="832"/>
      <c r="AL20" s="832"/>
    </row>
    <row customHeight="1" ht="15">
      <c r="A21" s="503"/>
      <c r="B21" s="503"/>
      <c r="C21" s="384"/>
      <c r="D21" s="2043"/>
      <c r="E21" s="2043"/>
      <c r="F21" s="2043"/>
      <c r="G21" s="2043"/>
      <c r="H21" s="2043"/>
      <c r="I21" s="2043"/>
      <c r="J21" s="2043"/>
      <c r="K21" s="2044" t="s">
        <v>121</v>
      </c>
      <c r="L21" s="2042" t="s">
        <v>136</v>
      </c>
      <c r="M21" s="1054" t="s">
        <v>137</v>
      </c>
      <c r="N21" s="1055"/>
      <c r="O21" s="841" t="s">
        <v>138</v>
      </c>
      <c r="P21" s="841" t="str">
        <f>$E$13</f>
        <v>Производство тепловой энергии. Некомбинированная выработка</v>
      </c>
      <c r="Q21" s="841" t="str">
        <f>IF($F$13="нет","без дифференциации",$I$13)</f>
        <v>Территория 1</v>
      </c>
      <c r="R21" s="841" t="str">
        <f>IF($J$21="нет","без дифференциации",$M$21)</f>
        <v>Котельная №9, ул.Гоголя</v>
      </c>
      <c r="S21" s="841"/>
      <c r="T21" s="841"/>
      <c r="U21" s="842"/>
      <c r="V21" s="841"/>
      <c r="W21" s="841"/>
      <c r="X21" s="832"/>
      <c r="Y21" s="832" t="s">
        <v>120</v>
      </c>
      <c r="Z21" s="832">
        <v>1705000</v>
      </c>
      <c r="AA21" s="832"/>
      <c r="AB21" s="832"/>
      <c r="AC21" s="832"/>
      <c r="AD21" s="832"/>
      <c r="AE21" s="832"/>
      <c r="AF21" s="832"/>
      <c r="AG21" s="832"/>
      <c r="AH21" s="832"/>
      <c r="AI21" s="832"/>
      <c r="AJ21" s="832"/>
      <c r="AK21" s="832"/>
      <c r="AL21" s="832"/>
    </row>
    <row customHeight="1" ht="15">
      <c r="A22" s="503"/>
      <c r="B22" s="503"/>
      <c r="C22" s="384"/>
      <c r="D22" s="2043"/>
      <c r="E22" s="2043"/>
      <c r="F22" s="2043"/>
      <c r="G22" s="2043"/>
      <c r="H22" s="2043"/>
      <c r="I22" s="2043"/>
      <c r="J22" s="2043"/>
      <c r="K22" s="2044" t="s">
        <v>121</v>
      </c>
      <c r="L22" s="2042" t="s">
        <v>139</v>
      </c>
      <c r="M22" s="1054" t="s">
        <v>140</v>
      </c>
      <c r="N22" s="1055"/>
      <c r="O22" s="841" t="s">
        <v>141</v>
      </c>
      <c r="P22" s="841" t="str">
        <f>$E$13</f>
        <v>Производство тепловой энергии. Некомбинированная выработка</v>
      </c>
      <c r="Q22" s="841" t="str">
        <f>IF($F$13="нет","без дифференциации",$I$13)</f>
        <v>Территория 1</v>
      </c>
      <c r="R22" s="841" t="str">
        <f>IF($J$22="нет","без дифференциации",$M$22)</f>
        <v>Котельная №10, ул.Гоголя</v>
      </c>
      <c r="S22" s="841"/>
      <c r="T22" s="841"/>
      <c r="U22" s="842"/>
      <c r="V22" s="841"/>
      <c r="W22" s="841"/>
      <c r="X22" s="832"/>
      <c r="Y22" s="832" t="s">
        <v>120</v>
      </c>
      <c r="Z22" s="832">
        <v>1705000</v>
      </c>
      <c r="AA22" s="832"/>
      <c r="AB22" s="832"/>
      <c r="AC22" s="832"/>
      <c r="AD22" s="832"/>
      <c r="AE22" s="832"/>
      <c r="AF22" s="832"/>
      <c r="AG22" s="832"/>
      <c r="AH22" s="832"/>
      <c r="AI22" s="832"/>
      <c r="AJ22" s="832"/>
      <c r="AK22" s="832"/>
      <c r="AL22" s="832"/>
    </row>
    <row customHeight="1" ht="15">
      <c r="A23" s="503"/>
      <c r="B23" s="503"/>
      <c r="C23" s="384"/>
      <c r="D23" s="2043"/>
      <c r="E23" s="2043"/>
      <c r="F23" s="2043"/>
      <c r="G23" s="2043"/>
      <c r="H23" s="2043"/>
      <c r="I23" s="2043"/>
      <c r="J23" s="2043"/>
      <c r="K23" s="2044" t="s">
        <v>121</v>
      </c>
      <c r="L23" s="2042" t="s">
        <v>142</v>
      </c>
      <c r="M23" s="1054" t="s">
        <v>143</v>
      </c>
      <c r="N23" s="1055"/>
      <c r="O23" s="841" t="s">
        <v>144</v>
      </c>
      <c r="P23" s="841" t="str">
        <f>$E$13</f>
        <v>Производство тепловой энергии. Некомбинированная выработка</v>
      </c>
      <c r="Q23" s="841" t="str">
        <f>IF($F$13="нет","без дифференциации",$I$13)</f>
        <v>Территория 1</v>
      </c>
      <c r="R23" s="841" t="str">
        <f>IF($J$23="нет","без дифференциации",$M$23)</f>
        <v>Котельная №12а, ул.Мира</v>
      </c>
      <c r="S23" s="841"/>
      <c r="T23" s="841"/>
      <c r="U23" s="842"/>
      <c r="V23" s="841"/>
      <c r="W23" s="841"/>
      <c r="X23" s="832"/>
      <c r="Y23" s="832" t="s">
        <v>120</v>
      </c>
      <c r="Z23" s="832">
        <v>1705000</v>
      </c>
      <c r="AA23" s="832"/>
      <c r="AB23" s="832"/>
      <c r="AC23" s="832"/>
      <c r="AD23" s="832"/>
      <c r="AE23" s="832"/>
      <c r="AF23" s="832"/>
      <c r="AG23" s="832"/>
      <c r="AH23" s="832"/>
      <c r="AI23" s="832"/>
      <c r="AJ23" s="832"/>
      <c r="AK23" s="832"/>
      <c r="AL23" s="832"/>
    </row>
    <row customHeight="1" ht="15">
      <c r="A24" s="503"/>
      <c r="B24" s="503"/>
      <c r="C24" s="384"/>
      <c r="D24" s="2043"/>
      <c r="E24" s="2043"/>
      <c r="F24" s="2043"/>
      <c r="G24" s="2043"/>
      <c r="H24" s="2043"/>
      <c r="I24" s="2043"/>
      <c r="J24" s="2043"/>
      <c r="K24" s="2044" t="s">
        <v>121</v>
      </c>
      <c r="L24" s="2042" t="s">
        <v>145</v>
      </c>
      <c r="M24" s="1054" t="s">
        <v>146</v>
      </c>
      <c r="N24" s="1055"/>
      <c r="O24" s="841" t="s">
        <v>147</v>
      </c>
      <c r="P24" s="841" t="str">
        <f>$E$13</f>
        <v>Производство тепловой энергии. Некомбинированная выработка</v>
      </c>
      <c r="Q24" s="841" t="str">
        <f>IF($F$13="нет","без дифференциации",$I$13)</f>
        <v>Территория 1</v>
      </c>
      <c r="R24" s="841" t="str">
        <f>IF($J$24="нет","без дифференциации",$M$24)</f>
        <v>Котельная №13, ул.Морквашинская</v>
      </c>
      <c r="S24" s="841"/>
      <c r="T24" s="841"/>
      <c r="U24" s="842"/>
      <c r="V24" s="841"/>
      <c r="W24" s="841"/>
      <c r="X24" s="832"/>
      <c r="Y24" s="832" t="s">
        <v>120</v>
      </c>
      <c r="Z24" s="832">
        <v>1705000</v>
      </c>
      <c r="AA24" s="832"/>
      <c r="AB24" s="832"/>
      <c r="AC24" s="832"/>
      <c r="AD24" s="832"/>
      <c r="AE24" s="832"/>
      <c r="AF24" s="832"/>
      <c r="AG24" s="832"/>
      <c r="AH24" s="832"/>
      <c r="AI24" s="832"/>
      <c r="AJ24" s="832"/>
      <c r="AK24" s="832"/>
      <c r="AL24" s="832"/>
    </row>
    <row customHeight="1" ht="15">
      <c r="A25" s="503"/>
      <c r="B25" s="503"/>
      <c r="C25" s="384"/>
      <c r="D25" s="2043"/>
      <c r="E25" s="2043"/>
      <c r="F25" s="2043"/>
      <c r="G25" s="2043"/>
      <c r="H25" s="2043"/>
      <c r="I25" s="2043"/>
      <c r="J25" s="2043"/>
      <c r="K25" s="2044" t="s">
        <v>121</v>
      </c>
      <c r="L25" s="2042" t="s">
        <v>148</v>
      </c>
      <c r="M25" s="1054" t="s">
        <v>149</v>
      </c>
      <c r="N25" s="1055"/>
      <c r="O25" s="841" t="s">
        <v>150</v>
      </c>
      <c r="P25" s="841" t="str">
        <f>$E$13</f>
        <v>Производство тепловой энергии. Некомбинированная выработка</v>
      </c>
      <c r="Q25" s="841" t="str">
        <f>IF($F$13="нет","без дифференциации",$I$13)</f>
        <v>Территория 1</v>
      </c>
      <c r="R25" s="841" t="str">
        <f>IF($J$25="нет","без дифференциации",$M$25)</f>
        <v>ЦТП-1 ул.Морквашинская ок.д№7</v>
      </c>
      <c r="S25" s="841"/>
      <c r="T25" s="841"/>
      <c r="U25" s="842"/>
      <c r="V25" s="841"/>
      <c r="W25" s="841"/>
      <c r="X25" s="832"/>
      <c r="Y25" s="832" t="s">
        <v>120</v>
      </c>
      <c r="Z25" s="832">
        <v>1705000</v>
      </c>
      <c r="AA25" s="832"/>
      <c r="AB25" s="832"/>
      <c r="AC25" s="832"/>
      <c r="AD25" s="832"/>
      <c r="AE25" s="832"/>
      <c r="AF25" s="832"/>
      <c r="AG25" s="832"/>
      <c r="AH25" s="832"/>
      <c r="AI25" s="832"/>
      <c r="AJ25" s="832"/>
      <c r="AK25" s="832"/>
      <c r="AL25" s="832"/>
    </row>
    <row customHeight="1" ht="15">
      <c r="A26" s="503"/>
      <c r="B26" s="503"/>
      <c r="C26" s="384"/>
      <c r="D26" s="2043"/>
      <c r="E26" s="2043"/>
      <c r="F26" s="2043"/>
      <c r="G26" s="2043"/>
      <c r="H26" s="2043"/>
      <c r="I26" s="2043"/>
      <c r="J26" s="2043"/>
      <c r="K26" s="2044" t="s">
        <v>121</v>
      </c>
      <c r="L26" s="2042" t="s">
        <v>151</v>
      </c>
      <c r="M26" s="1054" t="s">
        <v>152</v>
      </c>
      <c r="N26" s="1055"/>
      <c r="O26" s="841" t="s">
        <v>153</v>
      </c>
      <c r="P26" s="841" t="str">
        <f>$E$13</f>
        <v>Производство тепловой энергии. Некомбинированная выработка</v>
      </c>
      <c r="Q26" s="841" t="str">
        <f>IF($F$13="нет","без дифференциации",$I$13)</f>
        <v>Территория 1</v>
      </c>
      <c r="R26" s="841" t="str">
        <f>IF($J$26="нет","без дифференциации",$M$26)</f>
        <v>ЦТП-2, В-1,ок.д.№10</v>
      </c>
      <c r="S26" s="841"/>
      <c r="T26" s="841"/>
      <c r="U26" s="842"/>
      <c r="V26" s="841"/>
      <c r="W26" s="841"/>
      <c r="X26" s="832"/>
      <c r="Y26" s="832" t="s">
        <v>120</v>
      </c>
      <c r="Z26" s="832">
        <v>1705000</v>
      </c>
      <c r="AA26" s="832"/>
      <c r="AB26" s="832"/>
      <c r="AC26" s="832"/>
      <c r="AD26" s="832"/>
      <c r="AE26" s="832"/>
      <c r="AF26" s="832"/>
      <c r="AG26" s="832"/>
      <c r="AH26" s="832"/>
      <c r="AI26" s="832"/>
      <c r="AJ26" s="832"/>
      <c r="AK26" s="832"/>
      <c r="AL26" s="832"/>
    </row>
    <row customHeight="1" ht="15">
      <c r="A27" s="503"/>
      <c r="B27" s="503"/>
      <c r="C27" s="384"/>
      <c r="D27" s="2043"/>
      <c r="E27" s="2043"/>
      <c r="F27" s="2043"/>
      <c r="G27" s="2043"/>
      <c r="H27" s="2043"/>
      <c r="I27" s="2043"/>
      <c r="J27" s="2043"/>
      <c r="K27" s="2044" t="s">
        <v>121</v>
      </c>
      <c r="L27" s="2042" t="s">
        <v>154</v>
      </c>
      <c r="M27" s="1054" t="s">
        <v>155</v>
      </c>
      <c r="N27" s="1055"/>
      <c r="O27" s="841" t="s">
        <v>156</v>
      </c>
      <c r="P27" s="841" t="str">
        <f>$E$13</f>
        <v>Производство тепловой энергии. Некомбинированная выработка</v>
      </c>
      <c r="Q27" s="841" t="str">
        <f>IF($F$13="нет","без дифференциации",$I$13)</f>
        <v>Территория 1</v>
      </c>
      <c r="R27" s="841" t="str">
        <f>IF($J$27="нет","без дифференциации",$M$27)</f>
        <v>ЦТП-9, ул.Пролетарская д.23/ул.Транспортная д.10</v>
      </c>
      <c r="S27" s="841"/>
      <c r="T27" s="841"/>
      <c r="U27" s="842"/>
      <c r="V27" s="841"/>
      <c r="W27" s="841"/>
      <c r="X27" s="832"/>
      <c r="Y27" s="832" t="s">
        <v>120</v>
      </c>
      <c r="Z27" s="832">
        <v>1705000</v>
      </c>
      <c r="AA27" s="832"/>
      <c r="AB27" s="832"/>
      <c r="AC27" s="832"/>
      <c r="AD27" s="832"/>
      <c r="AE27" s="832"/>
      <c r="AF27" s="832"/>
      <c r="AG27" s="832"/>
      <c r="AH27" s="832"/>
      <c r="AI27" s="832"/>
      <c r="AJ27" s="832"/>
      <c r="AK27" s="832"/>
      <c r="AL27" s="832"/>
    </row>
    <row customHeight="1" ht="15">
      <c r="A28" s="503"/>
      <c r="B28" s="503"/>
      <c r="C28" s="384"/>
      <c r="D28" s="2043"/>
      <c r="E28" s="2043"/>
      <c r="F28" s="2043"/>
      <c r="G28" s="2043"/>
      <c r="H28" s="2043"/>
      <c r="I28" s="2043"/>
      <c r="J28" s="2043"/>
      <c r="K28" s="2044" t="s">
        <v>121</v>
      </c>
      <c r="L28" s="2042" t="s">
        <v>157</v>
      </c>
      <c r="M28" s="1054" t="s">
        <v>158</v>
      </c>
      <c r="N28" s="1055"/>
      <c r="O28" s="841" t="s">
        <v>159</v>
      </c>
      <c r="P28" s="841" t="str">
        <f>$E$13</f>
        <v>Производство тепловой энергии. Некомбинированная выработка</v>
      </c>
      <c r="Q28" s="841" t="str">
        <f>IF($F$13="нет","без дифференциации",$I$13)</f>
        <v>Территория 1</v>
      </c>
      <c r="R28" s="841" t="str">
        <f>IF($J$28="нет","без дифференциации",$M$28)</f>
        <v>ПНС№1-  Пролет, 5</v>
      </c>
      <c r="S28" s="841"/>
      <c r="T28" s="841"/>
      <c r="U28" s="842"/>
      <c r="V28" s="841"/>
      <c r="W28" s="841"/>
      <c r="X28" s="832"/>
      <c r="Y28" s="832" t="s">
        <v>120</v>
      </c>
      <c r="Z28" s="832">
        <v>1705000</v>
      </c>
      <c r="AA28" s="832"/>
      <c r="AB28" s="832"/>
      <c r="AC28" s="832"/>
      <c r="AD28" s="832"/>
      <c r="AE28" s="832"/>
      <c r="AF28" s="832"/>
      <c r="AG28" s="832"/>
      <c r="AH28" s="832"/>
      <c r="AI28" s="832"/>
      <c r="AJ28" s="832"/>
      <c r="AK28" s="832"/>
      <c r="AL28" s="832"/>
    </row>
    <row customHeight="1" ht="15">
      <c r="A29" s="503"/>
      <c r="B29" s="503"/>
      <c r="C29" s="384"/>
      <c r="D29" s="2043"/>
      <c r="E29" s="2043"/>
      <c r="F29" s="2043"/>
      <c r="G29" s="2043"/>
      <c r="H29" s="2043"/>
      <c r="I29" s="2043"/>
      <c r="J29" s="2043"/>
      <c r="K29" s="2044" t="s">
        <v>121</v>
      </c>
      <c r="L29" s="2042" t="s">
        <v>160</v>
      </c>
      <c r="M29" s="1054" t="s">
        <v>161</v>
      </c>
      <c r="N29" s="1055"/>
      <c r="O29" s="841" t="s">
        <v>162</v>
      </c>
      <c r="P29" s="841" t="str">
        <f>$E$13</f>
        <v>Производство тепловой энергии. Некомбинированная выработка</v>
      </c>
      <c r="Q29" s="841" t="str">
        <f>IF($F$13="нет","без дифференциации",$I$13)</f>
        <v>Территория 1</v>
      </c>
      <c r="R29" s="841" t="str">
        <f>IF($J$29="нет","без дифференциации",$M$29)</f>
        <v>ПНС№2, ул.Репина,3</v>
      </c>
      <c r="S29" s="841"/>
      <c r="T29" s="841"/>
      <c r="U29" s="842"/>
      <c r="V29" s="841"/>
      <c r="W29" s="841"/>
      <c r="X29" s="832"/>
      <c r="Y29" s="832" t="s">
        <v>120</v>
      </c>
      <c r="Z29" s="832">
        <v>1705000</v>
      </c>
      <c r="AA29" s="832"/>
      <c r="AB29" s="832"/>
      <c r="AC29" s="832"/>
      <c r="AD29" s="832"/>
      <c r="AE29" s="832"/>
      <c r="AF29" s="832"/>
      <c r="AG29" s="832"/>
      <c r="AH29" s="832"/>
      <c r="AI29" s="832"/>
      <c r="AJ29" s="832"/>
      <c r="AK29" s="832"/>
      <c r="AL29" s="832"/>
    </row>
    <row customHeight="1" ht="15">
      <c r="A30" s="503"/>
      <c r="B30" s="503"/>
      <c r="C30" s="384"/>
      <c r="D30" s="2043"/>
      <c r="E30" s="2043"/>
      <c r="F30" s="2043"/>
      <c r="G30" s="2043"/>
      <c r="H30" s="2043"/>
      <c r="I30" s="2043"/>
      <c r="J30" s="2043"/>
      <c r="K30" s="2044" t="s">
        <v>121</v>
      </c>
      <c r="L30" s="2042" t="s">
        <v>163</v>
      </c>
      <c r="M30" s="1054" t="s">
        <v>164</v>
      </c>
      <c r="N30" s="1055"/>
      <c r="O30" s="841" t="s">
        <v>165</v>
      </c>
      <c r="P30" s="841" t="str">
        <f>$E$13</f>
        <v>Производство тепловой энергии. Некомбинированная выработка</v>
      </c>
      <c r="Q30" s="841" t="str">
        <f>IF($F$13="нет","без дифференциации",$I$13)</f>
        <v>Территория 1</v>
      </c>
      <c r="R30" s="841" t="str">
        <f>IF($J$30="нет","без дифференциации",$M$30)</f>
        <v>Котельная №14, ул.Радиозаводская</v>
      </c>
      <c r="S30" s="841"/>
      <c r="T30" s="841"/>
      <c r="U30" s="842"/>
      <c r="V30" s="841"/>
      <c r="W30" s="841"/>
      <c r="X30" s="832"/>
      <c r="Y30" s="832" t="s">
        <v>120</v>
      </c>
      <c r="Z30" s="832">
        <v>1705000</v>
      </c>
      <c r="AA30" s="832"/>
      <c r="AB30" s="832"/>
      <c r="AC30" s="832"/>
      <c r="AD30" s="832"/>
      <c r="AE30" s="832"/>
      <c r="AF30" s="832"/>
      <c r="AG30" s="832"/>
      <c r="AH30" s="832"/>
      <c r="AI30" s="832"/>
      <c r="AJ30" s="832"/>
      <c r="AK30" s="832"/>
      <c r="AL30" s="832"/>
    </row>
    <row customHeight="1" ht="15">
      <c r="A31" s="503"/>
      <c r="B31" s="503"/>
      <c r="C31" s="384"/>
      <c r="D31" s="2043"/>
      <c r="E31" s="2043"/>
      <c r="F31" s="2043"/>
      <c r="G31" s="2043"/>
      <c r="H31" s="2043"/>
      <c r="I31" s="2043"/>
      <c r="J31" s="2043"/>
      <c r="K31" s="2044" t="s">
        <v>121</v>
      </c>
      <c r="L31" s="2042" t="s">
        <v>166</v>
      </c>
      <c r="M31" s="1054" t="s">
        <v>167</v>
      </c>
      <c r="N31" s="1055"/>
      <c r="O31" s="841" t="s">
        <v>168</v>
      </c>
      <c r="P31" s="841" t="str">
        <f>$E$13</f>
        <v>Производство тепловой энергии. Некомбинированная выработка</v>
      </c>
      <c r="Q31" s="841" t="str">
        <f>IF($F$13="нет","без дифференциации",$I$13)</f>
        <v>Территория 1</v>
      </c>
      <c r="R31" s="841" t="str">
        <f>IF($J$31="нет","без дифференциации",$M$31)</f>
        <v>ЦТП-3, ул.Радиозаводская,ок.д.№6</v>
      </c>
      <c r="S31" s="841"/>
      <c r="T31" s="841"/>
      <c r="U31" s="842"/>
      <c r="V31" s="841"/>
      <c r="W31" s="841"/>
      <c r="X31" s="832"/>
      <c r="Y31" s="832" t="s">
        <v>120</v>
      </c>
      <c r="Z31" s="832">
        <v>1705000</v>
      </c>
      <c r="AA31" s="832"/>
      <c r="AB31" s="832"/>
      <c r="AC31" s="832"/>
      <c r="AD31" s="832"/>
      <c r="AE31" s="832"/>
      <c r="AF31" s="832"/>
      <c r="AG31" s="832"/>
      <c r="AH31" s="832"/>
      <c r="AI31" s="832"/>
      <c r="AJ31" s="832"/>
      <c r="AK31" s="832"/>
      <c r="AL31" s="832"/>
    </row>
    <row customHeight="1" ht="15">
      <c r="A32" s="503"/>
      <c r="B32" s="503"/>
      <c r="C32" s="384"/>
      <c r="D32" s="2043"/>
      <c r="E32" s="2043"/>
      <c r="F32" s="2043"/>
      <c r="G32" s="2043"/>
      <c r="H32" s="2043"/>
      <c r="I32" s="2043"/>
      <c r="J32" s="2043"/>
      <c r="K32" s="2044" t="s">
        <v>121</v>
      </c>
      <c r="L32" s="2042" t="s">
        <v>169</v>
      </c>
      <c r="M32" s="1054" t="s">
        <v>170</v>
      </c>
      <c r="N32" s="1055"/>
      <c r="O32" s="841" t="s">
        <v>171</v>
      </c>
      <c r="P32" s="841" t="str">
        <f>$E$13</f>
        <v>Производство тепловой энергии. Некомбинированная выработка</v>
      </c>
      <c r="Q32" s="841" t="str">
        <f>IF($F$13="нет","без дифференциации",$I$13)</f>
        <v>Территория 1</v>
      </c>
      <c r="R32" s="841" t="str">
        <f>IF($J$32="нет","без дифференциации",$M$32)</f>
        <v>Котельная №17а с.Зольное , ул.Первомайская.</v>
      </c>
      <c r="S32" s="841"/>
      <c r="T32" s="841"/>
      <c r="U32" s="842"/>
      <c r="V32" s="841"/>
      <c r="W32" s="841"/>
      <c r="X32" s="832"/>
      <c r="Y32" s="832" t="s">
        <v>120</v>
      </c>
      <c r="Z32" s="832">
        <v>1705000</v>
      </c>
      <c r="AA32" s="832"/>
      <c r="AB32" s="832"/>
      <c r="AC32" s="832"/>
      <c r="AD32" s="832"/>
      <c r="AE32" s="832"/>
      <c r="AF32" s="832"/>
      <c r="AG32" s="832"/>
      <c r="AH32" s="832"/>
      <c r="AI32" s="832"/>
      <c r="AJ32" s="832"/>
      <c r="AK32" s="832"/>
      <c r="AL32" s="832"/>
    </row>
    <row customHeight="1" ht="15">
      <c r="A33" s="503"/>
      <c r="B33" s="503"/>
      <c r="C33" s="384"/>
      <c r="D33" s="2043"/>
      <c r="E33" s="2043"/>
      <c r="F33" s="2043"/>
      <c r="G33" s="2043"/>
      <c r="H33" s="2043"/>
      <c r="I33" s="2043"/>
      <c r="J33" s="2043"/>
      <c r="K33" s="2044" t="s">
        <v>121</v>
      </c>
      <c r="L33" s="2042" t="s">
        <v>172</v>
      </c>
      <c r="M33" s="1054" t="s">
        <v>173</v>
      </c>
      <c r="N33" s="1055"/>
      <c r="O33" s="841" t="s">
        <v>174</v>
      </c>
      <c r="P33" s="841" t="str">
        <f>$E$13</f>
        <v>Производство тепловой энергии. Некомбинированная выработка</v>
      </c>
      <c r="Q33" s="841" t="str">
        <f>IF($F$13="нет","без дифференциации",$I$13)</f>
        <v>Территория 1</v>
      </c>
      <c r="R33" s="841" t="str">
        <f>IF($J$33="нет","без дифференциации",$M$33)</f>
        <v>Котельная №18А, с.Солнечная Поляна, ул. 4-я Линия</v>
      </c>
      <c r="S33" s="841"/>
      <c r="T33" s="841"/>
      <c r="U33" s="842"/>
      <c r="V33" s="841"/>
      <c r="W33" s="841"/>
      <c r="X33" s="832"/>
      <c r="Y33" s="832" t="s">
        <v>120</v>
      </c>
      <c r="Z33" s="832">
        <v>1705000</v>
      </c>
      <c r="AA33" s="832"/>
      <c r="AB33" s="832"/>
      <c r="AC33" s="832"/>
      <c r="AD33" s="832"/>
      <c r="AE33" s="832"/>
      <c r="AF33" s="832"/>
      <c r="AG33" s="832"/>
      <c r="AH33" s="832"/>
      <c r="AI33" s="832"/>
      <c r="AJ33" s="832"/>
      <c r="AK33" s="832"/>
      <c r="AL33" s="832"/>
    </row>
    <row customHeight="1" ht="15">
      <c r="A34" s="503"/>
      <c r="B34" s="503"/>
      <c r="C34" s="384"/>
      <c r="D34" s="2043"/>
      <c r="E34" s="2043"/>
      <c r="F34" s="2043"/>
      <c r="G34" s="2043"/>
      <c r="H34" s="2043"/>
      <c r="I34" s="2043"/>
      <c r="J34" s="2043"/>
      <c r="K34" s="2044" t="s">
        <v>121</v>
      </c>
      <c r="L34" s="2042" t="s">
        <v>175</v>
      </c>
      <c r="M34" s="1054" t="s">
        <v>176</v>
      </c>
      <c r="N34" s="1055"/>
      <c r="O34" s="841" t="s">
        <v>177</v>
      </c>
      <c r="P34" s="841" t="str">
        <f>$E$13</f>
        <v>Производство тепловой энергии. Некомбинированная выработка</v>
      </c>
      <c r="Q34" s="841" t="str">
        <f>IF($F$13="нет","без дифференциации",$I$13)</f>
        <v>Территория 1</v>
      </c>
      <c r="R34" s="841" t="str">
        <f>IF($J$34="нет","без дифференциации",$M$34)</f>
        <v>Котельная №20,пос.Яблоневый Овраг , ул Никитина</v>
      </c>
      <c r="S34" s="841"/>
      <c r="T34" s="841"/>
      <c r="U34" s="842"/>
      <c r="V34" s="841"/>
      <c r="W34" s="841"/>
      <c r="X34" s="832"/>
      <c r="Y34" s="832" t="s">
        <v>120</v>
      </c>
      <c r="Z34" s="832">
        <v>1705000</v>
      </c>
      <c r="AA34" s="832"/>
      <c r="AB34" s="832"/>
      <c r="AC34" s="832"/>
      <c r="AD34" s="832"/>
      <c r="AE34" s="832"/>
      <c r="AF34" s="832"/>
      <c r="AG34" s="832"/>
      <c r="AH34" s="832"/>
      <c r="AI34" s="832"/>
      <c r="AJ34" s="832"/>
      <c r="AK34" s="832"/>
      <c r="AL34" s="832"/>
    </row>
    <row customHeight="1" ht="15">
      <c r="A35" s="503"/>
      <c r="B35" s="503"/>
      <c r="C35" s="384"/>
      <c r="D35" s="2043"/>
      <c r="E35" s="2043"/>
      <c r="F35" s="2043"/>
      <c r="G35" s="2043"/>
      <c r="H35" s="2043"/>
      <c r="I35" s="2043"/>
      <c r="J35" s="2043"/>
      <c r="K35" s="2044" t="s">
        <v>121</v>
      </c>
      <c r="L35" s="2042" t="s">
        <v>178</v>
      </c>
      <c r="M35" s="1054" t="s">
        <v>179</v>
      </c>
      <c r="N35" s="1055"/>
      <c r="O35" s="841" t="s">
        <v>180</v>
      </c>
      <c r="P35" s="841" t="str">
        <f>$E$13</f>
        <v>Производство тепловой энергии. Некомбинированная выработка</v>
      </c>
      <c r="Q35" s="841" t="str">
        <f>IF($F$13="нет","без дифференциации",$I$13)</f>
        <v>Территория 1</v>
      </c>
      <c r="R35" s="841" t="str">
        <f>IF($J$35="нет","без дифференциации",$M$35)</f>
        <v>Котельная №22, ул.Магистральная</v>
      </c>
      <c r="S35" s="841"/>
      <c r="T35" s="841"/>
      <c r="U35" s="842"/>
      <c r="V35" s="841"/>
      <c r="W35" s="841"/>
      <c r="X35" s="832"/>
      <c r="Y35" s="832" t="s">
        <v>120</v>
      </c>
      <c r="Z35" s="832">
        <v>1705000</v>
      </c>
      <c r="AA35" s="832"/>
      <c r="AB35" s="832"/>
      <c r="AC35" s="832"/>
      <c r="AD35" s="832"/>
      <c r="AE35" s="832"/>
      <c r="AF35" s="832"/>
      <c r="AG35" s="832"/>
      <c r="AH35" s="832"/>
      <c r="AI35" s="832"/>
      <c r="AJ35" s="832"/>
      <c r="AK35" s="832"/>
      <c r="AL35" s="832"/>
    </row>
    <row customHeight="1" ht="15">
      <c r="A36" s="503"/>
      <c r="B36" s="503"/>
      <c r="C36" s="384"/>
      <c r="D36" s="2043"/>
      <c r="E36" s="2043"/>
      <c r="F36" s="2043"/>
      <c r="G36" s="2043"/>
      <c r="H36" s="2043"/>
      <c r="I36" s="2043"/>
      <c r="J36" s="2043"/>
      <c r="K36" s="2044" t="s">
        <v>121</v>
      </c>
      <c r="L36" s="2042" t="s">
        <v>181</v>
      </c>
      <c r="M36" s="1054" t="s">
        <v>182</v>
      </c>
      <c r="N36" s="1055"/>
      <c r="O36" s="841" t="s">
        <v>183</v>
      </c>
      <c r="P36" s="841" t="str">
        <f>$E$13</f>
        <v>Производство тепловой энергии. Некомбинированная выработка</v>
      </c>
      <c r="Q36" s="841" t="str">
        <f>IF($F$13="нет","без дифференциации",$I$13)</f>
        <v>Территория 1</v>
      </c>
      <c r="R36" s="841" t="str">
        <f>IF($J$36="нет","без дифференциации",$M$36)</f>
        <v>Котельная №25,  МКР Г-1, ул.Гидротехническая</v>
      </c>
      <c r="S36" s="841"/>
      <c r="T36" s="841"/>
      <c r="U36" s="842"/>
      <c r="V36" s="841"/>
      <c r="W36" s="841"/>
      <c r="X36" s="832"/>
      <c r="Y36" s="832" t="s">
        <v>120</v>
      </c>
      <c r="Z36" s="832">
        <v>1705000</v>
      </c>
      <c r="AA36" s="832"/>
      <c r="AB36" s="832"/>
      <c r="AC36" s="832"/>
      <c r="AD36" s="832"/>
      <c r="AE36" s="832"/>
      <c r="AF36" s="832"/>
      <c r="AG36" s="832"/>
      <c r="AH36" s="832"/>
      <c r="AI36" s="832"/>
      <c r="AJ36" s="832"/>
      <c r="AK36" s="832"/>
      <c r="AL36" s="832"/>
    </row>
    <row customHeight="1" ht="15">
      <c r="A37" s="503"/>
      <c r="B37" s="503"/>
      <c r="C37" s="384"/>
      <c r="D37" s="2043"/>
      <c r="E37" s="2043"/>
      <c r="F37" s="2043"/>
      <c r="G37" s="2043"/>
      <c r="H37" s="2043"/>
      <c r="I37" s="2043"/>
      <c r="J37" s="2043"/>
      <c r="K37" s="2044" t="s">
        <v>121</v>
      </c>
      <c r="L37" s="2042" t="s">
        <v>184</v>
      </c>
      <c r="M37" s="1054" t="s">
        <v>185</v>
      </c>
      <c r="N37" s="1055"/>
      <c r="O37" s="841" t="s">
        <v>186</v>
      </c>
      <c r="P37" s="841" t="str">
        <f>$E$13</f>
        <v>Производство тепловой энергии. Некомбинированная выработка</v>
      </c>
      <c r="Q37" s="841" t="str">
        <f>IF($F$13="нет","без дифференциации",$I$13)</f>
        <v>Территория 1</v>
      </c>
      <c r="R37" s="841" t="str">
        <f>IF($J$37="нет","без дифференциации",$M$37)</f>
        <v>ЦТП-7, ул.Оборонная</v>
      </c>
      <c r="S37" s="841"/>
      <c r="T37" s="841"/>
      <c r="U37" s="842"/>
      <c r="V37" s="841"/>
      <c r="W37" s="841"/>
      <c r="X37" s="832"/>
      <c r="Y37" s="832" t="s">
        <v>120</v>
      </c>
      <c r="Z37" s="832">
        <v>1705000</v>
      </c>
      <c r="AA37" s="832"/>
      <c r="AB37" s="832"/>
      <c r="AC37" s="832"/>
      <c r="AD37" s="832"/>
      <c r="AE37" s="832"/>
      <c r="AF37" s="832"/>
      <c r="AG37" s="832"/>
      <c r="AH37" s="832"/>
      <c r="AI37" s="832"/>
      <c r="AJ37" s="832"/>
      <c r="AK37" s="832"/>
      <c r="AL37" s="832"/>
    </row>
    <row customHeight="1" ht="15">
      <c r="A38" s="503"/>
      <c r="B38" s="503"/>
      <c r="C38" s="384"/>
      <c r="D38" s="2043"/>
      <c r="E38" s="2043"/>
      <c r="F38" s="2043"/>
      <c r="G38" s="2043"/>
      <c r="H38" s="2043"/>
      <c r="I38" s="2043"/>
      <c r="J38" s="2043"/>
      <c r="K38" s="2044" t="s">
        <v>121</v>
      </c>
      <c r="L38" s="2042" t="s">
        <v>187</v>
      </c>
      <c r="M38" s="1054" t="s">
        <v>188</v>
      </c>
      <c r="N38" s="1055"/>
      <c r="O38" s="841" t="s">
        <v>189</v>
      </c>
      <c r="P38" s="841" t="str">
        <f>$E$13</f>
        <v>Производство тепловой энергии. Некомбинированная выработка</v>
      </c>
      <c r="Q38" s="841" t="str">
        <f>IF($F$13="нет","без дифференциации",$I$13)</f>
        <v>Территория 1</v>
      </c>
      <c r="R38" s="841" t="str">
        <f>IF($J$38="нет","без дифференциации",$M$38)</f>
        <v>ЦТП-8, ул.Шевченко</v>
      </c>
      <c r="S38" s="841"/>
      <c r="T38" s="841"/>
      <c r="U38" s="842"/>
      <c r="V38" s="841"/>
      <c r="W38" s="841"/>
      <c r="X38" s="832"/>
      <c r="Y38" s="832" t="s">
        <v>120</v>
      </c>
      <c r="Z38" s="832">
        <v>1705000</v>
      </c>
      <c r="AA38" s="832"/>
      <c r="AB38" s="832"/>
      <c r="AC38" s="832"/>
      <c r="AD38" s="832"/>
      <c r="AE38" s="832"/>
      <c r="AF38" s="832"/>
      <c r="AG38" s="832"/>
      <c r="AH38" s="832"/>
      <c r="AI38" s="832"/>
      <c r="AJ38" s="832"/>
      <c r="AK38" s="832"/>
      <c r="AL38" s="832"/>
    </row>
    <row customHeight="1" ht="15">
      <c r="A39" s="503"/>
      <c r="B39" s="503"/>
      <c r="C39" s="384"/>
      <c r="D39" s="2043"/>
      <c r="E39" s="2043"/>
      <c r="F39" s="2043"/>
      <c r="G39" s="2043"/>
      <c r="H39" s="2043"/>
      <c r="I39" s="2043"/>
      <c r="J39" s="2043"/>
      <c r="K39" s="2044" t="s">
        <v>121</v>
      </c>
      <c r="L39" s="2042" t="s">
        <v>190</v>
      </c>
      <c r="M39" s="1054" t="s">
        <v>191</v>
      </c>
      <c r="N39" s="1055"/>
      <c r="O39" s="841" t="s">
        <v>192</v>
      </c>
      <c r="P39" s="841" t="str">
        <f>$E$13</f>
        <v>Производство тепловой энергии. Некомбинированная выработка</v>
      </c>
      <c r="Q39" s="841" t="str">
        <f>IF($F$13="нет","без дифференциации",$I$13)</f>
        <v>Территория 1</v>
      </c>
      <c r="R39" s="841" t="str">
        <f>IF($J$39="нет","без дифференциации",$M$39)</f>
        <v>ПНС, ул.Парковая</v>
      </c>
      <c r="S39" s="841"/>
      <c r="T39" s="841"/>
      <c r="U39" s="842"/>
      <c r="V39" s="841"/>
      <c r="W39" s="841"/>
      <c r="X39" s="832"/>
      <c r="Y39" s="832" t="s">
        <v>120</v>
      </c>
      <c r="Z39" s="832">
        <v>1705000</v>
      </c>
      <c r="AA39" s="832"/>
      <c r="AB39" s="832"/>
      <c r="AC39" s="832"/>
      <c r="AD39" s="832"/>
      <c r="AE39" s="832"/>
      <c r="AF39" s="832"/>
      <c r="AG39" s="832"/>
      <c r="AH39" s="832"/>
      <c r="AI39" s="832"/>
      <c r="AJ39" s="832"/>
      <c r="AK39" s="832"/>
      <c r="AL39" s="832"/>
    </row>
    <row customHeight="1" ht="15">
      <c r="A40" s="503"/>
      <c r="B40" s="503"/>
      <c r="C40" s="384"/>
      <c r="D40" s="2043"/>
      <c r="E40" s="2043"/>
      <c r="F40" s="2043"/>
      <c r="G40" s="2043"/>
      <c r="H40" s="2043"/>
      <c r="I40" s="2043"/>
      <c r="J40" s="2043"/>
      <c r="K40" s="2044" t="s">
        <v>121</v>
      </c>
      <c r="L40" s="2042" t="s">
        <v>193</v>
      </c>
      <c r="M40" s="1054" t="s">
        <v>194</v>
      </c>
      <c r="N40" s="1055"/>
      <c r="O40" s="841" t="s">
        <v>195</v>
      </c>
      <c r="P40" s="841" t="str">
        <f>$E$13</f>
        <v>Производство тепловой энергии. Некомбинированная выработка</v>
      </c>
      <c r="Q40" s="841" t="str">
        <f>IF($F$13="нет","без дифференциации",$I$13)</f>
        <v>Территория 1</v>
      </c>
      <c r="R40" s="841" t="str">
        <f>IF($J$40="нет","без дифференциации",$M$40)</f>
        <v>Котельная №27, п.Богатырь, ул.Управленческая</v>
      </c>
      <c r="S40" s="841"/>
      <c r="T40" s="841"/>
      <c r="U40" s="842"/>
      <c r="V40" s="841"/>
      <c r="W40" s="841"/>
      <c r="X40" s="832"/>
      <c r="Y40" s="832" t="s">
        <v>120</v>
      </c>
      <c r="Z40" s="832">
        <v>1705000</v>
      </c>
      <c r="AA40" s="832"/>
      <c r="AB40" s="832"/>
      <c r="AC40" s="832"/>
      <c r="AD40" s="832"/>
      <c r="AE40" s="832"/>
      <c r="AF40" s="832"/>
      <c r="AG40" s="832"/>
      <c r="AH40" s="832"/>
      <c r="AI40" s="832"/>
      <c r="AJ40" s="832"/>
      <c r="AK40" s="832"/>
      <c r="AL40" s="832"/>
    </row>
    <row s="10859" customFormat="1" customHeight="1" ht="15">
      <c r="A41" s="503"/>
      <c r="B41" s="503"/>
      <c r="C41" s="384"/>
      <c r="D41" s="2143"/>
      <c r="E41" s="2145"/>
      <c r="F41" s="2142"/>
      <c r="G41" s="2148"/>
      <c r="H41" s="2149"/>
      <c r="I41" s="2141"/>
      <c r="J41" s="2142"/>
      <c r="K41" s="657"/>
      <c r="L41" s="385"/>
      <c r="M41" s="844" t="s">
        <v>196</v>
      </c>
      <c r="N41" s="1055"/>
      <c r="O41" s="1713"/>
      <c r="P41" s="1710"/>
      <c r="Q41" s="1710"/>
      <c r="R41" s="1710"/>
      <c r="S41" s="1713"/>
      <c r="T41" s="1713"/>
      <c r="U41" s="1555"/>
      <c r="V41" s="1555"/>
      <c r="W41" s="1555"/>
      <c r="X41" s="1555"/>
      <c r="Y41" s="841"/>
      <c r="Z41" s="841"/>
      <c r="AA41" s="841"/>
      <c r="AB41" s="841"/>
      <c r="AC41" s="841"/>
      <c r="AD41" s="841"/>
      <c r="AE41" s="841"/>
      <c r="AF41" s="841"/>
      <c r="AG41" s="841"/>
      <c r="AH41" s="841"/>
      <c r="AI41" s="841"/>
      <c r="AJ41" s="841"/>
      <c r="AK41" s="841"/>
      <c r="AL41" s="841"/>
    </row>
    <row s="10859" customFormat="1" customHeight="1" ht="15">
      <c r="A42" s="503"/>
      <c r="B42" s="503"/>
      <c r="C42" s="384"/>
      <c r="D42" s="2143"/>
      <c r="E42" s="2146"/>
      <c r="F42" s="2142"/>
      <c r="G42" s="1320"/>
      <c r="H42" s="1321"/>
      <c r="I42" s="817" t="s">
        <v>197</v>
      </c>
      <c r="J42" s="385"/>
      <c r="K42" s="385"/>
      <c r="L42" s="385"/>
      <c r="M42" s="845"/>
      <c r="N42" s="1055"/>
      <c r="O42" s="1713"/>
      <c r="P42" s="1710"/>
      <c r="Q42" s="1710"/>
      <c r="R42" s="1710"/>
      <c r="S42" s="1713"/>
      <c r="T42" s="1713"/>
      <c r="U42" s="1555"/>
      <c r="V42" s="1555"/>
      <c r="W42" s="1555"/>
      <c r="X42" s="1555"/>
      <c r="Y42" s="841"/>
      <c r="Z42" s="841"/>
      <c r="AA42" s="841"/>
      <c r="AB42" s="841"/>
      <c r="AC42" s="841"/>
      <c r="AD42" s="841"/>
      <c r="AE42" s="841"/>
      <c r="AF42" s="841"/>
      <c r="AG42" s="841"/>
      <c r="AH42" s="841"/>
      <c r="AI42" s="841"/>
      <c r="AJ42" s="841"/>
      <c r="AK42" s="841"/>
      <c r="AL42" s="841"/>
    </row>
    <row customHeight="1" ht="15">
      <c r="A43" s="846"/>
      <c r="B43" s="341"/>
      <c r="C43" s="1049"/>
      <c r="D43" s="657"/>
      <c r="E43" s="808" t="s">
        <v>198</v>
      </c>
      <c r="F43" s="385"/>
      <c r="G43" s="385"/>
      <c r="H43" s="385"/>
      <c r="I43" s="385"/>
      <c r="J43" s="385"/>
      <c r="K43" s="385" t="s">
        <v>17</v>
      </c>
      <c r="L43" s="385"/>
      <c r="M43" s="845"/>
      <c r="N43" s="1940"/>
    </row>
  </sheetData>
  <sheetProtection formatColumns="0" formatRows="0" autoFilter="0" sort="0" insertRows="0" insertColumns="1" deleteRows="0" deleteColumns="0"/>
  <mergeCells count="19">
    <mergeCell ref="G11:H11"/>
    <mergeCell ref="K11:L11"/>
    <mergeCell ref="D4:I4"/>
    <mergeCell ref="D5:I5"/>
    <mergeCell ref="A6:F6"/>
    <mergeCell ref="A9:A10"/>
    <mergeCell ref="D9:E9"/>
    <mergeCell ref="F9:I9"/>
    <mergeCell ref="E7:M7"/>
    <mergeCell ref="J9:M9"/>
    <mergeCell ref="G10:H10"/>
    <mergeCell ref="K10:L10"/>
    <mergeCell ref="I13:I41"/>
    <mergeCell ref="J13:J41"/>
    <mergeCell ref="D13:D42"/>
    <mergeCell ref="E13:E42"/>
    <mergeCell ref="F13:F42"/>
    <mergeCell ref="G13:G41"/>
    <mergeCell ref="H13:H41"/>
  </mergeCells>
  <dataValidations count="55">
    <dataValidation type="textLength" operator="lessThan" allowBlank="1" showInputMessage="1" showErrorMessage="1" error="Допускается ввод не более 900 символов!" sqref="M13">
      <formula1>900</formula1>
    </dataValidation>
    <dataValidation type="list" allowBlank="1" showInputMessage="1" showErrorMessage="1" sqref="I14">
      <formula1>DESCRIPTION_TERRITORY</formula1>
    </dataValidation>
    <dataValidation type="textLength" operator="lessThanOrEqual" allowBlank="1" showInputMessage="1" showErrorMessage="1" errorTitle="Ошибка" error="Допускается ввод не более 900 символов!" sqref="M14">
      <formula1>900</formula1>
    </dataValidation>
    <dataValidation type="list" allowBlank="1" showInputMessage="1" showErrorMessage="1" sqref="I15">
      <formula1>DESCRIPTION_TERRITORY</formula1>
    </dataValidation>
    <dataValidation type="textLength" operator="lessThanOrEqual" allowBlank="1" showInputMessage="1" showErrorMessage="1" errorTitle="Ошибка" error="Допускается ввод не более 900 символов!" sqref="M15">
      <formula1>900</formula1>
    </dataValidation>
    <dataValidation type="list" allowBlank="1" showInputMessage="1" showErrorMessage="1" sqref="I16">
      <formula1>DESCRIPTION_TERRITORY</formula1>
    </dataValidation>
    <dataValidation type="textLength" operator="lessThanOrEqual" allowBlank="1" showInputMessage="1" showErrorMessage="1" errorTitle="Ошибка" error="Допускается ввод не более 900 символов!" sqref="M16">
      <formula1>900</formula1>
    </dataValidation>
    <dataValidation type="list" allowBlank="1" showInputMessage="1" showErrorMessage="1" sqref="I17">
      <formula1>DESCRIPTION_TERRITORY</formula1>
    </dataValidation>
    <dataValidation type="textLength" operator="lessThanOrEqual" allowBlank="1" showInputMessage="1" showErrorMessage="1" errorTitle="Ошибка" error="Допускается ввод не более 900 символов!" sqref="M17">
      <formula1>900</formula1>
    </dataValidation>
    <dataValidation type="list" allowBlank="1" showInputMessage="1" showErrorMessage="1" sqref="I18">
      <formula1>DESCRIPTION_TERRITORY</formula1>
    </dataValidation>
    <dataValidation type="textLength" operator="lessThanOrEqual" allowBlank="1" showInputMessage="1" showErrorMessage="1" errorTitle="Ошибка" error="Допускается ввод не более 900 символов!" sqref="M18">
      <formula1>900</formula1>
    </dataValidation>
    <dataValidation type="list" allowBlank="1" showInputMessage="1" showErrorMessage="1" sqref="I19">
      <formula1>DESCRIPTION_TERRITORY</formula1>
    </dataValidation>
    <dataValidation type="textLength" operator="lessThanOrEqual" allowBlank="1" showInputMessage="1" showErrorMessage="1" errorTitle="Ошибка" error="Допускается ввод не более 900 символов!" sqref="M19">
      <formula1>900</formula1>
    </dataValidation>
    <dataValidation type="list" allowBlank="1" showInputMessage="1" showErrorMessage="1" sqref="I20">
      <formula1>DESCRIPTION_TERRITORY</formula1>
    </dataValidation>
    <dataValidation type="textLength" operator="lessThanOrEqual" allowBlank="1" showInputMessage="1" showErrorMessage="1" errorTitle="Ошибка" error="Допускается ввод не более 900 символов!" sqref="M20">
      <formula1>900</formula1>
    </dataValidation>
    <dataValidation type="list" allowBlank="1" showInputMessage="1" showErrorMessage="1" sqref="I21">
      <formula1>DESCRIPTION_TERRITORY</formula1>
    </dataValidation>
    <dataValidation type="textLength" operator="lessThanOrEqual" allowBlank="1" showInputMessage="1" showErrorMessage="1" errorTitle="Ошибка" error="Допускается ввод не более 900 символов!" sqref="M21">
      <formula1>900</formula1>
    </dataValidation>
    <dataValidation type="list" allowBlank="1" showInputMessage="1" showErrorMessage="1" sqref="I22">
      <formula1>DESCRIPTION_TERRITORY</formula1>
    </dataValidation>
    <dataValidation type="textLength" operator="lessThanOrEqual" allowBlank="1" showInputMessage="1" showErrorMessage="1" errorTitle="Ошибка" error="Допускается ввод не более 900 символов!" sqref="M22">
      <formula1>900</formula1>
    </dataValidation>
    <dataValidation type="list" allowBlank="1" showInputMessage="1" showErrorMessage="1" sqref="I23">
      <formula1>DESCRIPTION_TERRITORY</formula1>
    </dataValidation>
    <dataValidation type="textLength" operator="lessThanOrEqual" allowBlank="1" showInputMessage="1" showErrorMessage="1" errorTitle="Ошибка" error="Допускается ввод не более 900 символов!" sqref="M23">
      <formula1>900</formula1>
    </dataValidation>
    <dataValidation type="list" allowBlank="1" showInputMessage="1" showErrorMessage="1" sqref="I24">
      <formula1>DESCRIPTION_TERRITORY</formula1>
    </dataValidation>
    <dataValidation type="textLength" operator="lessThanOrEqual" allowBlank="1" showInputMessage="1" showErrorMessage="1" errorTitle="Ошибка" error="Допускается ввод не более 900 символов!" sqref="M24">
      <formula1>900</formula1>
    </dataValidation>
    <dataValidation type="list" allowBlank="1" showInputMessage="1" showErrorMessage="1" sqref="I25">
      <formula1>DESCRIPTION_TERRITORY</formula1>
    </dataValidation>
    <dataValidation type="textLength" operator="lessThanOrEqual" allowBlank="1" showInputMessage="1" showErrorMessage="1" errorTitle="Ошибка" error="Допускается ввод не более 900 символов!" sqref="M25">
      <formula1>900</formula1>
    </dataValidation>
    <dataValidation type="list" allowBlank="1" showInputMessage="1" showErrorMessage="1" sqref="I26">
      <formula1>DESCRIPTION_TERRITORY</formula1>
    </dataValidation>
    <dataValidation type="textLength" operator="lessThanOrEqual" allowBlank="1" showInputMessage="1" showErrorMessage="1" errorTitle="Ошибка" error="Допускается ввод не более 900 символов!" sqref="M26">
      <formula1>900</formula1>
    </dataValidation>
    <dataValidation type="list" allowBlank="1" showInputMessage="1" showErrorMessage="1" sqref="I27">
      <formula1>DESCRIPTION_TERRITORY</formula1>
    </dataValidation>
    <dataValidation type="textLength" operator="lessThanOrEqual" allowBlank="1" showInputMessage="1" showErrorMessage="1" errorTitle="Ошибка" error="Допускается ввод не более 900 символов!" sqref="M27">
      <formula1>900</formula1>
    </dataValidation>
    <dataValidation type="list" allowBlank="1" showInputMessage="1" showErrorMessage="1" sqref="I28">
      <formula1>DESCRIPTION_TERRITORY</formula1>
    </dataValidation>
    <dataValidation type="textLength" operator="lessThanOrEqual" allowBlank="1" showInputMessage="1" showErrorMessage="1" errorTitle="Ошибка" error="Допускается ввод не более 900 символов!" sqref="M28">
      <formula1>900</formula1>
    </dataValidation>
    <dataValidation type="list" allowBlank="1" showInputMessage="1" showErrorMessage="1" sqref="I29">
      <formula1>DESCRIPTION_TERRITORY</formula1>
    </dataValidation>
    <dataValidation type="textLength" operator="lessThanOrEqual" allowBlank="1" showInputMessage="1" showErrorMessage="1" errorTitle="Ошибка" error="Допускается ввод не более 900 символов!" sqref="M29">
      <formula1>900</formula1>
    </dataValidation>
    <dataValidation type="list" allowBlank="1" showInputMessage="1" showErrorMessage="1" sqref="I30">
      <formula1>DESCRIPTION_TERRITORY</formula1>
    </dataValidation>
    <dataValidation type="textLength" operator="lessThanOrEqual" allowBlank="1" showInputMessage="1" showErrorMessage="1" errorTitle="Ошибка" error="Допускается ввод не более 900 символов!" sqref="M30">
      <formula1>900</formula1>
    </dataValidation>
    <dataValidation type="list" allowBlank="1" showInputMessage="1" showErrorMessage="1" sqref="I31">
      <formula1>DESCRIPTION_TERRITORY</formula1>
    </dataValidation>
    <dataValidation type="textLength" operator="lessThanOrEqual" allowBlank="1" showInputMessage="1" showErrorMessage="1" errorTitle="Ошибка" error="Допускается ввод не более 900 символов!" sqref="M31">
      <formula1>900</formula1>
    </dataValidation>
    <dataValidation type="list" allowBlank="1" showInputMessage="1" showErrorMessage="1" sqref="I32">
      <formula1>DESCRIPTION_TERRITORY</formula1>
    </dataValidation>
    <dataValidation type="textLength" operator="lessThanOrEqual" allowBlank="1" showInputMessage="1" showErrorMessage="1" errorTitle="Ошибка" error="Допускается ввод не более 900 символов!" sqref="M32">
      <formula1>900</formula1>
    </dataValidation>
    <dataValidation type="list" allowBlank="1" showInputMessage="1" showErrorMessage="1" sqref="I33">
      <formula1>DESCRIPTION_TERRITORY</formula1>
    </dataValidation>
    <dataValidation type="textLength" operator="lessThanOrEqual" allowBlank="1" showInputMessage="1" showErrorMessage="1" errorTitle="Ошибка" error="Допускается ввод не более 900 символов!" sqref="M33">
      <formula1>900</formula1>
    </dataValidation>
    <dataValidation type="list" allowBlank="1" showInputMessage="1" showErrorMessage="1" sqref="I34">
      <formula1>DESCRIPTION_TERRITORY</formula1>
    </dataValidation>
    <dataValidation type="textLength" operator="lessThanOrEqual" allowBlank="1" showInputMessage="1" showErrorMessage="1" errorTitle="Ошибка" error="Допускается ввод не более 900 символов!" sqref="M34">
      <formula1>900</formula1>
    </dataValidation>
    <dataValidation type="list" allowBlank="1" showInputMessage="1" showErrorMessage="1" sqref="I35">
      <formula1>DESCRIPTION_TERRITORY</formula1>
    </dataValidation>
    <dataValidation type="textLength" operator="lessThanOrEqual" allowBlank="1" showInputMessage="1" showErrorMessage="1" errorTitle="Ошибка" error="Допускается ввод не более 900 символов!" sqref="M35">
      <formula1>900</formula1>
    </dataValidation>
    <dataValidation type="list" allowBlank="1" showInputMessage="1" showErrorMessage="1" sqref="I36">
      <formula1>DESCRIPTION_TERRITORY</formula1>
    </dataValidation>
    <dataValidation type="textLength" operator="lessThanOrEqual" allowBlank="1" showInputMessage="1" showErrorMessage="1" errorTitle="Ошибка" error="Допускается ввод не более 900 символов!" sqref="M36">
      <formula1>900</formula1>
    </dataValidation>
    <dataValidation type="list" allowBlank="1" showInputMessage="1" showErrorMessage="1" sqref="I37">
      <formula1>DESCRIPTION_TERRITORY</formula1>
    </dataValidation>
    <dataValidation type="textLength" operator="lessThanOrEqual" allowBlank="1" showInputMessage="1" showErrorMessage="1" errorTitle="Ошибка" error="Допускается ввод не более 900 символов!" sqref="M37">
      <formula1>900</formula1>
    </dataValidation>
    <dataValidation type="list" allowBlank="1" showInputMessage="1" showErrorMessage="1" sqref="I38">
      <formula1>DESCRIPTION_TERRITORY</formula1>
    </dataValidation>
    <dataValidation type="textLength" operator="lessThanOrEqual" allowBlank="1" showInputMessage="1" showErrorMessage="1" errorTitle="Ошибка" error="Допускается ввод не более 900 символов!" sqref="M38">
      <formula1>900</formula1>
    </dataValidation>
    <dataValidation type="list" allowBlank="1" showInputMessage="1" showErrorMessage="1" sqref="I39">
      <formula1>DESCRIPTION_TERRITORY</formula1>
    </dataValidation>
    <dataValidation type="textLength" operator="lessThanOrEqual" allowBlank="1" showInputMessage="1" showErrorMessage="1" errorTitle="Ошибка" error="Допускается ввод не более 900 символов!" sqref="M39">
      <formula1>900</formula1>
    </dataValidation>
    <dataValidation type="list" allowBlank="1" showInputMessage="1" showErrorMessage="1" sqref="I40">
      <formula1>DESCRIPTION_TERRITORY</formula1>
    </dataValidation>
    <dataValidation type="textLength" operator="lessThanOrEqual" allowBlank="1" showInputMessage="1" showErrorMessage="1" errorTitle="Ошибка" error="Допускается ввод не более 900 символов!" sqref="M40">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8676A27-4213-8AE7-2B01-119055A5756D}" mc:Ignorable="x14ac xr xr2 xr3">
  <sheetPr>
    <tabColor rgb="FFCCCCFF"/>
  </sheetPr>
  <dimension ref="A1:AQ130"/>
  <sheetViews>
    <sheetView topLeftCell="C4" showGridLines="0" zoomScale="90" workbookViewId="0">
      <selection activeCell="A1" sqref="A1"/>
    </sheetView>
  </sheetViews>
  <sheetFormatPr defaultColWidth="9.140625" customHeight="1" defaultRowHeight="11.25"/>
  <cols>
    <col min="1" max="2" style="11318" width="3.7109375" hidden="1" customWidth="1"/>
    <col min="3" max="3" style="10859" width="3.7109375" customWidth="1"/>
    <col min="4" max="4" style="10859" width="6.140625" customWidth="1"/>
    <col min="5" max="5" style="10859" width="43.140625" customWidth="1"/>
    <col min="6" max="6" style="10859" width="15.00390625" customWidth="1"/>
    <col min="7" max="7" style="10859" width="43.140625" customWidth="1"/>
    <col min="8" max="8" style="10859" width="3.7109375" customWidth="1"/>
    <col min="9" max="9" style="10859" width="5.421875" customWidth="1"/>
    <col min="10" max="10" style="10859" width="47.8515625" customWidth="1"/>
    <col min="11" max="12" style="10859" width="3.7109375" customWidth="1"/>
    <col min="13" max="13" style="10859" width="5.7109375" customWidth="1"/>
    <col min="14" max="14" style="10859" width="28.140625" customWidth="1"/>
    <col min="15" max="16" style="10859" width="3.7109375" customWidth="1"/>
    <col min="17" max="17" style="10859" width="5.7109375" customWidth="1"/>
    <col min="18" max="18" style="10859" width="34.421875" customWidth="1"/>
    <col min="19" max="20" style="10859" width="3.7109375" customWidth="1"/>
    <col min="21" max="21" style="10859" width="5.7109375" customWidth="1"/>
    <col min="22" max="22" style="10859" width="34.421875" customWidth="1"/>
    <col min="23" max="23" style="10859" width="30.7109375" customWidth="1"/>
    <col min="24" max="24" style="10859" width="3.7109375" customWidth="1"/>
    <col min="25" max="28" style="11120" width="9.8515625" hidden="1" customWidth="1"/>
    <col min="29" max="29" style="11318" width="16.8515625" hidden="1" customWidth="1"/>
    <col min="30" max="30" style="11318" width="10.57421875" hidden="1" customWidth="1"/>
    <col min="31" max="31" style="11318" width="10.7109375" hidden="1" customWidth="1"/>
    <col min="32" max="32" style="11318" width="10.00390625" hidden="1" customWidth="1"/>
    <col min="33" max="33" style="11318" width="12.8515625" hidden="1" customWidth="1"/>
    <col min="34" max="34" style="11318" width="10.28125" hidden="1" customWidth="1"/>
    <col min="35" max="35" style="11318" width="15.8515625" hidden="1" customWidth="1"/>
    <col min="36" max="36" style="11318" width="19.421875" hidden="1" customWidth="1"/>
    <col min="37" max="37" style="11318" width="11.00390625" hidden="1" customWidth="1"/>
    <col min="38" max="38" style="11318" width="23.57421875" hidden="1" customWidth="1"/>
    <col min="39" max="39" style="11318" width="23.8515625" hidden="1" customWidth="1"/>
    <col min="40" max="40" style="11318" width="25.28125" hidden="1" customWidth="1"/>
    <col min="41" max="41" style="11318" width="16.8515625" hidden="1" customWidth="1"/>
    <col min="42" max="42" style="11318" width="29.57421875" hidden="1" customWidth="1"/>
    <col min="43" max="43" style="11318" width="29.8515625" hidden="1" customWidth="1"/>
  </cols>
  <sheetData>
    <row customHeight="1" ht="11.25" hidden="1">
      <c r="A1" s="364"/>
    </row>
    <row customHeight="1" ht="11.25" hidden="1"/>
    <row customHeight="1" ht="11.25" hidden="1"/>
    <row customHeight="1" ht="3"/>
    <row s="8660" customFormat="1" customHeight="1" ht="39">
      <c r="A5" s="362"/>
      <c r="B5" s="362"/>
      <c r="D5" s="2196" t="str">
        <f>"Перечень тарифов и технологически не связанных между собой централизованных систем "&amp;TEMPLATE_SPHERE_RUS&amp;", в отношении которых предлагаются различные тарифы в сфере  "&amp;TEMPLATE_SPHERE_RUS&amp;IF(TEMPLATE_SPHERE="HEAT"," и горячего водоснабжения с использованием открытых систем "&amp;TEMPLATE_SPHERE_RUS,"")&amp;" (информация раскрывается отдельно по каждой системе  "&amp;TEMPLATE_SPHERE_RUS&amp;")"</f>
        <v>Перечень тарифов и технологически не связанных между собой централизованных систем теплоснабжения, в отношении которых предлагаются различные тарифы в сфере  теплоснабжения и горячего водоснабжения с использованием открытых систем теплоснабжения (информация раскрывается отдельно по каждой системе  теплоснабжения)</v>
      </c>
      <c r="E5" s="2197"/>
      <c r="F5" s="2197"/>
      <c r="G5" s="2197"/>
      <c r="H5" s="2197"/>
      <c r="I5" s="2197"/>
      <c r="J5" s="2198"/>
      <c r="K5" s="473"/>
      <c r="L5" s="348"/>
      <c r="M5" s="348"/>
      <c r="N5" s="348"/>
      <c r="O5" s="348"/>
      <c r="P5" s="348"/>
      <c r="Q5" s="348"/>
      <c r="R5" s="348"/>
      <c r="S5" s="500"/>
      <c r="T5" s="500"/>
      <c r="U5" s="500"/>
      <c r="V5" s="500"/>
      <c r="W5" s="348"/>
      <c r="Y5" s="1549"/>
      <c r="Z5" s="1549"/>
      <c r="AA5" s="1549"/>
      <c r="AB5" s="1549"/>
      <c r="AC5" s="362"/>
      <c r="AD5" s="362"/>
      <c r="AE5" s="362"/>
      <c r="AF5" s="362"/>
      <c r="AG5" s="362"/>
      <c r="AH5" s="362"/>
      <c r="AI5" s="362"/>
      <c r="AJ5" s="362"/>
      <c r="AK5" s="362"/>
      <c r="AL5" s="362"/>
      <c r="AM5" s="362"/>
      <c r="AN5" s="362"/>
      <c r="AO5" s="362"/>
      <c r="AP5" s="362"/>
      <c r="AQ5" s="362"/>
    </row>
    <row s="8660" customFormat="1" customHeight="1" ht="15">
      <c r="A6" s="822"/>
      <c r="B6" s="822"/>
      <c r="C6" s="822"/>
      <c r="D6" s="2202" t="str">
        <f>IF(org=0,"Не определено",org)</f>
        <v>ООО "СамРЭК-Тепло Жигулевск"</v>
      </c>
      <c r="E6" s="2202"/>
      <c r="F6" s="2202"/>
      <c r="G6" s="2202"/>
      <c r="H6" s="2202"/>
      <c r="I6" s="2202"/>
      <c r="J6" s="2202"/>
      <c r="K6" s="823"/>
      <c r="L6" s="823"/>
      <c r="M6" s="823"/>
      <c r="N6" s="823"/>
      <c r="O6" s="1117"/>
      <c r="P6" s="1117"/>
      <c r="Q6" s="1117"/>
      <c r="R6" s="1117"/>
      <c r="S6" s="1117"/>
      <c r="T6" s="1117"/>
      <c r="U6" s="1117"/>
      <c r="V6" s="1117"/>
      <c r="W6" s="1117"/>
      <c r="X6" s="823"/>
      <c r="Y6" s="1550"/>
      <c r="Z6" s="1550"/>
      <c r="AA6" s="1550"/>
      <c r="AB6" s="1550"/>
      <c r="AC6" s="1117"/>
      <c r="AD6" s="1117"/>
      <c r="AE6" s="1117"/>
      <c r="AF6" s="1117"/>
      <c r="AG6" s="1117"/>
      <c r="AH6" s="1117"/>
      <c r="AI6" s="1117"/>
      <c r="AJ6" s="1117"/>
      <c r="AK6" s="1117"/>
      <c r="AL6" s="1117"/>
      <c r="AM6" s="1117"/>
      <c r="AN6" s="1117"/>
      <c r="AO6" s="1117"/>
      <c r="AP6" s="1117"/>
      <c r="AQ6" s="1117"/>
    </row>
    <row s="8657" customFormat="1" customHeight="1" ht="11.25">
      <c r="A7" s="419"/>
      <c r="B7" s="419"/>
      <c r="D7" s="2199"/>
      <c r="E7" s="2200"/>
      <c r="F7" s="2200"/>
      <c r="G7" s="2200"/>
      <c r="H7" s="2200"/>
      <c r="I7" s="2200"/>
      <c r="J7" s="2201"/>
      <c r="S7" s="509"/>
      <c r="T7" s="509"/>
      <c r="U7" s="509"/>
      <c r="V7" s="509"/>
      <c r="Y7" s="1551"/>
      <c r="Z7" s="1551"/>
      <c r="AA7" s="1551"/>
      <c r="AB7" s="1551"/>
      <c r="AC7" s="419"/>
      <c r="AD7" s="419"/>
      <c r="AE7" s="419"/>
      <c r="AF7" s="419"/>
      <c r="AG7" s="419"/>
      <c r="AH7" s="419"/>
      <c r="AI7" s="419"/>
      <c r="AJ7" s="419"/>
      <c r="AK7" s="419"/>
      <c r="AL7" s="419"/>
      <c r="AM7" s="419"/>
      <c r="AN7" s="419"/>
      <c r="AO7" s="419"/>
      <c r="AP7" s="419"/>
      <c r="AQ7" s="419"/>
    </row>
    <row s="8660" customFormat="1" customHeight="1" ht="0.75">
      <c r="A8" s="362"/>
      <c r="B8" s="362"/>
      <c r="D8" s="420"/>
      <c r="E8" s="420"/>
      <c r="F8" s="420"/>
      <c r="G8" s="420"/>
      <c r="H8" s="420"/>
      <c r="I8" s="420"/>
      <c r="J8" s="420"/>
      <c r="K8" s="420"/>
      <c r="L8" s="420"/>
      <c r="M8" s="420"/>
      <c r="N8" s="420"/>
      <c r="O8" s="420"/>
      <c r="P8" s="420"/>
      <c r="Q8" s="420"/>
      <c r="R8" s="420"/>
      <c r="S8" s="420"/>
      <c r="T8" s="420"/>
      <c r="U8" s="420"/>
      <c r="V8" s="420"/>
      <c r="W8" s="420"/>
      <c r="X8" s="337"/>
      <c r="Y8" s="1549"/>
      <c r="Z8" s="1549"/>
      <c r="AA8" s="1549"/>
      <c r="AB8" s="1549"/>
      <c r="AC8" s="362"/>
      <c r="AD8" s="362"/>
      <c r="AE8" s="362"/>
      <c r="AF8" s="362"/>
      <c r="AG8" s="362"/>
      <c r="AH8" s="362"/>
      <c r="AI8" s="362"/>
      <c r="AJ8" s="362"/>
      <c r="AK8" s="362"/>
      <c r="AL8" s="362"/>
      <c r="AM8" s="362"/>
      <c r="AN8" s="362"/>
      <c r="AO8" s="362"/>
      <c r="AP8" s="362"/>
      <c r="AQ8" s="362"/>
    </row>
    <row customHeight="1" ht="27">
      <c r="D9" s="2162" t="s">
        <v>88</v>
      </c>
      <c r="E9" s="2203" t="s">
        <v>199</v>
      </c>
      <c r="F9" s="2204"/>
      <c r="G9" s="2162" t="s">
        <v>105</v>
      </c>
      <c r="H9" s="2162" t="s">
        <v>88</v>
      </c>
      <c r="I9" s="2162"/>
      <c r="J9" s="2162" t="s">
        <v>200</v>
      </c>
      <c r="K9" s="2194" t="s">
        <v>201</v>
      </c>
      <c r="L9" s="2194"/>
      <c r="M9" s="2194"/>
      <c r="N9" s="2194"/>
      <c r="O9" s="2194" t="s">
        <v>202</v>
      </c>
      <c r="P9" s="2194"/>
      <c r="Q9" s="2194"/>
      <c r="R9" s="2194"/>
      <c r="S9" s="2194" t="s">
        <v>203</v>
      </c>
      <c r="T9" s="2194"/>
      <c r="U9" s="2194"/>
      <c r="V9" s="2194"/>
      <c r="W9" s="2162" t="s">
        <v>204</v>
      </c>
      <c r="Z9" s="1666"/>
      <c r="AA9" s="1666"/>
      <c r="AB9" s="1666"/>
    </row>
    <row customHeight="1" ht="30">
      <c r="D10" s="2162"/>
      <c r="E10" s="1574" t="s">
        <v>89</v>
      </c>
      <c r="F10" s="1574" t="s">
        <v>205</v>
      </c>
      <c r="G10" s="2162"/>
      <c r="H10" s="2162"/>
      <c r="I10" s="2162"/>
      <c r="J10" s="2162"/>
      <c r="K10" s="315" t="s">
        <v>108</v>
      </c>
      <c r="L10" s="2162" t="s">
        <v>88</v>
      </c>
      <c r="M10" s="2162"/>
      <c r="N10" s="315" t="s">
        <v>206</v>
      </c>
      <c r="O10" s="315" t="s">
        <v>108</v>
      </c>
      <c r="P10" s="2162" t="s">
        <v>88</v>
      </c>
      <c r="Q10" s="2162"/>
      <c r="R10" s="315" t="s">
        <v>206</v>
      </c>
      <c r="S10" s="493" t="s">
        <v>108</v>
      </c>
      <c r="T10" s="2162" t="s">
        <v>88</v>
      </c>
      <c r="U10" s="2162"/>
      <c r="V10" s="493" t="s">
        <v>89</v>
      </c>
      <c r="W10" s="2162"/>
      <c r="Z10" s="1666" t="s">
        <v>207</v>
      </c>
      <c r="AA10" s="1666" t="s">
        <v>208</v>
      </c>
      <c r="AB10" s="1666" t="s">
        <v>209</v>
      </c>
      <c r="AC10" s="485" t="s">
        <v>210</v>
      </c>
      <c r="AD10" s="485" t="s">
        <v>211</v>
      </c>
      <c r="AE10" s="485" t="s">
        <v>212</v>
      </c>
      <c r="AF10" s="485" t="s">
        <v>213</v>
      </c>
      <c r="AG10" s="485" t="s">
        <v>214</v>
      </c>
      <c r="AH10" s="485" t="s">
        <v>215</v>
      </c>
      <c r="AI10" s="485" t="s">
        <v>216</v>
      </c>
      <c r="AJ10" s="485" t="s">
        <v>217</v>
      </c>
      <c r="AK10" s="485" t="s">
        <v>218</v>
      </c>
      <c r="AL10" s="485" t="s">
        <v>219</v>
      </c>
      <c r="AM10" s="485" t="s">
        <v>220</v>
      </c>
      <c r="AN10" s="485" t="s">
        <v>221</v>
      </c>
      <c r="AO10" s="485" t="s">
        <v>222</v>
      </c>
      <c r="AP10" s="485" t="s">
        <v>223</v>
      </c>
      <c r="AQ10" s="485" t="s">
        <v>224</v>
      </c>
    </row>
    <row s="11318" customFormat="1" customHeight="1" ht="12" hidden="1">
      <c r="D11" s="1528" t="s">
        <v>109</v>
      </c>
      <c r="E11" s="1528" t="s">
        <v>110</v>
      </c>
      <c r="F11" s="1528"/>
      <c r="G11" s="1528" t="s">
        <v>90</v>
      </c>
      <c r="H11" s="2195" t="s">
        <v>111</v>
      </c>
      <c r="I11" s="2195"/>
      <c r="J11" s="1528" t="s">
        <v>92</v>
      </c>
      <c r="K11" s="1528" t="s">
        <v>93</v>
      </c>
      <c r="L11" s="2195" t="s">
        <v>112</v>
      </c>
      <c r="M11" s="2195"/>
      <c r="N11" s="1528" t="s">
        <v>136</v>
      </c>
      <c r="O11" s="1528" t="s">
        <v>139</v>
      </c>
      <c r="P11" s="2195" t="s">
        <v>142</v>
      </c>
      <c r="Q11" s="2195"/>
      <c r="R11" s="1528" t="s">
        <v>145</v>
      </c>
      <c r="S11" s="1528" t="s">
        <v>142</v>
      </c>
      <c r="T11" s="2195" t="s">
        <v>145</v>
      </c>
      <c r="U11" s="2195"/>
      <c r="V11" s="1528" t="s">
        <v>148</v>
      </c>
      <c r="W11" s="1528" t="s">
        <v>151</v>
      </c>
    </row>
    <row customHeight="1" ht="14.25" hidden="1">
      <c r="C12" s="417"/>
      <c r="D12" s="1572">
        <v>0</v>
      </c>
      <c r="E12" s="458"/>
      <c r="F12" s="458"/>
      <c r="G12" s="458"/>
      <c r="H12" s="459"/>
      <c r="I12" s="459"/>
      <c r="J12" s="366"/>
      <c r="K12" s="317"/>
      <c r="L12" s="366"/>
      <c r="M12" s="366"/>
      <c r="N12" s="460"/>
      <c r="O12" s="317"/>
      <c r="P12" s="366"/>
      <c r="Q12" s="366"/>
      <c r="R12" s="461"/>
      <c r="S12" s="494"/>
      <c r="T12" s="502"/>
      <c r="U12" s="502"/>
      <c r="V12" s="506"/>
      <c r="W12" s="317"/>
      <c r="X12" s="347"/>
    </row>
    <row s="10859" customFormat="1" customHeight="1" ht="17.25" hidden="1">
      <c r="A13" s="539"/>
      <c r="C13" s="417"/>
      <c r="D13" s="2178">
        <v>1</v>
      </c>
      <c r="E13" s="2180" t="s">
        <v>225</v>
      </c>
      <c r="F13" s="2182" t="s">
        <v>57</v>
      </c>
      <c r="G13" s="2185"/>
      <c r="H13" s="2187"/>
      <c r="I13" s="2189"/>
      <c r="J13" s="2191"/>
      <c r="K13" s="2175"/>
      <c r="L13" s="2170"/>
      <c r="M13" s="2170"/>
      <c r="N13" s="2172"/>
      <c r="O13" s="2175"/>
      <c r="P13" s="2170"/>
      <c r="Q13" s="2170"/>
      <c r="R13" s="2177"/>
      <c r="S13" s="2175"/>
      <c r="T13" s="1717"/>
      <c r="U13" s="1717"/>
      <c r="V13" s="1716"/>
      <c r="W13" s="1589"/>
      <c r="Y13" s="1556"/>
      <c r="Z13" s="1556"/>
      <c r="AA13" s="1556"/>
      <c r="AB13" s="1556"/>
      <c r="AC13" s="1638" t="s">
        <v>226</v>
      </c>
      <c r="AD13" s="1638" t="s">
        <v>227</v>
      </c>
      <c r="AE13" s="1638" t="s">
        <v>228</v>
      </c>
      <c r="AF13" s="1638" t="s">
        <v>229</v>
      </c>
      <c r="AG13" s="1638" t="s">
        <v>230</v>
      </c>
      <c r="AH13" s="1638" t="str">
        <f>IF($E$13=0,"",$E$13)</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AI13" s="1638" t="str">
        <f>IF($G$13=0,"",$G$13)</f>
        <v/>
      </c>
      <c r="AJ13" s="1638" t="str">
        <f>IF($J$13=0,"",$J$13)</f>
        <v/>
      </c>
      <c r="AK13" s="1638" t="str">
        <f>IF($K$13="нет","без дифференциации",IF($N$13=0,"",$N$13))</f>
        <v/>
      </c>
      <c r="AL13" s="1638" t="str">
        <f>IF($O$13="нет","без дифференциации",IF($R$13=0,"",$R$13))</f>
        <v/>
      </c>
      <c r="AM13" s="1638" t="str">
        <f>IF($S$13="нет","без дифференциации",IF($V$13=0,"",$V$13))</f>
        <v/>
      </c>
      <c r="AN13" s="1638">
        <f>$I$13</f>
        <v>0</v>
      </c>
      <c r="AO13" s="1638" t="str">
        <f>$I$13&amp;"."&amp;$M$13</f>
        <v>.</v>
      </c>
      <c r="AP13" s="1638" t="str">
        <f>$I$13&amp;"."&amp;$M$13&amp;"."&amp;$Q$13</f>
        <v>..</v>
      </c>
      <c r="AQ13" s="1638" t="str">
        <f>$I$13&amp;"."&amp;$M$13&amp;"."&amp;$Q$13&amp;"."&amp;$U$13</f>
        <v>...</v>
      </c>
    </row>
    <row s="10859" customFormat="1" customHeight="1" ht="17.25" hidden="1">
      <c r="A14" s="539"/>
      <c r="C14" s="538"/>
      <c r="D14" s="2178"/>
      <c r="E14" s="2180"/>
      <c r="F14" s="2183"/>
      <c r="G14" s="2185"/>
      <c r="H14" s="2188"/>
      <c r="I14" s="2190"/>
      <c r="J14" s="2192"/>
      <c r="K14" s="2176"/>
      <c r="L14" s="2171"/>
      <c r="M14" s="2171"/>
      <c r="N14" s="2173"/>
      <c r="O14" s="2176"/>
      <c r="P14" s="2171"/>
      <c r="Q14" s="2171"/>
      <c r="R14" s="2174"/>
      <c r="S14" s="2176"/>
      <c r="T14" s="1590"/>
      <c r="U14" s="1590"/>
      <c r="V14" s="1590"/>
      <c r="W14" s="1591"/>
      <c r="Y14" s="1548"/>
      <c r="Z14" s="1548"/>
      <c r="AA14" s="1548"/>
      <c r="AB14" s="1548"/>
      <c r="AC14" s="485"/>
      <c r="AD14" s="485"/>
      <c r="AE14" s="485"/>
      <c r="AF14" s="485"/>
      <c r="AG14" s="485"/>
      <c r="AH14" s="485"/>
      <c r="AI14" s="485"/>
      <c r="AJ14" s="485"/>
      <c r="AK14" s="485"/>
      <c r="AL14" s="485"/>
      <c r="AM14" s="485"/>
      <c r="AN14" s="485"/>
      <c r="AO14" s="485"/>
      <c r="AP14" s="485"/>
      <c r="AQ14" s="485"/>
    </row>
    <row s="10859" customFormat="1" customHeight="1" ht="17.25" hidden="1">
      <c r="A15" s="539"/>
      <c r="C15" s="417"/>
      <c r="D15" s="2178"/>
      <c r="E15" s="2180"/>
      <c r="F15" s="2183"/>
      <c r="G15" s="2185"/>
      <c r="H15" s="2188"/>
      <c r="I15" s="2190"/>
      <c r="J15" s="2193"/>
      <c r="K15" s="2176"/>
      <c r="L15" s="2171"/>
      <c r="M15" s="2171"/>
      <c r="N15" s="2174"/>
      <c r="O15" s="2176"/>
      <c r="P15" s="1715"/>
      <c r="Q15" s="1590"/>
      <c r="R15" s="1590"/>
      <c r="S15" s="550"/>
      <c r="T15" s="550"/>
      <c r="U15" s="550"/>
      <c r="V15" s="550"/>
      <c r="W15" s="1591"/>
      <c r="Y15" s="1556"/>
      <c r="Z15" s="1556"/>
      <c r="AA15" s="1556"/>
      <c r="AB15" s="1556"/>
      <c r="AC15" s="1638" t="s">
        <v>226</v>
      </c>
      <c r="AD15" s="1638" t="s">
        <v>227</v>
      </c>
      <c r="AE15" s="1638" t="s">
        <v>228</v>
      </c>
      <c r="AF15" s="1638" t="s">
        <v>231</v>
      </c>
      <c r="AG15" s="1638" t="s">
        <v>232</v>
      </c>
      <c r="AH15" s="1638" t="str">
        <f>IF($E$13=0,"",$E$13)</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AI15" s="1638" t="str">
        <f>IF($G$13=0,"",$G$13)</f>
        <v/>
      </c>
      <c r="AJ15" s="1638" t="str">
        <f>IF($J$13=0,"",$J$13)</f>
        <v/>
      </c>
      <c r="AK15" s="1638" t="str">
        <f>IF($K$13="нет","без дифференциации",IF($N$13=0,"",$N$13))</f>
        <v/>
      </c>
      <c r="AL15" s="1638" t="str">
        <f>IF($O$15="нет","без дифференциации",IF($R$15=0,"",$R$15))</f>
        <v/>
      </c>
      <c r="AM15" s="1638" t="str">
        <f>IF($S$15="нет","без дифференциации",IF($V$15=0,"",$V$15))</f>
        <v/>
      </c>
      <c r="AN15" s="1638">
        <f>$I$13</f>
        <v>0</v>
      </c>
      <c r="AO15" s="1638" t="str">
        <f>$I$13&amp;"."&amp;$M$13</f>
        <v>.</v>
      </c>
      <c r="AP15" s="1638" t="str">
        <f>$I$13&amp;"."&amp;$M$13&amp;"."&amp;$Q$15</f>
        <v>..</v>
      </c>
      <c r="AQ15" s="1638" t="str">
        <f>$I$13&amp;"."&amp;$M$13&amp;"."&amp;$Q$15&amp;"."&amp;$U$15</f>
        <v>...</v>
      </c>
    </row>
    <row s="10859" customFormat="1" customHeight="1" ht="17.25" hidden="1">
      <c r="A16" s="539"/>
      <c r="C16" s="538"/>
      <c r="D16" s="2178"/>
      <c r="E16" s="2180"/>
      <c r="F16" s="2183"/>
      <c r="G16" s="2185"/>
      <c r="H16" s="2188"/>
      <c r="I16" s="2190"/>
      <c r="J16" s="2193"/>
      <c r="K16" s="2176"/>
      <c r="L16" s="1590"/>
      <c r="M16" s="1590"/>
      <c r="N16" s="1590"/>
      <c r="O16" s="1590"/>
      <c r="P16" s="1590"/>
      <c r="Q16" s="1590"/>
      <c r="R16" s="1590"/>
      <c r="S16" s="550"/>
      <c r="T16" s="550"/>
      <c r="U16" s="550"/>
      <c r="V16" s="550"/>
      <c r="W16" s="1591"/>
      <c r="Y16" s="1548"/>
      <c r="Z16" s="1548"/>
      <c r="AA16" s="1548"/>
      <c r="AB16" s="1548"/>
      <c r="AC16" s="485"/>
      <c r="AD16" s="485"/>
      <c r="AE16" s="485"/>
      <c r="AF16" s="485"/>
      <c r="AG16" s="485"/>
      <c r="AH16" s="485"/>
      <c r="AI16" s="485"/>
      <c r="AJ16" s="485"/>
      <c r="AK16" s="485"/>
      <c r="AL16" s="485"/>
      <c r="AM16" s="485"/>
      <c r="AN16" s="485"/>
      <c r="AO16" s="485"/>
      <c r="AP16" s="485"/>
      <c r="AQ16" s="485"/>
    </row>
    <row s="10859" customFormat="1" customHeight="1" ht="17.25" hidden="1">
      <c r="A17" s="539"/>
      <c r="C17" s="538"/>
      <c r="D17" s="2179"/>
      <c r="E17" s="2181"/>
      <c r="F17" s="2184"/>
      <c r="G17" s="2186"/>
      <c r="H17" s="1593"/>
      <c r="I17" s="1594"/>
      <c r="J17" s="1594"/>
      <c r="K17" s="1594"/>
      <c r="L17" s="1594"/>
      <c r="M17" s="1594"/>
      <c r="N17" s="1594"/>
      <c r="O17" s="1594"/>
      <c r="P17" s="1594"/>
      <c r="Q17" s="1594"/>
      <c r="R17" s="1594"/>
      <c r="S17" s="1595"/>
      <c r="T17" s="1595"/>
      <c r="U17" s="1595"/>
      <c r="V17" s="1595"/>
      <c r="W17" s="1596"/>
      <c r="Y17" s="1548"/>
      <c r="Z17" s="1548"/>
      <c r="AA17" s="1548"/>
      <c r="AB17" s="1548"/>
      <c r="AC17" s="485"/>
      <c r="AD17" s="485"/>
      <c r="AE17" s="485"/>
      <c r="AF17" s="485"/>
      <c r="AG17" s="485"/>
      <c r="AH17" s="485"/>
      <c r="AI17" s="485"/>
      <c r="AJ17" s="485"/>
      <c r="AK17" s="485"/>
      <c r="AL17" s="485"/>
      <c r="AM17" s="485"/>
      <c r="AN17" s="485"/>
      <c r="AO17" s="485"/>
      <c r="AP17" s="485"/>
      <c r="AQ17" s="485"/>
    </row>
    <row s="10859" customFormat="1" customHeight="1" ht="17.25" hidden="1">
      <c r="A18" s="539"/>
      <c r="C18" s="417"/>
      <c r="D18" s="2178">
        <v>2</v>
      </c>
      <c r="E18" s="2180" t="s">
        <v>233</v>
      </c>
      <c r="F18" s="2182" t="s">
        <v>57</v>
      </c>
      <c r="G18" s="2185"/>
      <c r="H18" s="2187"/>
      <c r="I18" s="2189"/>
      <c r="J18" s="2191"/>
      <c r="K18" s="2175"/>
      <c r="L18" s="2170"/>
      <c r="M18" s="2170"/>
      <c r="N18" s="2172"/>
      <c r="O18" s="2175"/>
      <c r="P18" s="2170"/>
      <c r="Q18" s="2170"/>
      <c r="R18" s="2177"/>
      <c r="S18" s="2175"/>
      <c r="T18" s="1717"/>
      <c r="U18" s="1717"/>
      <c r="V18" s="1716"/>
      <c r="W18" s="1589"/>
      <c r="X18" s="1556"/>
      <c r="Y18" s="1556"/>
      <c r="Z18" s="1556"/>
      <c r="AA18" s="1556"/>
      <c r="AB18" s="1556"/>
      <c r="AC18" s="1638" t="s">
        <v>234</v>
      </c>
      <c r="AD18" s="1638" t="s">
        <v>235</v>
      </c>
      <c r="AE18" s="1638" t="s">
        <v>236</v>
      </c>
      <c r="AF18" s="1638" t="s">
        <v>237</v>
      </c>
      <c r="AG18" s="1638" t="s">
        <v>238</v>
      </c>
      <c r="AH18" s="1638" t="str">
        <f>IF($E$18=0,"",$E$18)</f>
        <v>Тарифы на тепловую энергию (мощность), поставляемую теплоснабжающими организациями потребителям, другим теплоснабжающим организациям</v>
      </c>
      <c r="AI18" s="1638" t="str">
        <f>IF($G$18=0,"",$G$18)</f>
        <v/>
      </c>
      <c r="AJ18" s="1638" t="str">
        <f>IF($J$18=0,"",$J$18)</f>
        <v/>
      </c>
      <c r="AK18" s="1638" t="str">
        <f>IF($K$18="нет","без дифференциации",IF($N$18=0,"",$N$18))</f>
        <v/>
      </c>
      <c r="AL18" s="1638" t="str">
        <f>IF($O$18="нет","без дифференциации",IF($R$18=0,"",$R$18))</f>
        <v/>
      </c>
      <c r="AM18" s="1638" t="str">
        <f>IF($S$18="нет","без дифференциации",IF($V$18=0,"",$V$18))</f>
        <v/>
      </c>
      <c r="AN18" s="1817">
        <f>$I$18</f>
        <v>0</v>
      </c>
      <c r="AO18" s="1638" t="str">
        <f>$I$18&amp;"."&amp;$M$18</f>
        <v>.</v>
      </c>
      <c r="AP18" s="485" t="str">
        <f>$I$18&amp;"."&amp;$M$18&amp;"."&amp;$Q$18</f>
        <v>..</v>
      </c>
      <c r="AQ18" s="485" t="str">
        <f>$I$18&amp;"."&amp;$M$18&amp;"."&amp;$Q$18&amp;"."&amp;$U$18</f>
        <v>...</v>
      </c>
    </row>
    <row s="10859" customFormat="1" customHeight="1" ht="17.25" hidden="1">
      <c r="A19" s="539"/>
      <c r="C19" s="538"/>
      <c r="D19" s="2178"/>
      <c r="E19" s="2180"/>
      <c r="F19" s="2183"/>
      <c r="G19" s="2185"/>
      <c r="H19" s="2188"/>
      <c r="I19" s="2190"/>
      <c r="J19" s="2192"/>
      <c r="K19" s="2176"/>
      <c r="L19" s="2171"/>
      <c r="M19" s="2171"/>
      <c r="N19" s="2173"/>
      <c r="O19" s="2176"/>
      <c r="P19" s="2171"/>
      <c r="Q19" s="2171"/>
      <c r="R19" s="2174"/>
      <c r="S19" s="2176"/>
      <c r="T19" s="1590"/>
      <c r="U19" s="1590"/>
      <c r="V19" s="1590"/>
      <c r="W19" s="1591"/>
      <c r="X19" s="1548"/>
      <c r="Y19" s="1548"/>
      <c r="Z19" s="1548"/>
      <c r="AA19" s="1548"/>
      <c r="AB19" s="1548"/>
      <c r="AC19" s="485"/>
      <c r="AD19" s="485"/>
      <c r="AE19" s="485"/>
      <c r="AF19" s="485"/>
      <c r="AG19" s="485"/>
      <c r="AH19" s="485"/>
      <c r="AI19" s="485"/>
      <c r="AJ19" s="485"/>
      <c r="AK19" s="485"/>
      <c r="AL19" s="485"/>
      <c r="AM19" s="485"/>
      <c r="AN19" s="485"/>
      <c r="AO19" s="485"/>
      <c r="AP19" s="485"/>
      <c r="AQ19" s="485"/>
    </row>
    <row s="10859" customFormat="1" customHeight="1" ht="17.25" hidden="1">
      <c r="A20" s="539"/>
      <c r="C20" s="538"/>
      <c r="D20" s="2179"/>
      <c r="E20" s="2181"/>
      <c r="F20" s="2183"/>
      <c r="G20" s="2186"/>
      <c r="H20" s="2188"/>
      <c r="I20" s="2190"/>
      <c r="J20" s="2193"/>
      <c r="K20" s="2176"/>
      <c r="L20" s="2171"/>
      <c r="M20" s="2171"/>
      <c r="N20" s="2174"/>
      <c r="O20" s="2176"/>
      <c r="P20" s="1715"/>
      <c r="Q20" s="1590"/>
      <c r="R20" s="1590"/>
      <c r="S20" s="550"/>
      <c r="T20" s="550"/>
      <c r="U20" s="550"/>
      <c r="V20" s="550"/>
      <c r="W20" s="1591"/>
      <c r="X20" s="1548"/>
      <c r="Y20" s="1548"/>
      <c r="Z20" s="1548"/>
      <c r="AA20" s="1548"/>
      <c r="AB20" s="1548"/>
      <c r="AC20" s="485"/>
      <c r="AD20" s="485"/>
      <c r="AE20" s="485"/>
      <c r="AF20" s="485"/>
      <c r="AG20" s="485"/>
      <c r="AH20" s="485"/>
      <c r="AI20" s="485"/>
      <c r="AJ20" s="485"/>
      <c r="AK20" s="485"/>
      <c r="AL20" s="485"/>
      <c r="AM20" s="485"/>
      <c r="AN20" s="485"/>
      <c r="AO20" s="485"/>
      <c r="AP20" s="485"/>
      <c r="AQ20" s="485"/>
    </row>
    <row s="10859" customFormat="1" customHeight="1" ht="17.25" hidden="1">
      <c r="A21" s="539"/>
      <c r="C21" s="538"/>
      <c r="D21" s="2179"/>
      <c r="E21" s="2181"/>
      <c r="F21" s="2183"/>
      <c r="G21" s="2186"/>
      <c r="H21" s="2188"/>
      <c r="I21" s="2190"/>
      <c r="J21" s="2193"/>
      <c r="K21" s="2176"/>
      <c r="L21" s="1590"/>
      <c r="M21" s="1590"/>
      <c r="N21" s="1590"/>
      <c r="O21" s="1590"/>
      <c r="P21" s="1590"/>
      <c r="Q21" s="1590"/>
      <c r="R21" s="1590"/>
      <c r="S21" s="550"/>
      <c r="T21" s="550"/>
      <c r="U21" s="550"/>
      <c r="V21" s="550"/>
      <c r="W21" s="1591"/>
      <c r="X21" s="1548"/>
      <c r="Y21" s="1548"/>
      <c r="Z21" s="1548"/>
      <c r="AA21" s="1548"/>
      <c r="AB21" s="1548"/>
      <c r="AC21" s="485"/>
      <c r="AD21" s="485"/>
      <c r="AE21" s="485"/>
      <c r="AF21" s="485"/>
      <c r="AG21" s="485"/>
      <c r="AH21" s="485"/>
      <c r="AI21" s="485"/>
      <c r="AJ21" s="485"/>
      <c r="AK21" s="485"/>
      <c r="AL21" s="485"/>
      <c r="AM21" s="485"/>
      <c r="AN21" s="485"/>
      <c r="AO21" s="485"/>
      <c r="AP21" s="485"/>
      <c r="AQ21" s="485"/>
    </row>
    <row s="10859" customFormat="1" customHeight="1" ht="17.25" hidden="1">
      <c r="A22" s="539"/>
      <c r="C22" s="538"/>
      <c r="D22" s="2179"/>
      <c r="E22" s="2181"/>
      <c r="F22" s="2184"/>
      <c r="G22" s="2186"/>
      <c r="H22" s="1593"/>
      <c r="I22" s="1594"/>
      <c r="J22" s="1594"/>
      <c r="K22" s="1594"/>
      <c r="L22" s="1594"/>
      <c r="M22" s="1594"/>
      <c r="N22" s="1594"/>
      <c r="O22" s="1594"/>
      <c r="P22" s="1594"/>
      <c r="Q22" s="1594"/>
      <c r="R22" s="1594"/>
      <c r="S22" s="1595"/>
      <c r="T22" s="1595"/>
      <c r="U22" s="1595"/>
      <c r="V22" s="1595"/>
      <c r="W22" s="1596"/>
      <c r="X22" s="1548"/>
      <c r="Y22" s="1548"/>
      <c r="Z22" s="1548"/>
      <c r="AA22" s="1548"/>
      <c r="AB22" s="1548"/>
      <c r="AC22" s="485"/>
      <c r="AD22" s="485"/>
      <c r="AE22" s="485"/>
      <c r="AF22" s="485"/>
      <c r="AG22" s="485"/>
      <c r="AH22" s="485"/>
      <c r="AI22" s="485"/>
      <c r="AJ22" s="485"/>
      <c r="AK22" s="485"/>
      <c r="AL22" s="485"/>
      <c r="AM22" s="485"/>
      <c r="AN22" s="485"/>
      <c r="AO22" s="485"/>
      <c r="AP22" s="485"/>
      <c r="AQ22" s="485"/>
    </row>
    <row s="10859" customFormat="1" customHeight="1" ht="17.25" hidden="1">
      <c r="A23" s="539"/>
      <c r="C23" s="417"/>
      <c r="D23" s="2178">
        <v>3</v>
      </c>
      <c r="E23" s="2180" t="s">
        <v>239</v>
      </c>
      <c r="F23" s="2182" t="s">
        <v>57</v>
      </c>
      <c r="G23" s="2185"/>
      <c r="H23" s="2187"/>
      <c r="I23" s="2189"/>
      <c r="J23" s="2191"/>
      <c r="K23" s="2175"/>
      <c r="L23" s="2170"/>
      <c r="M23" s="2170"/>
      <c r="N23" s="2172"/>
      <c r="O23" s="2175"/>
      <c r="P23" s="2170"/>
      <c r="Q23" s="2170"/>
      <c r="R23" s="2177"/>
      <c r="S23" s="2175"/>
      <c r="T23" s="1717"/>
      <c r="U23" s="1717"/>
      <c r="V23" s="1716"/>
      <c r="W23" s="1589"/>
      <c r="X23" s="1556"/>
      <c r="Y23" s="1556"/>
      <c r="Z23" s="1556"/>
      <c r="AA23" s="1556"/>
      <c r="AB23" s="1556"/>
      <c r="AC23" s="1638" t="s">
        <v>240</v>
      </c>
      <c r="AD23" s="1638" t="s">
        <v>241</v>
      </c>
      <c r="AE23" s="1638" t="s">
        <v>242</v>
      </c>
      <c r="AF23" s="1638" t="s">
        <v>243</v>
      </c>
      <c r="AG23" s="1638" t="s">
        <v>244</v>
      </c>
      <c r="AH23" s="1638" t="str">
        <f>IF($E$23=0,"",$E$23)</f>
        <v>Тарифы на теплоноситель, поставляемый теплоснабжающими организациями потребителям, другим теплоснабжающим организациям</v>
      </c>
      <c r="AI23" s="1638" t="str">
        <f>IF($G$23=0,"",$G$23)</f>
        <v/>
      </c>
      <c r="AJ23" s="1638" t="str">
        <f>IF($J$23=0,"",$J$23)</f>
        <v/>
      </c>
      <c r="AK23" s="1638" t="str">
        <f>IF($K$23="нет","без дифференциации",IF($N$23=0,"",$N$23))</f>
        <v/>
      </c>
      <c r="AL23" s="1638" t="str">
        <f>IF($O$23="нет","без дифференциации",IF($R$23=0,"",$R$23))</f>
        <v/>
      </c>
      <c r="AM23" s="1638" t="str">
        <f>IF($S$23="нет","без дифференциации",IF($V$23=0,"",$V$23))</f>
        <v/>
      </c>
      <c r="AN23" s="1817">
        <f>$I$23</f>
        <v>0</v>
      </c>
      <c r="AO23" s="1638" t="str">
        <f>$I$23&amp;"."&amp;$M$23</f>
        <v>.</v>
      </c>
      <c r="AP23" s="485" t="str">
        <f>$I$23&amp;"."&amp;$M$23&amp;"."&amp;$Q$23</f>
        <v>..</v>
      </c>
      <c r="AQ23" s="485" t="str">
        <f>$I$23&amp;"."&amp;$M$23&amp;"."&amp;$Q$23&amp;"."&amp;$U$23</f>
        <v>...</v>
      </c>
    </row>
    <row s="10859" customFormat="1" customHeight="1" ht="17.25" hidden="1">
      <c r="A24" s="539"/>
      <c r="C24" s="538"/>
      <c r="D24" s="2178"/>
      <c r="E24" s="2180"/>
      <c r="F24" s="2183"/>
      <c r="G24" s="2185"/>
      <c r="H24" s="2188"/>
      <c r="I24" s="2190"/>
      <c r="J24" s="2192"/>
      <c r="K24" s="2176"/>
      <c r="L24" s="2171"/>
      <c r="M24" s="2171"/>
      <c r="N24" s="2173"/>
      <c r="O24" s="2176"/>
      <c r="P24" s="2171"/>
      <c r="Q24" s="2171"/>
      <c r="R24" s="2174"/>
      <c r="S24" s="2176"/>
      <c r="T24" s="1590"/>
      <c r="U24" s="1590"/>
      <c r="V24" s="1590"/>
      <c r="W24" s="1591"/>
      <c r="X24" s="1548"/>
      <c r="Y24" s="1548"/>
      <c r="Z24" s="1548"/>
      <c r="AA24" s="1548"/>
      <c r="AB24" s="1548"/>
      <c r="AC24" s="485"/>
      <c r="AD24" s="485"/>
      <c r="AE24" s="485"/>
      <c r="AF24" s="485"/>
      <c r="AG24" s="485"/>
      <c r="AH24" s="485"/>
      <c r="AI24" s="485"/>
      <c r="AJ24" s="485"/>
      <c r="AK24" s="485"/>
      <c r="AL24" s="485"/>
      <c r="AM24" s="485"/>
      <c r="AN24" s="485"/>
      <c r="AO24" s="485"/>
      <c r="AP24" s="485"/>
      <c r="AQ24" s="485"/>
    </row>
    <row s="10859" customFormat="1" customHeight="1" ht="17.25" hidden="1">
      <c r="A25" s="539"/>
      <c r="C25" s="538"/>
      <c r="D25" s="2179"/>
      <c r="E25" s="2181"/>
      <c r="F25" s="2183"/>
      <c r="G25" s="2186"/>
      <c r="H25" s="2188"/>
      <c r="I25" s="2190"/>
      <c r="J25" s="2193"/>
      <c r="K25" s="2176"/>
      <c r="L25" s="2171"/>
      <c r="M25" s="2171"/>
      <c r="N25" s="2174"/>
      <c r="O25" s="2176"/>
      <c r="P25" s="1715"/>
      <c r="Q25" s="1590"/>
      <c r="R25" s="1590"/>
      <c r="S25" s="550"/>
      <c r="T25" s="550"/>
      <c r="U25" s="550"/>
      <c r="V25" s="550"/>
      <c r="W25" s="1591"/>
      <c r="X25" s="1548"/>
      <c r="Y25" s="1548"/>
      <c r="Z25" s="1548"/>
      <c r="AA25" s="1548"/>
      <c r="AB25" s="1548"/>
      <c r="AC25" s="485"/>
      <c r="AD25" s="485"/>
      <c r="AE25" s="485"/>
      <c r="AF25" s="485"/>
      <c r="AG25" s="485"/>
      <c r="AH25" s="485"/>
      <c r="AI25" s="485"/>
      <c r="AJ25" s="485"/>
      <c r="AK25" s="485"/>
      <c r="AL25" s="485"/>
      <c r="AM25" s="485"/>
      <c r="AN25" s="485"/>
      <c r="AO25" s="485"/>
      <c r="AP25" s="485"/>
      <c r="AQ25" s="485"/>
    </row>
    <row s="10859" customFormat="1" customHeight="1" ht="17.25" hidden="1">
      <c r="A26" s="539"/>
      <c r="C26" s="538"/>
      <c r="D26" s="2179"/>
      <c r="E26" s="2181"/>
      <c r="F26" s="2183"/>
      <c r="G26" s="2186"/>
      <c r="H26" s="2188"/>
      <c r="I26" s="2190"/>
      <c r="J26" s="2193"/>
      <c r="K26" s="2176"/>
      <c r="L26" s="1590"/>
      <c r="M26" s="1590"/>
      <c r="N26" s="1590"/>
      <c r="O26" s="1590"/>
      <c r="P26" s="1590"/>
      <c r="Q26" s="1590"/>
      <c r="R26" s="1590"/>
      <c r="S26" s="550"/>
      <c r="T26" s="550"/>
      <c r="U26" s="550"/>
      <c r="V26" s="550"/>
      <c r="W26" s="1591"/>
      <c r="X26" s="1548"/>
      <c r="Y26" s="1548"/>
      <c r="Z26" s="1548"/>
      <c r="AA26" s="1548"/>
      <c r="AB26" s="1548"/>
      <c r="AC26" s="485"/>
      <c r="AD26" s="485"/>
      <c r="AE26" s="485"/>
      <c r="AF26" s="485"/>
      <c r="AG26" s="485"/>
      <c r="AH26" s="485"/>
      <c r="AI26" s="485"/>
      <c r="AJ26" s="485"/>
      <c r="AK26" s="485"/>
      <c r="AL26" s="485"/>
      <c r="AM26" s="485"/>
      <c r="AN26" s="485"/>
      <c r="AO26" s="485"/>
      <c r="AP26" s="485"/>
      <c r="AQ26" s="485"/>
    </row>
    <row s="10859" customFormat="1" customHeight="1" ht="17.25" hidden="1">
      <c r="A27" s="539"/>
      <c r="C27" s="538"/>
      <c r="D27" s="2179"/>
      <c r="E27" s="2181"/>
      <c r="F27" s="2184"/>
      <c r="G27" s="2186"/>
      <c r="H27" s="1593"/>
      <c r="I27" s="1594"/>
      <c r="J27" s="1594"/>
      <c r="K27" s="1594"/>
      <c r="L27" s="1594"/>
      <c r="M27" s="1594"/>
      <c r="N27" s="1594"/>
      <c r="O27" s="1594"/>
      <c r="P27" s="1594"/>
      <c r="Q27" s="1594"/>
      <c r="R27" s="1594"/>
      <c r="S27" s="1595"/>
      <c r="T27" s="1595"/>
      <c r="U27" s="1595"/>
      <c r="V27" s="1595"/>
      <c r="W27" s="1596"/>
      <c r="X27" s="1548"/>
      <c r="Y27" s="1548"/>
      <c r="Z27" s="1548"/>
      <c r="AA27" s="1548"/>
      <c r="AB27" s="1548"/>
      <c r="AC27" s="485"/>
      <c r="AD27" s="485"/>
      <c r="AE27" s="485"/>
      <c r="AF27" s="485"/>
      <c r="AG27" s="485"/>
      <c r="AH27" s="485"/>
      <c r="AI27" s="485"/>
      <c r="AJ27" s="485"/>
      <c r="AK27" s="485"/>
      <c r="AL27" s="485"/>
      <c r="AM27" s="485"/>
      <c r="AN27" s="485"/>
      <c r="AO27" s="485"/>
      <c r="AP27" s="485"/>
      <c r="AQ27" s="485"/>
    </row>
    <row s="10859" customFormat="1" customHeight="1" ht="17.25" hidden="1">
      <c r="A28" s="539"/>
      <c r="C28" s="417"/>
      <c r="D28" s="2178">
        <v>4</v>
      </c>
      <c r="E28" s="2180" t="s">
        <v>245</v>
      </c>
      <c r="F28" s="2182" t="s">
        <v>57</v>
      </c>
      <c r="G28" s="2185"/>
      <c r="H28" s="2187"/>
      <c r="I28" s="2189"/>
      <c r="J28" s="2191"/>
      <c r="K28" s="2175"/>
      <c r="L28" s="2170"/>
      <c r="M28" s="2170"/>
      <c r="N28" s="2172"/>
      <c r="O28" s="2175"/>
      <c r="P28" s="2170"/>
      <c r="Q28" s="2170"/>
      <c r="R28" s="2177"/>
      <c r="S28" s="2175"/>
      <c r="T28" s="1717"/>
      <c r="U28" s="1717"/>
      <c r="V28" s="1716"/>
      <c r="W28" s="1589"/>
      <c r="X28" s="1556"/>
      <c r="Y28" s="1556"/>
      <c r="Z28" s="1556"/>
      <c r="AA28" s="1556"/>
      <c r="AB28" s="1556"/>
      <c r="AC28" s="1638" t="s">
        <v>246</v>
      </c>
      <c r="AD28" s="1638" t="s">
        <v>247</v>
      </c>
      <c r="AE28" s="1638" t="s">
        <v>248</v>
      </c>
      <c r="AF28" s="1638" t="s">
        <v>249</v>
      </c>
      <c r="AG28" s="1638" t="s">
        <v>250</v>
      </c>
      <c r="AH28" s="1638" t="str">
        <f>IF($E$28=0,"",$E$28)</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AI28" s="1638" t="str">
        <f>IF($G$28=0,"",$G$28)</f>
        <v/>
      </c>
      <c r="AJ28" s="1638" t="str">
        <f>IF($J$28=0,"",$J$28)</f>
        <v/>
      </c>
      <c r="AK28" s="1638" t="str">
        <f>IF($K$28="нет","без дифференциации",IF($N$28=0,"",$N$28))</f>
        <v/>
      </c>
      <c r="AL28" s="1638" t="str">
        <f>IF($O$28="нет","без дифференциации",IF($R$28=0,"",$R$28))</f>
        <v/>
      </c>
      <c r="AM28" s="1638" t="str">
        <f>IF($S$28="нет","без дифференциации",IF($V$28=0,"",$V$28))</f>
        <v/>
      </c>
      <c r="AN28" s="1817">
        <f>$I$28</f>
        <v>0</v>
      </c>
      <c r="AO28" s="1638" t="str">
        <f>$I$28&amp;"."&amp;$M$28</f>
        <v>.</v>
      </c>
      <c r="AP28" s="485" t="str">
        <f>$I$28&amp;"."&amp;$M$28&amp;"."&amp;$Q$28</f>
        <v>..</v>
      </c>
      <c r="AQ28" s="485" t="str">
        <f>$I$28&amp;"."&amp;$M$28&amp;"."&amp;$Q$28&amp;"."&amp;$U$28</f>
        <v>...</v>
      </c>
    </row>
    <row s="10859" customFormat="1" customHeight="1" ht="17.25" hidden="1">
      <c r="A29" s="539"/>
      <c r="C29" s="538"/>
      <c r="D29" s="2178"/>
      <c r="E29" s="2180"/>
      <c r="F29" s="2183"/>
      <c r="G29" s="2185"/>
      <c r="H29" s="2188"/>
      <c r="I29" s="2190"/>
      <c r="J29" s="2192"/>
      <c r="K29" s="2176"/>
      <c r="L29" s="2171"/>
      <c r="M29" s="2171"/>
      <c r="N29" s="2173"/>
      <c r="O29" s="2176"/>
      <c r="P29" s="2171"/>
      <c r="Q29" s="2171"/>
      <c r="R29" s="2174"/>
      <c r="S29" s="2176"/>
      <c r="T29" s="1590"/>
      <c r="U29" s="1590"/>
      <c r="V29" s="1590"/>
      <c r="W29" s="1591"/>
      <c r="X29" s="1548"/>
      <c r="Y29" s="1548"/>
      <c r="Z29" s="1548"/>
      <c r="AA29" s="1548"/>
      <c r="AB29" s="1548"/>
      <c r="AC29" s="485"/>
      <c r="AD29" s="485"/>
      <c r="AE29" s="485"/>
      <c r="AF29" s="485"/>
      <c r="AG29" s="485"/>
      <c r="AH29" s="485"/>
      <c r="AI29" s="485"/>
      <c r="AJ29" s="485"/>
      <c r="AK29" s="485"/>
      <c r="AL29" s="485"/>
      <c r="AM29" s="485"/>
      <c r="AN29" s="485"/>
      <c r="AO29" s="485"/>
      <c r="AP29" s="485"/>
      <c r="AQ29" s="485"/>
    </row>
    <row s="10859" customFormat="1" customHeight="1" ht="17.25" hidden="1">
      <c r="A30" s="539"/>
      <c r="C30" s="538"/>
      <c r="D30" s="2179"/>
      <c r="E30" s="2181"/>
      <c r="F30" s="2183"/>
      <c r="G30" s="2186"/>
      <c r="H30" s="2188"/>
      <c r="I30" s="2190"/>
      <c r="J30" s="2193"/>
      <c r="K30" s="2176"/>
      <c r="L30" s="2171"/>
      <c r="M30" s="2171"/>
      <c r="N30" s="2174"/>
      <c r="O30" s="2176"/>
      <c r="P30" s="1715"/>
      <c r="Q30" s="1590"/>
      <c r="R30" s="1590"/>
      <c r="S30" s="550"/>
      <c r="T30" s="550"/>
      <c r="U30" s="550"/>
      <c r="V30" s="550"/>
      <c r="W30" s="1591"/>
      <c r="X30" s="1548"/>
      <c r="Y30" s="1548"/>
      <c r="Z30" s="1548"/>
      <c r="AA30" s="1548"/>
      <c r="AB30" s="1548"/>
      <c r="AC30" s="485"/>
      <c r="AD30" s="485"/>
      <c r="AE30" s="485"/>
      <c r="AF30" s="485"/>
      <c r="AG30" s="485"/>
      <c r="AH30" s="485"/>
      <c r="AI30" s="485"/>
      <c r="AJ30" s="485"/>
      <c r="AK30" s="485"/>
      <c r="AL30" s="485"/>
      <c r="AM30" s="485"/>
      <c r="AN30" s="485"/>
      <c r="AO30" s="485"/>
      <c r="AP30" s="485"/>
      <c r="AQ30" s="485"/>
    </row>
    <row s="10859" customFormat="1" customHeight="1" ht="17.25" hidden="1">
      <c r="A31" s="539"/>
      <c r="C31" s="538"/>
      <c r="D31" s="2179"/>
      <c r="E31" s="2181"/>
      <c r="F31" s="2183"/>
      <c r="G31" s="2186"/>
      <c r="H31" s="2188"/>
      <c r="I31" s="2190"/>
      <c r="J31" s="2193"/>
      <c r="K31" s="2176"/>
      <c r="L31" s="1590"/>
      <c r="M31" s="1590"/>
      <c r="N31" s="1590"/>
      <c r="O31" s="1590"/>
      <c r="P31" s="1590"/>
      <c r="Q31" s="1590"/>
      <c r="R31" s="1590"/>
      <c r="S31" s="550"/>
      <c r="T31" s="550"/>
      <c r="U31" s="550"/>
      <c r="V31" s="550"/>
      <c r="W31" s="1591"/>
      <c r="X31" s="1548"/>
      <c r="Y31" s="1548"/>
      <c r="Z31" s="1548"/>
      <c r="AA31" s="1548"/>
      <c r="AB31" s="1548"/>
      <c r="AC31" s="485"/>
      <c r="AD31" s="485"/>
      <c r="AE31" s="485"/>
      <c r="AF31" s="485"/>
      <c r="AG31" s="485"/>
      <c r="AH31" s="485"/>
      <c r="AI31" s="485"/>
      <c r="AJ31" s="485"/>
      <c r="AK31" s="485"/>
      <c r="AL31" s="485"/>
      <c r="AM31" s="485"/>
      <c r="AN31" s="485"/>
      <c r="AO31" s="485"/>
      <c r="AP31" s="485"/>
      <c r="AQ31" s="485"/>
    </row>
    <row s="10859" customFormat="1" customHeight="1" ht="17.25" hidden="1">
      <c r="A32" s="539"/>
      <c r="C32" s="538"/>
      <c r="D32" s="2179"/>
      <c r="E32" s="2181"/>
      <c r="F32" s="2184"/>
      <c r="G32" s="2186"/>
      <c r="H32" s="1593"/>
      <c r="I32" s="1594"/>
      <c r="J32" s="1594"/>
      <c r="K32" s="1594"/>
      <c r="L32" s="1594"/>
      <c r="M32" s="1594"/>
      <c r="N32" s="1594"/>
      <c r="O32" s="1594"/>
      <c r="P32" s="1594"/>
      <c r="Q32" s="1594"/>
      <c r="R32" s="1594"/>
      <c r="S32" s="1595"/>
      <c r="T32" s="1595"/>
      <c r="U32" s="1595"/>
      <c r="V32" s="1595"/>
      <c r="W32" s="1596"/>
      <c r="X32" s="1548"/>
      <c r="Y32" s="1548"/>
      <c r="Z32" s="1548"/>
      <c r="AA32" s="1548"/>
      <c r="AB32" s="1548"/>
      <c r="AC32" s="485"/>
      <c r="AD32" s="485"/>
      <c r="AE32" s="485"/>
      <c r="AF32" s="485"/>
      <c r="AG32" s="485"/>
      <c r="AH32" s="485"/>
      <c r="AI32" s="485"/>
      <c r="AJ32" s="485"/>
      <c r="AK32" s="485"/>
      <c r="AL32" s="485"/>
      <c r="AM32" s="485"/>
      <c r="AN32" s="485"/>
      <c r="AO32" s="485"/>
      <c r="AP32" s="485"/>
      <c r="AQ32" s="485"/>
    </row>
    <row s="10859" customFormat="1" customHeight="1" ht="17.25" hidden="1">
      <c r="A33" s="539"/>
      <c r="C33" s="417"/>
      <c r="D33" s="2178">
        <v>5</v>
      </c>
      <c r="E33" s="2180" t="s">
        <v>251</v>
      </c>
      <c r="F33" s="2182" t="s">
        <v>57</v>
      </c>
      <c r="G33" s="2185"/>
      <c r="H33" s="2187"/>
      <c r="I33" s="2189"/>
      <c r="J33" s="2191"/>
      <c r="K33" s="2175"/>
      <c r="L33" s="2170"/>
      <c r="M33" s="2170"/>
      <c r="N33" s="2172"/>
      <c r="O33" s="2175"/>
      <c r="P33" s="2170"/>
      <c r="Q33" s="2170"/>
      <c r="R33" s="2177"/>
      <c r="S33" s="2175"/>
      <c r="T33" s="1717"/>
      <c r="U33" s="1717"/>
      <c r="V33" s="1716"/>
      <c r="W33" s="1589"/>
      <c r="X33" s="1556"/>
      <c r="Y33" s="1556"/>
      <c r="Z33" s="1556"/>
      <c r="AA33" s="1556"/>
      <c r="AB33" s="1556"/>
      <c r="AC33" s="1638" t="s">
        <v>252</v>
      </c>
      <c r="AD33" s="1638" t="s">
        <v>253</v>
      </c>
      <c r="AE33" s="1638" t="s">
        <v>254</v>
      </c>
      <c r="AF33" s="1638" t="s">
        <v>255</v>
      </c>
      <c r="AG33" s="1638" t="s">
        <v>256</v>
      </c>
      <c r="AH33" s="1638" t="str">
        <f>IF($E$33=0,"",$E$33)</f>
        <v>Тарифы на услуги по передаче тепловой энергии</v>
      </c>
      <c r="AI33" s="1638" t="str">
        <f>IF($G$33=0,"",$G$33)</f>
        <v/>
      </c>
      <c r="AJ33" s="1638" t="str">
        <f>IF($J$33=0,"",$J$33)</f>
        <v/>
      </c>
      <c r="AK33" s="1638" t="str">
        <f>IF($K$33="нет","без дифференциации",IF($N$33=0,"",$N$33))</f>
        <v/>
      </c>
      <c r="AL33" s="1638" t="str">
        <f>IF($O$33="нет","без дифференциации",IF($R$33=0,"",$R$33))</f>
        <v/>
      </c>
      <c r="AM33" s="1638" t="str">
        <f>IF($S$33="нет","без дифференциации",IF($V$33=0,"",$V$33))</f>
        <v/>
      </c>
      <c r="AN33" s="1817">
        <f>$I$33</f>
        <v>0</v>
      </c>
      <c r="AO33" s="1638" t="str">
        <f>$I$33&amp;"."&amp;$M$33</f>
        <v>.</v>
      </c>
      <c r="AP33" s="485" t="str">
        <f>$I$33&amp;"."&amp;$M$33&amp;"."&amp;$Q$33</f>
        <v>..</v>
      </c>
      <c r="AQ33" s="485" t="str">
        <f>$I$33&amp;"."&amp;$M$33&amp;"."&amp;$Q$33&amp;"."&amp;$U$33</f>
        <v>...</v>
      </c>
    </row>
    <row s="10859" customFormat="1" customHeight="1" ht="17.25" hidden="1">
      <c r="A34" s="539"/>
      <c r="C34" s="538"/>
      <c r="D34" s="2178"/>
      <c r="E34" s="2180"/>
      <c r="F34" s="2183"/>
      <c r="G34" s="2185"/>
      <c r="H34" s="2188"/>
      <c r="I34" s="2190"/>
      <c r="J34" s="2192"/>
      <c r="K34" s="2176"/>
      <c r="L34" s="2171"/>
      <c r="M34" s="2171"/>
      <c r="N34" s="2173"/>
      <c r="O34" s="2176"/>
      <c r="P34" s="2171"/>
      <c r="Q34" s="2171"/>
      <c r="R34" s="2174"/>
      <c r="S34" s="2176"/>
      <c r="T34" s="1590"/>
      <c r="U34" s="1590"/>
      <c r="V34" s="1590"/>
      <c r="W34" s="1591"/>
      <c r="X34" s="1548"/>
      <c r="Y34" s="1548"/>
      <c r="Z34" s="1548"/>
      <c r="AA34" s="1548"/>
      <c r="AB34" s="1548"/>
      <c r="AC34" s="485"/>
      <c r="AD34" s="485"/>
      <c r="AE34" s="485"/>
      <c r="AF34" s="485"/>
      <c r="AG34" s="485"/>
      <c r="AH34" s="485"/>
      <c r="AI34" s="485"/>
      <c r="AJ34" s="485"/>
      <c r="AK34" s="485"/>
      <c r="AL34" s="485"/>
      <c r="AM34" s="485"/>
      <c r="AN34" s="485"/>
      <c r="AO34" s="485"/>
      <c r="AP34" s="485"/>
      <c r="AQ34" s="485"/>
    </row>
    <row s="10859" customFormat="1" customHeight="1" ht="17.25" hidden="1">
      <c r="A35" s="539"/>
      <c r="C35" s="538"/>
      <c r="D35" s="2179"/>
      <c r="E35" s="2181"/>
      <c r="F35" s="2183"/>
      <c r="G35" s="2186"/>
      <c r="H35" s="2188"/>
      <c r="I35" s="2190"/>
      <c r="J35" s="2193"/>
      <c r="K35" s="2176"/>
      <c r="L35" s="2171"/>
      <c r="M35" s="2171"/>
      <c r="N35" s="2174"/>
      <c r="O35" s="2176"/>
      <c r="P35" s="1715"/>
      <c r="Q35" s="1590"/>
      <c r="R35" s="1590"/>
      <c r="S35" s="550"/>
      <c r="T35" s="550"/>
      <c r="U35" s="550"/>
      <c r="V35" s="550"/>
      <c r="W35" s="1591"/>
      <c r="X35" s="1548"/>
      <c r="Y35" s="1548"/>
      <c r="Z35" s="1548"/>
      <c r="AA35" s="1548"/>
      <c r="AB35" s="1548"/>
      <c r="AC35" s="485"/>
      <c r="AD35" s="485"/>
      <c r="AE35" s="485"/>
      <c r="AF35" s="485"/>
      <c r="AG35" s="485"/>
      <c r="AH35" s="485"/>
      <c r="AI35" s="485"/>
      <c r="AJ35" s="485"/>
      <c r="AK35" s="485"/>
      <c r="AL35" s="485"/>
      <c r="AM35" s="485"/>
      <c r="AN35" s="485"/>
      <c r="AO35" s="485"/>
      <c r="AP35" s="485"/>
      <c r="AQ35" s="485"/>
    </row>
    <row s="10859" customFormat="1" customHeight="1" ht="17.25" hidden="1">
      <c r="A36" s="539"/>
      <c r="C36" s="538"/>
      <c r="D36" s="2179"/>
      <c r="E36" s="2181"/>
      <c r="F36" s="2183"/>
      <c r="G36" s="2186"/>
      <c r="H36" s="2188"/>
      <c r="I36" s="2190"/>
      <c r="J36" s="2193"/>
      <c r="K36" s="2176"/>
      <c r="L36" s="1590"/>
      <c r="M36" s="1590"/>
      <c r="N36" s="1590"/>
      <c r="O36" s="1590"/>
      <c r="P36" s="1590"/>
      <c r="Q36" s="1590"/>
      <c r="R36" s="1590"/>
      <c r="S36" s="550"/>
      <c r="T36" s="550"/>
      <c r="U36" s="550"/>
      <c r="V36" s="550"/>
      <c r="W36" s="1591"/>
      <c r="X36" s="1548"/>
      <c r="Y36" s="1548"/>
      <c r="Z36" s="1548"/>
      <c r="AA36" s="1548"/>
      <c r="AB36" s="1548"/>
      <c r="AC36" s="485"/>
      <c r="AD36" s="485"/>
      <c r="AE36" s="485"/>
      <c r="AF36" s="485"/>
      <c r="AG36" s="485"/>
      <c r="AH36" s="485"/>
      <c r="AI36" s="485"/>
      <c r="AJ36" s="485"/>
      <c r="AK36" s="485"/>
      <c r="AL36" s="485"/>
      <c r="AM36" s="485"/>
      <c r="AN36" s="485"/>
      <c r="AO36" s="485"/>
      <c r="AP36" s="485"/>
      <c r="AQ36" s="485"/>
    </row>
    <row s="10859" customFormat="1" customHeight="1" ht="17.25" hidden="1">
      <c r="A37" s="539"/>
      <c r="C37" s="538"/>
      <c r="D37" s="2179"/>
      <c r="E37" s="2181"/>
      <c r="F37" s="2184"/>
      <c r="G37" s="2186"/>
      <c r="H37" s="1593"/>
      <c r="I37" s="1594"/>
      <c r="J37" s="1594"/>
      <c r="K37" s="1594"/>
      <c r="L37" s="1594"/>
      <c r="M37" s="1594"/>
      <c r="N37" s="1594"/>
      <c r="O37" s="1594"/>
      <c r="P37" s="1594"/>
      <c r="Q37" s="1594"/>
      <c r="R37" s="1594"/>
      <c r="S37" s="1595"/>
      <c r="T37" s="1595"/>
      <c r="U37" s="1595"/>
      <c r="V37" s="1595"/>
      <c r="W37" s="1596"/>
      <c r="X37" s="1548"/>
      <c r="Y37" s="1548"/>
      <c r="Z37" s="1548"/>
      <c r="AA37" s="1548"/>
      <c r="AB37" s="1548"/>
      <c r="AC37" s="485"/>
      <c r="AD37" s="485"/>
      <c r="AE37" s="485"/>
      <c r="AF37" s="485"/>
      <c r="AG37" s="485"/>
      <c r="AH37" s="485"/>
      <c r="AI37" s="485"/>
      <c r="AJ37" s="485"/>
      <c r="AK37" s="485"/>
      <c r="AL37" s="485"/>
      <c r="AM37" s="485"/>
      <c r="AN37" s="485"/>
      <c r="AO37" s="485"/>
      <c r="AP37" s="485"/>
      <c r="AQ37" s="485"/>
    </row>
    <row s="10859" customFormat="1" customHeight="1" ht="17.25" hidden="1">
      <c r="A38" s="539"/>
      <c r="C38" s="417"/>
      <c r="D38" s="2178">
        <v>6</v>
      </c>
      <c r="E38" s="2180" t="s">
        <v>257</v>
      </c>
      <c r="F38" s="2182" t="s">
        <v>57</v>
      </c>
      <c r="G38" s="2185"/>
      <c r="H38" s="2187"/>
      <c r="I38" s="2189"/>
      <c r="J38" s="2191"/>
      <c r="K38" s="2175"/>
      <c r="L38" s="2170"/>
      <c r="M38" s="2170"/>
      <c r="N38" s="2172"/>
      <c r="O38" s="2175"/>
      <c r="P38" s="2170"/>
      <c r="Q38" s="2170"/>
      <c r="R38" s="2177"/>
      <c r="S38" s="2175"/>
      <c r="T38" s="1717"/>
      <c r="U38" s="1717"/>
      <c r="V38" s="1716"/>
      <c r="W38" s="1589"/>
      <c r="X38" s="1556"/>
      <c r="Y38" s="1556"/>
      <c r="Z38" s="1556"/>
      <c r="AA38" s="1556"/>
      <c r="AB38" s="1556"/>
      <c r="AC38" s="1638" t="s">
        <v>258</v>
      </c>
      <c r="AD38" s="1638" t="s">
        <v>259</v>
      </c>
      <c r="AE38" s="1638" t="s">
        <v>260</v>
      </c>
      <c r="AF38" s="1638" t="s">
        <v>261</v>
      </c>
      <c r="AG38" s="1638" t="s">
        <v>262</v>
      </c>
      <c r="AH38" s="1638" t="str">
        <f>IF($E$38=0,"",$E$38)</f>
        <v>Тарифы на услуги по передаче теплоносителя</v>
      </c>
      <c r="AI38" s="1638" t="str">
        <f>IF($G$38=0,"",$G$38)</f>
        <v/>
      </c>
      <c r="AJ38" s="1638" t="str">
        <f>IF($J$38=0,"",$J$38)</f>
        <v/>
      </c>
      <c r="AK38" s="1638" t="str">
        <f>IF($K$38="нет","без дифференциации",IF($N$38=0,"",$N$38))</f>
        <v/>
      </c>
      <c r="AL38" s="1638" t="str">
        <f>IF($O$38="нет","без дифференциации",IF($R$38=0,"",$R$38))</f>
        <v/>
      </c>
      <c r="AM38" s="1638" t="str">
        <f>IF($S$38="нет","без дифференциации",IF($V$38=0,"",$V$38))</f>
        <v/>
      </c>
      <c r="AN38" s="1817">
        <f>$I$38</f>
        <v>0</v>
      </c>
      <c r="AO38" s="1638" t="str">
        <f>$I$38&amp;"."&amp;$M$38</f>
        <v>.</v>
      </c>
      <c r="AP38" s="485" t="str">
        <f>$I$38&amp;"."&amp;$M$38&amp;"."&amp;$Q$38</f>
        <v>..</v>
      </c>
      <c r="AQ38" s="485" t="str">
        <f>$I$38&amp;"."&amp;$M$38&amp;"."&amp;$Q$38&amp;"."&amp;$U$38</f>
        <v>...</v>
      </c>
    </row>
    <row s="10859" customFormat="1" customHeight="1" ht="17.25" hidden="1">
      <c r="A39" s="539"/>
      <c r="C39" s="538"/>
      <c r="D39" s="2178"/>
      <c r="E39" s="2180"/>
      <c r="F39" s="2183"/>
      <c r="G39" s="2185"/>
      <c r="H39" s="2188"/>
      <c r="I39" s="2190"/>
      <c r="J39" s="2192"/>
      <c r="K39" s="2176"/>
      <c r="L39" s="2171"/>
      <c r="M39" s="2171"/>
      <c r="N39" s="2173"/>
      <c r="O39" s="2176"/>
      <c r="P39" s="2171"/>
      <c r="Q39" s="2171"/>
      <c r="R39" s="2174"/>
      <c r="S39" s="2176"/>
      <c r="T39" s="1590"/>
      <c r="U39" s="1590"/>
      <c r="V39" s="1590"/>
      <c r="W39" s="1591"/>
      <c r="X39" s="1548"/>
      <c r="Y39" s="1548"/>
      <c r="Z39" s="1548"/>
      <c r="AA39" s="1548"/>
      <c r="AB39" s="1548"/>
      <c r="AC39" s="485"/>
      <c r="AD39" s="485"/>
      <c r="AE39" s="485"/>
      <c r="AF39" s="485"/>
      <c r="AG39" s="485"/>
      <c r="AH39" s="485"/>
      <c r="AI39" s="485"/>
      <c r="AJ39" s="485"/>
      <c r="AK39" s="485"/>
      <c r="AL39" s="485"/>
      <c r="AM39" s="485"/>
      <c r="AN39" s="485"/>
      <c r="AO39" s="485"/>
      <c r="AP39" s="485"/>
      <c r="AQ39" s="485"/>
    </row>
    <row s="10859" customFormat="1" customHeight="1" ht="17.25" hidden="1">
      <c r="A40" s="539"/>
      <c r="C40" s="538"/>
      <c r="D40" s="2179"/>
      <c r="E40" s="2181"/>
      <c r="F40" s="2183"/>
      <c r="G40" s="2186"/>
      <c r="H40" s="2188"/>
      <c r="I40" s="2190"/>
      <c r="J40" s="2193"/>
      <c r="K40" s="2176"/>
      <c r="L40" s="2171"/>
      <c r="M40" s="2171"/>
      <c r="N40" s="2174"/>
      <c r="O40" s="2176"/>
      <c r="P40" s="1715"/>
      <c r="Q40" s="1590"/>
      <c r="R40" s="1590"/>
      <c r="S40" s="550"/>
      <c r="T40" s="550"/>
      <c r="U40" s="550"/>
      <c r="V40" s="550"/>
      <c r="W40" s="1591"/>
      <c r="X40" s="1548"/>
      <c r="Y40" s="1548"/>
      <c r="Z40" s="1548"/>
      <c r="AA40" s="1548"/>
      <c r="AB40" s="1548"/>
      <c r="AC40" s="485"/>
      <c r="AD40" s="485"/>
      <c r="AE40" s="485"/>
      <c r="AF40" s="485"/>
      <c r="AG40" s="485"/>
      <c r="AH40" s="485"/>
      <c r="AI40" s="485"/>
      <c r="AJ40" s="485"/>
      <c r="AK40" s="485"/>
      <c r="AL40" s="485"/>
      <c r="AM40" s="485"/>
      <c r="AN40" s="485"/>
      <c r="AO40" s="485"/>
      <c r="AP40" s="485"/>
      <c r="AQ40" s="485"/>
    </row>
    <row s="10859" customFormat="1" customHeight="1" ht="17.25" hidden="1">
      <c r="A41" s="539"/>
      <c r="C41" s="417"/>
      <c r="D41" s="2179"/>
      <c r="E41" s="2181"/>
      <c r="F41" s="2183"/>
      <c r="G41" s="2186"/>
      <c r="H41" s="2188"/>
      <c r="I41" s="2190"/>
      <c r="J41" s="2193"/>
      <c r="K41" s="2176"/>
      <c r="L41" s="1590"/>
      <c r="M41" s="1590"/>
      <c r="N41" s="1590"/>
      <c r="O41" s="1590"/>
      <c r="P41" s="1590"/>
      <c r="Q41" s="1590"/>
      <c r="R41" s="1590"/>
      <c r="S41" s="550"/>
      <c r="T41" s="550"/>
      <c r="U41" s="550"/>
      <c r="V41" s="550"/>
      <c r="W41" s="1591"/>
      <c r="Y41" s="1556"/>
      <c r="Z41" s="1556"/>
      <c r="AA41" s="1556"/>
      <c r="AB41" s="1556"/>
      <c r="AC41" s="1638" t="s">
        <v>258</v>
      </c>
      <c r="AD41" s="1638" t="s">
        <v>259</v>
      </c>
      <c r="AE41" s="1638" t="s">
        <v>263</v>
      </c>
      <c r="AF41" s="1638" t="s">
        <v>264</v>
      </c>
      <c r="AG41" s="1638" t="s">
        <v>265</v>
      </c>
      <c r="AH41" s="1638" t="str">
        <f>IF($E$38=0,"",$E$38)</f>
        <v>Тарифы на услуги по передаче теплоносителя</v>
      </c>
      <c r="AI41" s="1638" t="str">
        <f>IF($G$38=0,"",$G$38)</f>
        <v/>
      </c>
      <c r="AJ41" s="1638" t="str">
        <f>IF($J$38=0,"",$J$38)</f>
        <v/>
      </c>
      <c r="AK41" s="1638" t="str">
        <f>IF($K$41="нет","без дифференциации",IF($N$41=0,"",$N$41))</f>
        <v/>
      </c>
      <c r="AL41" s="1638" t="str">
        <f>IF($O$41="нет","без дифференциации",IF($R$41=0,"",$R$41))</f>
        <v/>
      </c>
      <c r="AM41" s="1638" t="str">
        <f>IF($S$41="нет","без дифференциации",IF($V$41=0,"",$V$41))</f>
        <v/>
      </c>
      <c r="AN41" s="1638">
        <f>$I$38</f>
        <v>0</v>
      </c>
      <c r="AO41" s="1638" t="str">
        <f>$I$38&amp;"."&amp;$M$41</f>
        <v>.</v>
      </c>
      <c r="AP41" s="1638" t="str">
        <f>$I$38&amp;"."&amp;$M$41&amp;"."&amp;$Q$41</f>
        <v>..</v>
      </c>
      <c r="AQ41" s="1638" t="str">
        <f>$I$38&amp;"."&amp;$M$41&amp;"."&amp;$Q$41&amp;"."&amp;$U$41</f>
        <v>...</v>
      </c>
    </row>
    <row s="10859" customFormat="1" customHeight="1" ht="17.25" hidden="1">
      <c r="A42" s="539"/>
      <c r="C42" s="538"/>
      <c r="D42" s="2179"/>
      <c r="E42" s="2181"/>
      <c r="F42" s="2184"/>
      <c r="G42" s="2186"/>
      <c r="H42" s="1593"/>
      <c r="I42" s="1594"/>
      <c r="J42" s="1594"/>
      <c r="K42" s="1594"/>
      <c r="L42" s="1594"/>
      <c r="M42" s="1594"/>
      <c r="N42" s="1594"/>
      <c r="O42" s="1594"/>
      <c r="P42" s="1594"/>
      <c r="Q42" s="1594"/>
      <c r="R42" s="1594"/>
      <c r="S42" s="1595"/>
      <c r="T42" s="1595"/>
      <c r="U42" s="1595"/>
      <c r="V42" s="1595"/>
      <c r="W42" s="1596"/>
      <c r="X42" s="1548"/>
      <c r="Y42" s="1548"/>
      <c r="Z42" s="1548"/>
      <c r="AA42" s="1548"/>
      <c r="AB42" s="1548"/>
      <c r="AC42" s="485"/>
      <c r="AD42" s="485"/>
      <c r="AE42" s="485"/>
      <c r="AF42" s="485"/>
      <c r="AG42" s="485"/>
      <c r="AH42" s="485"/>
      <c r="AI42" s="485"/>
      <c r="AJ42" s="485"/>
      <c r="AK42" s="485"/>
      <c r="AL42" s="485"/>
      <c r="AM42" s="485"/>
      <c r="AN42" s="485"/>
      <c r="AO42" s="485"/>
      <c r="AP42" s="485"/>
      <c r="AQ42" s="485"/>
    </row>
    <row s="10859" customFormat="1" customHeight="1" ht="17.25" hidden="1">
      <c r="A43" s="539"/>
      <c r="C43" s="417"/>
      <c r="D43" s="2205">
        <v>7</v>
      </c>
      <c r="E43" s="2208" t="s">
        <v>266</v>
      </c>
      <c r="F43" s="2182" t="s">
        <v>57</v>
      </c>
      <c r="G43" s="2211"/>
      <c r="H43" s="2187"/>
      <c r="I43" s="2189"/>
      <c r="J43" s="2191"/>
      <c r="K43" s="2175"/>
      <c r="L43" s="2170"/>
      <c r="M43" s="2170"/>
      <c r="N43" s="2172"/>
      <c r="O43" s="2175"/>
      <c r="P43" s="2170"/>
      <c r="Q43" s="2170"/>
      <c r="R43" s="2177"/>
      <c r="S43" s="2175"/>
      <c r="T43" s="1717"/>
      <c r="U43" s="1717"/>
      <c r="V43" s="1716"/>
      <c r="W43" s="1589"/>
      <c r="X43" s="1556"/>
      <c r="Y43" s="1556"/>
      <c r="Z43" s="1556"/>
      <c r="AA43" s="1556"/>
      <c r="AB43" s="1556"/>
      <c r="AC43" s="1638" t="s">
        <v>267</v>
      </c>
      <c r="AD43" s="1638" t="s">
        <v>268</v>
      </c>
      <c r="AE43" s="1638" t="s">
        <v>269</v>
      </c>
      <c r="AF43" s="1638" t="s">
        <v>270</v>
      </c>
      <c r="AG43" s="1638" t="s">
        <v>271</v>
      </c>
      <c r="AH43" s="1638" t="str">
        <f>IF($E$43=0,"",$E$43)</f>
        <v>Плата за услуги по поддержанию резервной тепловой мощности при отсутствии потребления тепловой энергии</v>
      </c>
      <c r="AI43" s="1638" t="str">
        <f>IF($G$43=0,"",$G$43)</f>
        <v/>
      </c>
      <c r="AJ43" s="1638" t="str">
        <f>IF($J$43=0,"",$J$43)</f>
        <v/>
      </c>
      <c r="AK43" s="1638" t="str">
        <f>IF($K$43="нет","без дифференциации",IF($N$43=0,"",$N$43))</f>
        <v/>
      </c>
      <c r="AL43" s="1638" t="str">
        <f>IF($O$43="нет","без дифференциации",IF($R$43=0,"",$R$43))</f>
        <v/>
      </c>
      <c r="AM43" s="1638" t="str">
        <f>IF($S$43="нет","без дифференциации",IF($V$43=0,"",$V$43))</f>
        <v/>
      </c>
      <c r="AN43" s="1817">
        <f>$I$43</f>
        <v>0</v>
      </c>
      <c r="AO43" s="1638" t="str">
        <f>$I$43&amp;"."&amp;$M$43</f>
        <v>.</v>
      </c>
      <c r="AP43" s="485" t="str">
        <f>$I$43&amp;"."&amp;$M$43&amp;"."&amp;$Q$43</f>
        <v>..</v>
      </c>
      <c r="AQ43" s="485" t="str">
        <f>$I$43&amp;"."&amp;$M$43&amp;"."&amp;$Q$43&amp;"."&amp;$U$43</f>
        <v>...</v>
      </c>
    </row>
    <row s="10859" customFormat="1" customHeight="1" ht="17.25" hidden="1">
      <c r="A44" s="539"/>
      <c r="C44" s="538"/>
      <c r="D44" s="2206"/>
      <c r="E44" s="2209"/>
      <c r="F44" s="2183"/>
      <c r="G44" s="2212"/>
      <c r="H44" s="2188"/>
      <c r="I44" s="2190"/>
      <c r="J44" s="2192"/>
      <c r="K44" s="2176"/>
      <c r="L44" s="2171"/>
      <c r="M44" s="2171"/>
      <c r="N44" s="2173"/>
      <c r="O44" s="2176"/>
      <c r="P44" s="2171"/>
      <c r="Q44" s="2171"/>
      <c r="R44" s="2174"/>
      <c r="S44" s="2176"/>
      <c r="T44" s="1590"/>
      <c r="U44" s="1590"/>
      <c r="V44" s="1590"/>
      <c r="W44" s="1591"/>
      <c r="X44" s="1548"/>
      <c r="Y44" s="1548"/>
      <c r="Z44" s="1548"/>
      <c r="AA44" s="1548"/>
      <c r="AB44" s="1548"/>
      <c r="AC44" s="485"/>
      <c r="AD44" s="485"/>
      <c r="AE44" s="485"/>
      <c r="AF44" s="485"/>
      <c r="AG44" s="485"/>
      <c r="AH44" s="485"/>
      <c r="AI44" s="485"/>
      <c r="AJ44" s="485"/>
      <c r="AK44" s="485"/>
      <c r="AL44" s="485"/>
      <c r="AM44" s="485"/>
      <c r="AN44" s="485"/>
      <c r="AO44" s="485"/>
      <c r="AP44" s="485"/>
      <c r="AQ44" s="485"/>
    </row>
    <row s="10859" customFormat="1" customHeight="1" ht="17.25" hidden="1">
      <c r="A45" s="539"/>
      <c r="C45" s="538"/>
      <c r="D45" s="2206"/>
      <c r="E45" s="2209"/>
      <c r="F45" s="2183"/>
      <c r="G45" s="2212"/>
      <c r="H45" s="2188"/>
      <c r="I45" s="2190"/>
      <c r="J45" s="2193"/>
      <c r="K45" s="2176"/>
      <c r="L45" s="2171"/>
      <c r="M45" s="2171"/>
      <c r="N45" s="2174"/>
      <c r="O45" s="2176"/>
      <c r="P45" s="1715"/>
      <c r="Q45" s="1590"/>
      <c r="R45" s="1590"/>
      <c r="S45" s="550"/>
      <c r="T45" s="550"/>
      <c r="U45" s="550"/>
      <c r="V45" s="550"/>
      <c r="W45" s="1591"/>
      <c r="X45" s="1548"/>
      <c r="Y45" s="1548"/>
      <c r="Z45" s="1548"/>
      <c r="AA45" s="1548"/>
      <c r="AB45" s="1548"/>
      <c r="AC45" s="485"/>
      <c r="AD45" s="485"/>
      <c r="AE45" s="485"/>
      <c r="AF45" s="485"/>
      <c r="AG45" s="485"/>
      <c r="AH45" s="485"/>
      <c r="AI45" s="485"/>
      <c r="AJ45" s="485"/>
      <c r="AK45" s="485"/>
      <c r="AL45" s="485"/>
      <c r="AM45" s="485"/>
      <c r="AN45" s="485"/>
      <c r="AO45" s="485"/>
      <c r="AP45" s="485"/>
      <c r="AQ45" s="485"/>
    </row>
    <row s="10859" customFormat="1" customHeight="1" ht="17.25" hidden="1">
      <c r="A46" s="539"/>
      <c r="C46" s="417"/>
      <c r="D46" s="2206"/>
      <c r="E46" s="2209"/>
      <c r="F46" s="2183"/>
      <c r="G46" s="2212"/>
      <c r="H46" s="2188"/>
      <c r="I46" s="2190"/>
      <c r="J46" s="2193"/>
      <c r="K46" s="2176"/>
      <c r="L46" s="1590"/>
      <c r="M46" s="1590"/>
      <c r="N46" s="1590"/>
      <c r="O46" s="1590"/>
      <c r="P46" s="1590"/>
      <c r="Q46" s="1590"/>
      <c r="R46" s="1590"/>
      <c r="S46" s="550"/>
      <c r="T46" s="550"/>
      <c r="U46" s="550"/>
      <c r="V46" s="550"/>
      <c r="W46" s="1591"/>
      <c r="Y46" s="1556"/>
      <c r="Z46" s="1556"/>
      <c r="AA46" s="1556"/>
      <c r="AB46" s="1556"/>
      <c r="AC46" s="1638"/>
      <c r="AD46" s="1638"/>
      <c r="AE46" s="1638"/>
      <c r="AF46" s="1638"/>
      <c r="AG46" s="1638"/>
      <c r="AH46" s="1638"/>
      <c r="AI46" s="1638"/>
      <c r="AJ46" s="1638"/>
      <c r="AK46" s="1638"/>
      <c r="AL46" s="1638"/>
      <c r="AM46" s="1638"/>
      <c r="AN46" s="1638"/>
      <c r="AO46" s="1638"/>
      <c r="AP46" s="1638"/>
      <c r="AQ46" s="1638"/>
    </row>
    <row s="10859" customFormat="1" customHeight="1" ht="17.25" hidden="1">
      <c r="A47" s="539"/>
      <c r="C47" s="538"/>
      <c r="D47" s="2207"/>
      <c r="E47" s="2210"/>
      <c r="F47" s="2184"/>
      <c r="G47" s="2213"/>
      <c r="H47" s="1593"/>
      <c r="I47" s="1594"/>
      <c r="J47" s="1594"/>
      <c r="K47" s="1594"/>
      <c r="L47" s="1594"/>
      <c r="M47" s="1594"/>
      <c r="N47" s="1594"/>
      <c r="O47" s="1594"/>
      <c r="P47" s="1594"/>
      <c r="Q47" s="1594"/>
      <c r="R47" s="1594"/>
      <c r="S47" s="1595"/>
      <c r="T47" s="1595"/>
      <c r="U47" s="1595"/>
      <c r="V47" s="1595"/>
      <c r="W47" s="1596"/>
      <c r="X47" s="1548"/>
      <c r="Y47" s="1548"/>
      <c r="Z47" s="1548"/>
      <c r="AA47" s="1548"/>
      <c r="AB47" s="1548"/>
      <c r="AC47" s="485"/>
      <c r="AD47" s="485"/>
      <c r="AE47" s="485"/>
      <c r="AF47" s="485"/>
      <c r="AG47" s="485"/>
      <c r="AH47" s="485"/>
      <c r="AI47" s="485"/>
      <c r="AJ47" s="485"/>
      <c r="AK47" s="485"/>
      <c r="AL47" s="485"/>
      <c r="AM47" s="485"/>
      <c r="AN47" s="485"/>
      <c r="AO47" s="485"/>
      <c r="AP47" s="485"/>
      <c r="AQ47" s="485"/>
    </row>
    <row s="10859" customFormat="1" customHeight="1" ht="17.25" hidden="1">
      <c r="A48" s="539"/>
      <c r="C48" s="417"/>
      <c r="D48" s="2178">
        <v>8</v>
      </c>
      <c r="E48" s="2180" t="s">
        <v>272</v>
      </c>
      <c r="F48" s="2182" t="s">
        <v>57</v>
      </c>
      <c r="G48" s="2185"/>
      <c r="H48" s="2187"/>
      <c r="I48" s="2189"/>
      <c r="J48" s="2191"/>
      <c r="K48" s="2175"/>
      <c r="L48" s="2170"/>
      <c r="M48" s="2170"/>
      <c r="N48" s="2172"/>
      <c r="O48" s="2175"/>
      <c r="P48" s="2170"/>
      <c r="Q48" s="2170"/>
      <c r="R48" s="2177"/>
      <c r="S48" s="2175"/>
      <c r="T48" s="1767"/>
      <c r="U48" s="1767"/>
      <c r="V48" s="1769"/>
      <c r="W48" s="1589"/>
      <c r="X48" s="1556"/>
      <c r="Y48" s="1556"/>
      <c r="Z48" s="1556"/>
      <c r="AA48" s="1556"/>
      <c r="AB48" s="1556"/>
      <c r="AC48" s="1638" t="s">
        <v>273</v>
      </c>
      <c r="AD48" s="1638" t="s">
        <v>274</v>
      </c>
      <c r="AE48" s="1638" t="s">
        <v>275</v>
      </c>
      <c r="AF48" s="1638" t="s">
        <v>276</v>
      </c>
      <c r="AG48" s="1638" t="s">
        <v>277</v>
      </c>
      <c r="AH48" s="1638" t="str">
        <f>IF($E$48=0,"",$E$48)</f>
        <v>Плата за подключение (технологическое присоединение) к системе теплоснабжения</v>
      </c>
      <c r="AI48" s="1638" t="str">
        <f>IF($G$48=0,"",$G$48)</f>
        <v/>
      </c>
      <c r="AJ48" s="1638" t="str">
        <f>IF($J$48=0,"",$J$48)</f>
        <v/>
      </c>
      <c r="AK48" s="1638" t="str">
        <f>IF($K$48="нет","без дифференциации",IF($N$48=0,"",$N$48))</f>
        <v/>
      </c>
      <c r="AL48" s="1638" t="str">
        <f>IF($O$48="нет","без дифференциации",IF($R$48=0,"",$R$48))</f>
        <v/>
      </c>
      <c r="AM48" s="1638" t="str">
        <f>IF($S$48="нет","без дифференциации",IF($V$48=0,"",$V$48))</f>
        <v/>
      </c>
      <c r="AN48" s="1817">
        <f>$I$48</f>
        <v>0</v>
      </c>
      <c r="AO48" s="1638" t="str">
        <f>$I$48&amp;"."&amp;$M$48</f>
        <v>.</v>
      </c>
      <c r="AP48" s="485" t="str">
        <f>$I$48&amp;"."&amp;$M$48&amp;"."&amp;$Q$48</f>
        <v>..</v>
      </c>
      <c r="AQ48" s="485" t="str">
        <f>$I$48&amp;"."&amp;$M$48&amp;"."&amp;$Q$48&amp;"."&amp;$U$48</f>
        <v>...</v>
      </c>
    </row>
    <row s="10859" customFormat="1" customHeight="1" ht="17.25" hidden="1">
      <c r="A49" s="539"/>
      <c r="C49" s="538"/>
      <c r="D49" s="2178"/>
      <c r="E49" s="2180"/>
      <c r="F49" s="2183"/>
      <c r="G49" s="2185"/>
      <c r="H49" s="2188"/>
      <c r="I49" s="2190"/>
      <c r="J49" s="2192"/>
      <c r="K49" s="2176"/>
      <c r="L49" s="2171"/>
      <c r="M49" s="2171"/>
      <c r="N49" s="2173"/>
      <c r="O49" s="2176"/>
      <c r="P49" s="2171"/>
      <c r="Q49" s="2171"/>
      <c r="R49" s="2174"/>
      <c r="S49" s="2176"/>
      <c r="T49" s="1590"/>
      <c r="U49" s="1590"/>
      <c r="V49" s="1590"/>
      <c r="W49" s="1591"/>
      <c r="X49" s="1548"/>
      <c r="Y49" s="1548"/>
      <c r="Z49" s="1548"/>
      <c r="AA49" s="1548"/>
      <c r="AB49" s="1548"/>
      <c r="AC49" s="485"/>
      <c r="AD49" s="485"/>
      <c r="AE49" s="485"/>
      <c r="AF49" s="485"/>
      <c r="AG49" s="485"/>
      <c r="AH49" s="485"/>
      <c r="AI49" s="485"/>
      <c r="AJ49" s="485"/>
      <c r="AK49" s="485"/>
      <c r="AL49" s="485"/>
      <c r="AM49" s="485"/>
      <c r="AN49" s="485"/>
      <c r="AO49" s="485"/>
      <c r="AP49" s="485"/>
      <c r="AQ49" s="485"/>
    </row>
    <row s="10859" customFormat="1" customHeight="1" ht="17.25" hidden="1">
      <c r="A50" s="539"/>
      <c r="C50" s="538"/>
      <c r="D50" s="2179"/>
      <c r="E50" s="2181"/>
      <c r="F50" s="2183"/>
      <c r="G50" s="2186"/>
      <c r="H50" s="2188"/>
      <c r="I50" s="2190"/>
      <c r="J50" s="2193"/>
      <c r="K50" s="2176"/>
      <c r="L50" s="2171"/>
      <c r="M50" s="2171"/>
      <c r="N50" s="2174"/>
      <c r="O50" s="2176"/>
      <c r="P50" s="1768"/>
      <c r="Q50" s="1590"/>
      <c r="R50" s="1590"/>
      <c r="S50" s="550"/>
      <c r="T50" s="550"/>
      <c r="U50" s="550"/>
      <c r="V50" s="550"/>
      <c r="W50" s="1591"/>
      <c r="X50" s="1548"/>
      <c r="Y50" s="1548"/>
      <c r="Z50" s="1548"/>
      <c r="AA50" s="1548"/>
      <c r="AB50" s="1548"/>
      <c r="AC50" s="485"/>
      <c r="AD50" s="485"/>
      <c r="AE50" s="485"/>
      <c r="AF50" s="485"/>
      <c r="AG50" s="485"/>
      <c r="AH50" s="485"/>
      <c r="AI50" s="485"/>
      <c r="AJ50" s="485"/>
      <c r="AK50" s="485"/>
      <c r="AL50" s="485"/>
      <c r="AM50" s="485"/>
      <c r="AN50" s="485"/>
      <c r="AO50" s="485"/>
      <c r="AP50" s="485"/>
      <c r="AQ50" s="485"/>
    </row>
    <row s="10859" customFormat="1" customHeight="1" ht="17.25" hidden="1">
      <c r="A51" s="539"/>
      <c r="C51" s="417"/>
      <c r="D51" s="2179"/>
      <c r="E51" s="2181"/>
      <c r="F51" s="2183"/>
      <c r="G51" s="2186"/>
      <c r="H51" s="2188"/>
      <c r="I51" s="2190"/>
      <c r="J51" s="2193"/>
      <c r="K51" s="2176"/>
      <c r="L51" s="1590"/>
      <c r="M51" s="1590"/>
      <c r="N51" s="1590"/>
      <c r="O51" s="1590"/>
      <c r="P51" s="1590"/>
      <c r="Q51" s="1590"/>
      <c r="R51" s="1590"/>
      <c r="S51" s="550"/>
      <c r="T51" s="550"/>
      <c r="U51" s="550"/>
      <c r="V51" s="550"/>
      <c r="W51" s="1591"/>
      <c r="Y51" s="1556"/>
      <c r="Z51" s="1556"/>
      <c r="AA51" s="1556"/>
      <c r="AB51" s="1556"/>
      <c r="AC51" s="1638"/>
      <c r="AD51" s="1638"/>
      <c r="AE51" s="1638"/>
      <c r="AF51" s="1638"/>
      <c r="AG51" s="1638"/>
      <c r="AH51" s="1638"/>
      <c r="AI51" s="1638"/>
      <c r="AJ51" s="1638"/>
      <c r="AK51" s="1638"/>
      <c r="AL51" s="1638"/>
      <c r="AM51" s="1638"/>
      <c r="AN51" s="1638"/>
      <c r="AO51" s="1638"/>
      <c r="AP51" s="1638"/>
      <c r="AQ51" s="1638"/>
    </row>
    <row s="10859" customFormat="1" customHeight="1" ht="17.25" hidden="1">
      <c r="A52" s="539"/>
      <c r="C52" s="538"/>
      <c r="D52" s="2179"/>
      <c r="E52" s="2181"/>
      <c r="F52" s="2184"/>
      <c r="G52" s="2186"/>
      <c r="H52" s="1593"/>
      <c r="I52" s="1594"/>
      <c r="J52" s="1594"/>
      <c r="K52" s="1594"/>
      <c r="L52" s="1594"/>
      <c r="M52" s="1594"/>
      <c r="N52" s="1594"/>
      <c r="O52" s="1594"/>
      <c r="P52" s="1594"/>
      <c r="Q52" s="1594"/>
      <c r="R52" s="1594"/>
      <c r="S52" s="1595"/>
      <c r="T52" s="1595"/>
      <c r="U52" s="1595"/>
      <c r="V52" s="1595"/>
      <c r="W52" s="1596"/>
      <c r="X52" s="1548"/>
      <c r="Y52" s="1548"/>
      <c r="Z52" s="1548"/>
      <c r="AA52" s="1548"/>
      <c r="AB52" s="1548"/>
      <c r="AC52" s="485"/>
      <c r="AD52" s="485"/>
      <c r="AE52" s="485"/>
      <c r="AF52" s="485"/>
      <c r="AG52" s="485"/>
      <c r="AH52" s="485"/>
      <c r="AI52" s="485"/>
      <c r="AJ52" s="485"/>
      <c r="AK52" s="485"/>
      <c r="AL52" s="485"/>
      <c r="AM52" s="485"/>
      <c r="AN52" s="485"/>
      <c r="AO52" s="485"/>
      <c r="AP52" s="485"/>
      <c r="AQ52" s="485"/>
    </row>
    <row customHeight="1" ht="11.25" hidden="1"/>
    <row customHeight="1" ht="11.25" hidden="1">
      <c r="E54" s="2216" t="s">
        <v>278</v>
      </c>
      <c r="F54" s="2216"/>
      <c r="G54" s="2216"/>
      <c r="H54" s="2216"/>
      <c r="I54" s="2216"/>
      <c r="J54" s="2216"/>
      <c r="K54" s="2216"/>
      <c r="L54" s="2216"/>
      <c r="M54" s="2216"/>
      <c r="N54" s="2216"/>
      <c r="O54" s="2216"/>
      <c r="P54" s="2216"/>
      <c r="Q54" s="2216"/>
      <c r="R54" s="2216"/>
      <c r="S54" s="2216"/>
      <c r="T54" s="2216"/>
      <c r="U54" s="2216"/>
      <c r="V54" s="2216"/>
      <c r="W54" s="2216"/>
    </row>
    <row customHeight="1" ht="36.75" hidden="1">
      <c r="E55" s="2214" t="s">
        <v>279</v>
      </c>
      <c r="F55" s="2214"/>
      <c r="G55" s="2215"/>
      <c r="H55" s="2215"/>
      <c r="I55" s="2215"/>
      <c r="J55" s="2215"/>
      <c r="K55" s="2215"/>
      <c r="L55" s="2215"/>
      <c r="M55" s="2215"/>
      <c r="N55" s="2215"/>
      <c r="O55" s="2215"/>
      <c r="P55" s="2215"/>
      <c r="Q55" s="2215"/>
      <c r="R55" s="2215"/>
      <c r="S55" s="2215"/>
      <c r="T55" s="2215"/>
      <c r="U55" s="2215"/>
      <c r="V55" s="2215"/>
      <c r="W55" s="2215"/>
    </row>
    <row customHeight="1" ht="28.5" hidden="1">
      <c r="E56" s="2214" t="s">
        <v>280</v>
      </c>
      <c r="F56" s="2214"/>
      <c r="G56" s="2215"/>
      <c r="H56" s="2215"/>
      <c r="I56" s="2215"/>
      <c r="J56" s="2215"/>
      <c r="K56" s="2215"/>
      <c r="L56" s="2215"/>
      <c r="M56" s="2215"/>
      <c r="N56" s="2215"/>
      <c r="O56" s="2215"/>
      <c r="P56" s="2215"/>
      <c r="Q56" s="2215"/>
      <c r="R56" s="2215"/>
      <c r="S56" s="2215"/>
      <c r="T56" s="2215"/>
      <c r="U56" s="2215"/>
      <c r="V56" s="2215"/>
      <c r="W56" s="2215"/>
    </row>
    <row customHeight="1" ht="27" hidden="1">
      <c r="E57" s="2214" t="s">
        <v>281</v>
      </c>
      <c r="F57" s="2214"/>
      <c r="G57" s="2215"/>
      <c r="H57" s="2215"/>
      <c r="I57" s="2215"/>
      <c r="J57" s="2215"/>
      <c r="K57" s="2215"/>
      <c r="L57" s="2215"/>
      <c r="M57" s="2215"/>
      <c r="N57" s="2215"/>
      <c r="O57" s="2215"/>
      <c r="P57" s="2215"/>
      <c r="Q57" s="2215"/>
      <c r="R57" s="2215"/>
      <c r="S57" s="2215"/>
      <c r="T57" s="2215"/>
      <c r="U57" s="2215"/>
      <c r="V57" s="2215"/>
      <c r="W57" s="2215"/>
    </row>
    <row customHeight="1" ht="17.25" hidden="1">
      <c r="E58" s="2214" t="s">
        <v>282</v>
      </c>
      <c r="F58" s="2214"/>
      <c r="G58" s="2215"/>
      <c r="H58" s="2215"/>
      <c r="I58" s="2215"/>
      <c r="J58" s="2215"/>
      <c r="K58" s="2215"/>
      <c r="L58" s="2215"/>
      <c r="M58" s="2215"/>
      <c r="N58" s="2215"/>
      <c r="O58" s="2215"/>
      <c r="P58" s="2215"/>
      <c r="Q58" s="2215"/>
      <c r="R58" s="2215"/>
      <c r="S58" s="2215"/>
      <c r="T58" s="2215"/>
      <c r="U58" s="2215"/>
      <c r="V58" s="2215"/>
      <c r="W58" s="2215"/>
    </row>
    <row customHeight="1" ht="15" hidden="1">
      <c r="E59" s="561"/>
      <c r="F59" s="1575"/>
      <c r="G59" s="365"/>
      <c r="H59" s="365"/>
      <c r="I59" s="365"/>
      <c r="J59" s="365"/>
      <c r="K59" s="365"/>
      <c r="L59" s="365"/>
      <c r="M59" s="365"/>
      <c r="N59" s="365"/>
      <c r="O59" s="365"/>
      <c r="P59" s="365"/>
      <c r="Q59" s="365"/>
      <c r="R59" s="365"/>
      <c r="S59" s="365"/>
      <c r="T59" s="365"/>
      <c r="U59" s="365"/>
      <c r="V59" s="365"/>
      <c r="W59" s="365"/>
    </row>
    <row customHeight="1" ht="15" hidden="1">
      <c r="E60" s="2216" t="s">
        <v>283</v>
      </c>
      <c r="F60" s="2216"/>
      <c r="G60" s="2216"/>
      <c r="H60" s="2216"/>
      <c r="I60" s="2216"/>
      <c r="J60" s="2216"/>
      <c r="K60" s="2216"/>
      <c r="L60" s="2216"/>
      <c r="M60" s="2216"/>
      <c r="N60" s="2216"/>
      <c r="O60" s="2216"/>
      <c r="P60" s="2216"/>
      <c r="Q60" s="2216"/>
      <c r="R60" s="2216"/>
      <c r="S60" s="2216"/>
      <c r="T60" s="2216"/>
      <c r="U60" s="2216"/>
      <c r="V60" s="2216"/>
      <c r="W60" s="2216"/>
    </row>
    <row customHeight="1" ht="17.25" hidden="1">
      <c r="E61" s="2214" t="s">
        <v>284</v>
      </c>
      <c r="F61" s="2214"/>
      <c r="G61" s="2215"/>
      <c r="H61" s="2215"/>
      <c r="I61" s="2215"/>
      <c r="J61" s="2215"/>
      <c r="K61" s="2215"/>
      <c r="L61" s="2215"/>
      <c r="M61" s="2215"/>
      <c r="N61" s="2215"/>
      <c r="O61" s="2215"/>
      <c r="P61" s="2215"/>
      <c r="Q61" s="2215"/>
      <c r="R61" s="2215"/>
      <c r="S61" s="2215"/>
      <c r="T61" s="2215"/>
      <c r="U61" s="2215"/>
      <c r="V61" s="2215"/>
      <c r="W61" s="2215"/>
    </row>
    <row customHeight="1" ht="17.25" hidden="1">
      <c r="E62" s="2214" t="s">
        <v>285</v>
      </c>
      <c r="F62" s="2214"/>
      <c r="G62" s="2215"/>
      <c r="H62" s="2215"/>
      <c r="I62" s="2215"/>
      <c r="J62" s="2215"/>
      <c r="K62" s="2215"/>
      <c r="L62" s="2215"/>
      <c r="M62" s="2215"/>
      <c r="N62" s="2215"/>
      <c r="O62" s="2215"/>
      <c r="P62" s="2215"/>
      <c r="Q62" s="2215"/>
      <c r="R62" s="2215"/>
      <c r="S62" s="2215"/>
      <c r="T62" s="2215"/>
      <c r="U62" s="2215"/>
      <c r="V62" s="2215"/>
      <c r="W62" s="2215"/>
    </row>
    <row s="10859" customFormat="1" customHeight="1" ht="11.25" hidden="1">
      <c r="A63" s="485"/>
      <c r="B63" s="485"/>
      <c r="Y63" s="1548"/>
      <c r="Z63" s="1548"/>
      <c r="AA63" s="1548"/>
      <c r="AB63" s="1548"/>
      <c r="AC63" s="485"/>
      <c r="AD63" s="485"/>
      <c r="AE63" s="485"/>
      <c r="AF63" s="485"/>
      <c r="AG63" s="485"/>
      <c r="AH63" s="485"/>
      <c r="AI63" s="485"/>
      <c r="AJ63" s="485"/>
      <c r="AK63" s="485"/>
      <c r="AL63" s="485"/>
      <c r="AM63" s="485"/>
      <c r="AN63" s="485"/>
      <c r="AO63" s="485"/>
      <c r="AP63" s="485"/>
      <c r="AQ63" s="485"/>
    </row>
    <row s="10859" customFormat="1" customHeight="1" ht="17.25" hidden="1">
      <c r="A64" s="539"/>
      <c r="C64" s="417"/>
      <c r="D64" s="2178">
        <v>1</v>
      </c>
      <c r="E64" s="2180" t="s">
        <v>286</v>
      </c>
      <c r="F64" s="2182" t="s">
        <v>57</v>
      </c>
      <c r="G64" s="2185"/>
      <c r="H64" s="2187"/>
      <c r="I64" s="2189"/>
      <c r="J64" s="2191"/>
      <c r="K64" s="2175"/>
      <c r="L64" s="2170"/>
      <c r="M64" s="2170"/>
      <c r="N64" s="2172"/>
      <c r="O64" s="2175"/>
      <c r="P64" s="2170"/>
      <c r="Q64" s="2170"/>
      <c r="R64" s="2177"/>
      <c r="S64" s="2175"/>
      <c r="T64" s="1767"/>
      <c r="U64" s="1767"/>
      <c r="V64" s="1769"/>
      <c r="W64" s="1589"/>
      <c r="Y64" s="1556"/>
      <c r="Z64" s="1556"/>
      <c r="AA64" s="1556"/>
      <c r="AB64" s="1556"/>
      <c r="AC64" s="1638" t="s">
        <v>287</v>
      </c>
      <c r="AD64" s="1638" t="s">
        <v>288</v>
      </c>
      <c r="AE64" s="1638" t="s">
        <v>289</v>
      </c>
      <c r="AF64" s="1638" t="s">
        <v>290</v>
      </c>
      <c r="AG64" s="1638"/>
      <c r="AH64" s="1638" t="str">
        <f>IF($E$64=0,"",$E$64)</f>
        <v>Тариф на питьевую воду (питьевое водоснабжение)</v>
      </c>
      <c r="AI64" s="1638" t="str">
        <f>IF($G$64=0,"",$G$64)</f>
        <v/>
      </c>
      <c r="AJ64" s="1638" t="str">
        <f>IF($J$64=0,"",$J$64)</f>
        <v/>
      </c>
      <c r="AK64" s="1638" t="str">
        <f>IF($K$64="нет","без дифференциации",IF($N$64=0,"",$N$64))</f>
        <v/>
      </c>
      <c r="AL64" s="1638" t="str">
        <f>IF($O$64="нет","без дифференциации",IF($R$64=0,"",$R$64))</f>
        <v/>
      </c>
      <c r="AM64" s="1638" t="str">
        <f>IF($S$64="нет","без дифференциации",IF($V$64=0,"",$V$64))</f>
        <v/>
      </c>
      <c r="AN64" s="1638">
        <f>$I$64</f>
        <v>0</v>
      </c>
      <c r="AO64" s="1638" t="str">
        <f>$I$64&amp;"."&amp;$M$64</f>
        <v>.</v>
      </c>
      <c r="AP64" s="1638" t="str">
        <f>$I$64&amp;"."&amp;$M$64&amp;"."&amp;$Q$64</f>
        <v>..</v>
      </c>
      <c r="AQ64" s="1638" t="str">
        <f>$I$64&amp;"."&amp;$M$64&amp;"."&amp;$Q$64&amp;"."&amp;$U$64</f>
        <v>...</v>
      </c>
    </row>
    <row s="10859" customFormat="1" customHeight="1" ht="17.25" hidden="1">
      <c r="A65" s="539"/>
      <c r="C65" s="538"/>
      <c r="D65" s="2178"/>
      <c r="E65" s="2180"/>
      <c r="F65" s="2183"/>
      <c r="G65" s="2185"/>
      <c r="H65" s="2188"/>
      <c r="I65" s="2190"/>
      <c r="J65" s="2192"/>
      <c r="K65" s="2176"/>
      <c r="L65" s="2171"/>
      <c r="M65" s="2171"/>
      <c r="N65" s="2173"/>
      <c r="O65" s="2176"/>
      <c r="P65" s="2171"/>
      <c r="Q65" s="2171"/>
      <c r="R65" s="2174"/>
      <c r="S65" s="2176"/>
      <c r="T65" s="1590"/>
      <c r="U65" s="1590"/>
      <c r="V65" s="1590"/>
      <c r="W65" s="1591"/>
      <c r="Y65" s="1548"/>
      <c r="Z65" s="1548"/>
      <c r="AA65" s="1548"/>
      <c r="AB65" s="1548"/>
      <c r="AC65" s="485"/>
      <c r="AD65" s="485"/>
      <c r="AE65" s="485"/>
      <c r="AF65" s="485"/>
      <c r="AG65" s="485"/>
      <c r="AH65" s="485"/>
      <c r="AI65" s="485"/>
      <c r="AJ65" s="485"/>
      <c r="AK65" s="485"/>
      <c r="AL65" s="485"/>
      <c r="AM65" s="485"/>
      <c r="AN65" s="485"/>
      <c r="AO65" s="485"/>
      <c r="AP65" s="485"/>
      <c r="AQ65" s="485"/>
    </row>
    <row s="10859" customFormat="1" customHeight="1" ht="17.25" hidden="1">
      <c r="A66" s="539"/>
      <c r="C66" s="417"/>
      <c r="D66" s="2178"/>
      <c r="E66" s="2180"/>
      <c r="F66" s="2183"/>
      <c r="G66" s="2185"/>
      <c r="H66" s="2188"/>
      <c r="I66" s="2190"/>
      <c r="J66" s="2193"/>
      <c r="K66" s="2176"/>
      <c r="L66" s="2171"/>
      <c r="M66" s="2171"/>
      <c r="N66" s="2174"/>
      <c r="O66" s="2176"/>
      <c r="P66" s="1768"/>
      <c r="Q66" s="1590"/>
      <c r="R66" s="1590"/>
      <c r="S66" s="550"/>
      <c r="T66" s="550"/>
      <c r="U66" s="550"/>
      <c r="V66" s="550"/>
      <c r="W66" s="1591"/>
      <c r="Y66" s="1556"/>
      <c r="Z66" s="1556"/>
      <c r="AA66" s="1556"/>
      <c r="AB66" s="1556"/>
      <c r="AC66" s="1638"/>
      <c r="AD66" s="1638"/>
      <c r="AE66" s="1638"/>
      <c r="AF66" s="1638"/>
      <c r="AG66" s="1638"/>
      <c r="AH66" s="1638"/>
      <c r="AI66" s="1638"/>
      <c r="AJ66" s="1638"/>
      <c r="AK66" s="1638"/>
      <c r="AL66" s="1638"/>
      <c r="AM66" s="1638"/>
      <c r="AN66" s="1638"/>
      <c r="AO66" s="1638"/>
      <c r="AP66" s="1638"/>
      <c r="AQ66" s="1638"/>
    </row>
    <row s="10859" customFormat="1" customHeight="1" ht="17.25" hidden="1">
      <c r="A67" s="539"/>
      <c r="C67" s="538"/>
      <c r="D67" s="2178"/>
      <c r="E67" s="2180"/>
      <c r="F67" s="2183"/>
      <c r="G67" s="2185"/>
      <c r="H67" s="2188"/>
      <c r="I67" s="2190"/>
      <c r="J67" s="2193"/>
      <c r="K67" s="2176"/>
      <c r="L67" s="1590"/>
      <c r="M67" s="1590"/>
      <c r="N67" s="1590"/>
      <c r="O67" s="1590"/>
      <c r="P67" s="1590"/>
      <c r="Q67" s="1590"/>
      <c r="R67" s="1590"/>
      <c r="S67" s="550"/>
      <c r="T67" s="550"/>
      <c r="U67" s="550"/>
      <c r="V67" s="550"/>
      <c r="W67" s="1591"/>
      <c r="Y67" s="1548"/>
      <c r="Z67" s="1548"/>
      <c r="AA67" s="1548"/>
      <c r="AB67" s="1548"/>
      <c r="AC67" s="485"/>
      <c r="AD67" s="485"/>
      <c r="AE67" s="485"/>
      <c r="AF67" s="485"/>
      <c r="AG67" s="485"/>
      <c r="AH67" s="485"/>
      <c r="AI67" s="485"/>
      <c r="AJ67" s="485"/>
      <c r="AK67" s="485"/>
      <c r="AL67" s="485"/>
      <c r="AM67" s="485"/>
      <c r="AN67" s="485"/>
      <c r="AO67" s="485"/>
      <c r="AP67" s="485"/>
      <c r="AQ67" s="485"/>
    </row>
    <row s="10859" customFormat="1" customHeight="1" ht="17.25" hidden="1">
      <c r="A68" s="539"/>
      <c r="C68" s="538"/>
      <c r="D68" s="2179"/>
      <c r="E68" s="2181"/>
      <c r="F68" s="2184"/>
      <c r="G68" s="2186"/>
      <c r="H68" s="1593"/>
      <c r="I68" s="1594"/>
      <c r="J68" s="1594"/>
      <c r="K68" s="1594"/>
      <c r="L68" s="1594"/>
      <c r="M68" s="1594"/>
      <c r="N68" s="1594"/>
      <c r="O68" s="1594"/>
      <c r="P68" s="1594"/>
      <c r="Q68" s="1594"/>
      <c r="R68" s="1594"/>
      <c r="S68" s="1595"/>
      <c r="T68" s="1595"/>
      <c r="U68" s="1595"/>
      <c r="V68" s="1595"/>
      <c r="W68" s="1596"/>
      <c r="Y68" s="1548"/>
      <c r="Z68" s="1548"/>
      <c r="AA68" s="1548"/>
      <c r="AB68" s="1548"/>
      <c r="AC68" s="485"/>
      <c r="AD68" s="485"/>
      <c r="AE68" s="485"/>
      <c r="AF68" s="485"/>
      <c r="AG68" s="485"/>
      <c r="AH68" s="485"/>
      <c r="AI68" s="485"/>
      <c r="AJ68" s="485"/>
      <c r="AK68" s="485"/>
      <c r="AL68" s="485"/>
      <c r="AM68" s="485"/>
      <c r="AN68" s="485"/>
      <c r="AO68" s="485"/>
      <c r="AP68" s="485"/>
      <c r="AQ68" s="485"/>
    </row>
    <row s="10859" customFormat="1" customHeight="1" ht="17.25" hidden="1">
      <c r="A69" s="539"/>
      <c r="C69" s="417"/>
      <c r="D69" s="2178">
        <v>2</v>
      </c>
      <c r="E69" s="2180" t="s">
        <v>291</v>
      </c>
      <c r="F69" s="2182" t="s">
        <v>57</v>
      </c>
      <c r="G69" s="2185"/>
      <c r="H69" s="2187"/>
      <c r="I69" s="2189"/>
      <c r="J69" s="2191"/>
      <c r="K69" s="2175"/>
      <c r="L69" s="2170"/>
      <c r="M69" s="2170"/>
      <c r="N69" s="2172"/>
      <c r="O69" s="2175"/>
      <c r="P69" s="2170"/>
      <c r="Q69" s="2170"/>
      <c r="R69" s="2177"/>
      <c r="S69" s="2175"/>
      <c r="T69" s="1740"/>
      <c r="U69" s="1740"/>
      <c r="V69" s="1742"/>
      <c r="W69" s="1589"/>
      <c r="X69" s="1556"/>
      <c r="Y69" s="1556"/>
      <c r="Z69" s="1556"/>
      <c r="AA69" s="1556"/>
      <c r="AB69" s="1556"/>
      <c r="AC69" s="1638" t="s">
        <v>292</v>
      </c>
      <c r="AD69" s="1638" t="s">
        <v>293</v>
      </c>
      <c r="AE69" s="1638" t="s">
        <v>294</v>
      </c>
      <c r="AF69" s="1638" t="s">
        <v>295</v>
      </c>
      <c r="AG69" s="1638"/>
      <c r="AH69" s="1638" t="str">
        <f>IF($E$69=0,"",$E$69)</f>
        <v>Тариф на техническую воду</v>
      </c>
      <c r="AI69" s="1638" t="str">
        <f>IF($G$69=0,"",$G$69)</f>
        <v/>
      </c>
      <c r="AJ69" s="1638" t="str">
        <f>IF($J$69=0,"",$J$69)</f>
        <v/>
      </c>
      <c r="AK69" s="1638" t="str">
        <f>IF($K$69="нет","без дифференциации",IF($N$69=0,"",$N$69))</f>
        <v/>
      </c>
      <c r="AL69" s="1638" t="str">
        <f>IF($O$69="нет","без дифференциации",IF($R$69=0,"",$R$69))</f>
        <v/>
      </c>
      <c r="AM69" s="1638" t="str">
        <f>IF($S$69="нет","без дифференциации",IF($V$69=0,"",$V$69))</f>
        <v/>
      </c>
      <c r="AN69" s="1817">
        <f>$I$69</f>
        <v>0</v>
      </c>
      <c r="AO69" s="1638" t="str">
        <f>$I$69&amp;"."&amp;$M$69</f>
        <v>.</v>
      </c>
      <c r="AP69" s="485" t="str">
        <f>$I$69&amp;"."&amp;$M$69&amp;"."&amp;$Q$69</f>
        <v>..</v>
      </c>
      <c r="AQ69" s="485" t="str">
        <f>$I$69&amp;"."&amp;$M$69&amp;"."&amp;$Q$69&amp;"."&amp;$U$69</f>
        <v>...</v>
      </c>
    </row>
    <row s="10859" customFormat="1" customHeight="1" ht="17.25" hidden="1">
      <c r="A70" s="539"/>
      <c r="C70" s="538"/>
      <c r="D70" s="2178"/>
      <c r="E70" s="2180"/>
      <c r="F70" s="2183"/>
      <c r="G70" s="2185"/>
      <c r="H70" s="2188"/>
      <c r="I70" s="2190"/>
      <c r="J70" s="2192"/>
      <c r="K70" s="2176"/>
      <c r="L70" s="2171"/>
      <c r="M70" s="2171"/>
      <c r="N70" s="2173"/>
      <c r="O70" s="2176"/>
      <c r="P70" s="2171"/>
      <c r="Q70" s="2171"/>
      <c r="R70" s="2174"/>
      <c r="S70" s="2176"/>
      <c r="T70" s="1590"/>
      <c r="U70" s="1590"/>
      <c r="V70" s="1590"/>
      <c r="W70" s="1591"/>
      <c r="X70" s="1548"/>
      <c r="Y70" s="1548"/>
      <c r="Z70" s="1548"/>
      <c r="AA70" s="1548"/>
      <c r="AB70" s="1548"/>
      <c r="AC70" s="485"/>
      <c r="AD70" s="485"/>
      <c r="AE70" s="485"/>
      <c r="AF70" s="485"/>
      <c r="AG70" s="485"/>
      <c r="AH70" s="485"/>
      <c r="AI70" s="485"/>
      <c r="AJ70" s="485"/>
      <c r="AK70" s="485"/>
      <c r="AL70" s="485"/>
      <c r="AM70" s="485"/>
      <c r="AN70" s="485"/>
      <c r="AO70" s="485"/>
      <c r="AP70" s="485"/>
      <c r="AQ70" s="485"/>
    </row>
    <row s="10859" customFormat="1" customHeight="1" ht="17.25" hidden="1">
      <c r="A71" s="539"/>
      <c r="C71" s="538"/>
      <c r="D71" s="2179"/>
      <c r="E71" s="2181"/>
      <c r="F71" s="2183"/>
      <c r="G71" s="2186"/>
      <c r="H71" s="2188"/>
      <c r="I71" s="2190"/>
      <c r="J71" s="2193"/>
      <c r="K71" s="2176"/>
      <c r="L71" s="2171"/>
      <c r="M71" s="2171"/>
      <c r="N71" s="2174"/>
      <c r="O71" s="2176"/>
      <c r="P71" s="1741"/>
      <c r="Q71" s="1590"/>
      <c r="R71" s="1590"/>
      <c r="S71" s="550"/>
      <c r="T71" s="550"/>
      <c r="U71" s="550"/>
      <c r="V71" s="550"/>
      <c r="W71" s="1591"/>
      <c r="X71" s="1548"/>
      <c r="Y71" s="1548"/>
      <c r="Z71" s="1548"/>
      <c r="AA71" s="1548"/>
      <c r="AB71" s="1548"/>
      <c r="AC71" s="485"/>
      <c r="AD71" s="485"/>
      <c r="AE71" s="485"/>
      <c r="AF71" s="485"/>
      <c r="AG71" s="485"/>
      <c r="AH71" s="485"/>
      <c r="AI71" s="485"/>
      <c r="AJ71" s="485"/>
      <c r="AK71" s="485"/>
      <c r="AL71" s="485"/>
      <c r="AM71" s="485"/>
      <c r="AN71" s="485"/>
      <c r="AO71" s="485"/>
      <c r="AP71" s="485"/>
      <c r="AQ71" s="485"/>
    </row>
    <row s="10859" customFormat="1" customHeight="1" ht="17.25" hidden="1">
      <c r="A72" s="539"/>
      <c r="C72" s="538"/>
      <c r="D72" s="2179"/>
      <c r="E72" s="2181"/>
      <c r="F72" s="2183"/>
      <c r="G72" s="2186"/>
      <c r="H72" s="2188"/>
      <c r="I72" s="2190"/>
      <c r="J72" s="2193"/>
      <c r="K72" s="2176"/>
      <c r="L72" s="1590"/>
      <c r="M72" s="1590"/>
      <c r="N72" s="1590"/>
      <c r="O72" s="1590"/>
      <c r="P72" s="1590"/>
      <c r="Q72" s="1590"/>
      <c r="R72" s="1590"/>
      <c r="S72" s="550"/>
      <c r="T72" s="550"/>
      <c r="U72" s="550"/>
      <c r="V72" s="550"/>
      <c r="W72" s="1591"/>
      <c r="X72" s="1548"/>
      <c r="Y72" s="1548"/>
      <c r="Z72" s="1548"/>
      <c r="AA72" s="1548"/>
      <c r="AB72" s="1548"/>
      <c r="AC72" s="485"/>
      <c r="AD72" s="485"/>
      <c r="AE72" s="485"/>
      <c r="AF72" s="485"/>
      <c r="AG72" s="485"/>
      <c r="AH72" s="485"/>
      <c r="AI72" s="485"/>
      <c r="AJ72" s="485"/>
      <c r="AK72" s="485"/>
      <c r="AL72" s="485"/>
      <c r="AM72" s="485"/>
      <c r="AN72" s="485"/>
      <c r="AO72" s="485"/>
      <c r="AP72" s="485"/>
      <c r="AQ72" s="485"/>
    </row>
    <row s="10859" customFormat="1" customHeight="1" ht="17.25" hidden="1">
      <c r="A73" s="539"/>
      <c r="C73" s="538"/>
      <c r="D73" s="2179"/>
      <c r="E73" s="2181"/>
      <c r="F73" s="2184"/>
      <c r="G73" s="2186"/>
      <c r="H73" s="1593"/>
      <c r="I73" s="1594"/>
      <c r="J73" s="1594"/>
      <c r="K73" s="1594"/>
      <c r="L73" s="1594"/>
      <c r="M73" s="1594"/>
      <c r="N73" s="1594"/>
      <c r="O73" s="1594"/>
      <c r="P73" s="1594"/>
      <c r="Q73" s="1594"/>
      <c r="R73" s="1594"/>
      <c r="S73" s="1595"/>
      <c r="T73" s="1595"/>
      <c r="U73" s="1595"/>
      <c r="V73" s="1595"/>
      <c r="W73" s="1596"/>
      <c r="X73" s="1548"/>
      <c r="Y73" s="1548"/>
      <c r="Z73" s="1548"/>
      <c r="AA73" s="1548"/>
      <c r="AB73" s="1548"/>
      <c r="AC73" s="485"/>
      <c r="AD73" s="485"/>
      <c r="AE73" s="485"/>
      <c r="AF73" s="485"/>
      <c r="AG73" s="485"/>
      <c r="AH73" s="485"/>
      <c r="AI73" s="485"/>
      <c r="AJ73" s="485"/>
      <c r="AK73" s="485"/>
      <c r="AL73" s="485"/>
      <c r="AM73" s="485"/>
      <c r="AN73" s="485"/>
      <c r="AO73" s="485"/>
      <c r="AP73" s="485"/>
      <c r="AQ73" s="485"/>
    </row>
    <row s="10859" customFormat="1" customHeight="1" ht="17.25" hidden="1">
      <c r="A74" s="539"/>
      <c r="C74" s="417"/>
      <c r="D74" s="2178">
        <v>3</v>
      </c>
      <c r="E74" s="2180" t="s">
        <v>296</v>
      </c>
      <c r="F74" s="2182" t="s">
        <v>57</v>
      </c>
      <c r="G74" s="2185"/>
      <c r="H74" s="2187"/>
      <c r="I74" s="2189"/>
      <c r="J74" s="2191"/>
      <c r="K74" s="2175"/>
      <c r="L74" s="2170"/>
      <c r="M74" s="2170"/>
      <c r="N74" s="2172"/>
      <c r="O74" s="2175"/>
      <c r="P74" s="2170"/>
      <c r="Q74" s="2170"/>
      <c r="R74" s="2177"/>
      <c r="S74" s="2175"/>
      <c r="T74" s="1740"/>
      <c r="U74" s="1740"/>
      <c r="V74" s="1742"/>
      <c r="W74" s="1589"/>
      <c r="X74" s="1556"/>
      <c r="Y74" s="1556"/>
      <c r="Z74" s="1556"/>
      <c r="AA74" s="1556"/>
      <c r="AB74" s="1556"/>
      <c r="AC74" s="1638" t="s">
        <v>297</v>
      </c>
      <c r="AD74" s="1638" t="s">
        <v>298</v>
      </c>
      <c r="AE74" s="1638" t="s">
        <v>299</v>
      </c>
      <c r="AF74" s="1638" t="s">
        <v>300</v>
      </c>
      <c r="AG74" s="1638"/>
      <c r="AH74" s="1638" t="str">
        <f>IF($E$74=0,"",$E$74)</f>
        <v>Тариф на транспортировку воды</v>
      </c>
      <c r="AI74" s="1638" t="str">
        <f>IF($G$74=0,"",$G$74)</f>
        <v/>
      </c>
      <c r="AJ74" s="1638" t="str">
        <f>IF($J$74=0,"",$J$74)</f>
        <v/>
      </c>
      <c r="AK74" s="1638" t="str">
        <f>IF($K$74="нет","без дифференциации",IF($N$74=0,"",$N$74))</f>
        <v/>
      </c>
      <c r="AL74" s="1638" t="str">
        <f>IF($O$74="нет","без дифференциации",IF($R$74=0,"",$R$74))</f>
        <v/>
      </c>
      <c r="AM74" s="1638" t="str">
        <f>IF($S$74="нет","без дифференциации",IF($V$74=0,"",$V$74))</f>
        <v/>
      </c>
      <c r="AN74" s="1817">
        <f>$I$74</f>
        <v>0</v>
      </c>
      <c r="AO74" s="1638" t="str">
        <f>$I$74&amp;"."&amp;$M$74</f>
        <v>.</v>
      </c>
      <c r="AP74" s="485" t="str">
        <f>$I$74&amp;"."&amp;$M$74&amp;"."&amp;$Q$74</f>
        <v>..</v>
      </c>
      <c r="AQ74" s="485" t="str">
        <f>$I$74&amp;"."&amp;$M$74&amp;"."&amp;$Q$74&amp;"."&amp;$U$74</f>
        <v>...</v>
      </c>
    </row>
    <row s="10859" customFormat="1" customHeight="1" ht="17.25" hidden="1">
      <c r="A75" s="539"/>
      <c r="C75" s="538"/>
      <c r="D75" s="2178"/>
      <c r="E75" s="2180"/>
      <c r="F75" s="2183"/>
      <c r="G75" s="2185"/>
      <c r="H75" s="2188"/>
      <c r="I75" s="2190"/>
      <c r="J75" s="2192"/>
      <c r="K75" s="2176"/>
      <c r="L75" s="2171"/>
      <c r="M75" s="2171"/>
      <c r="N75" s="2173"/>
      <c r="O75" s="2176"/>
      <c r="P75" s="2171"/>
      <c r="Q75" s="2171"/>
      <c r="R75" s="2174"/>
      <c r="S75" s="2176"/>
      <c r="T75" s="1590"/>
      <c r="U75" s="1590"/>
      <c r="V75" s="1590"/>
      <c r="W75" s="1591"/>
      <c r="X75" s="1548"/>
      <c r="Y75" s="1548"/>
      <c r="Z75" s="1548"/>
      <c r="AA75" s="1548"/>
      <c r="AB75" s="1548"/>
      <c r="AC75" s="485"/>
      <c r="AD75" s="485"/>
      <c r="AE75" s="485"/>
      <c r="AF75" s="485"/>
      <c r="AG75" s="485"/>
      <c r="AH75" s="485"/>
      <c r="AI75" s="485"/>
      <c r="AJ75" s="485"/>
      <c r="AK75" s="485"/>
      <c r="AL75" s="485"/>
      <c r="AM75" s="485"/>
      <c r="AN75" s="485"/>
      <c r="AO75" s="485"/>
      <c r="AP75" s="485"/>
      <c r="AQ75" s="485"/>
    </row>
    <row s="10859" customFormat="1" customHeight="1" ht="17.25" hidden="1">
      <c r="A76" s="539"/>
      <c r="C76" s="538"/>
      <c r="D76" s="2179"/>
      <c r="E76" s="2181"/>
      <c r="F76" s="2183"/>
      <c r="G76" s="2186"/>
      <c r="H76" s="2188"/>
      <c r="I76" s="2190"/>
      <c r="J76" s="2193"/>
      <c r="K76" s="2176"/>
      <c r="L76" s="2171"/>
      <c r="M76" s="2171"/>
      <c r="N76" s="2174"/>
      <c r="O76" s="2176"/>
      <c r="P76" s="1741"/>
      <c r="Q76" s="1590"/>
      <c r="R76" s="1590"/>
      <c r="S76" s="550"/>
      <c r="T76" s="550"/>
      <c r="U76" s="550"/>
      <c r="V76" s="550"/>
      <c r="W76" s="1591"/>
      <c r="X76" s="1548"/>
      <c r="Y76" s="1548"/>
      <c r="Z76" s="1548"/>
      <c r="AA76" s="1548"/>
      <c r="AB76" s="1548"/>
      <c r="AC76" s="485"/>
      <c r="AD76" s="485"/>
      <c r="AE76" s="485"/>
      <c r="AF76" s="485"/>
      <c r="AG76" s="485"/>
      <c r="AH76" s="485"/>
      <c r="AI76" s="485"/>
      <c r="AJ76" s="485"/>
      <c r="AK76" s="485"/>
      <c r="AL76" s="485"/>
      <c r="AM76" s="485"/>
      <c r="AN76" s="485"/>
      <c r="AO76" s="485"/>
      <c r="AP76" s="485"/>
      <c r="AQ76" s="485"/>
    </row>
    <row s="10859" customFormat="1" customHeight="1" ht="17.25" hidden="1">
      <c r="A77" s="539"/>
      <c r="C77" s="538"/>
      <c r="D77" s="2179"/>
      <c r="E77" s="2181"/>
      <c r="F77" s="2183"/>
      <c r="G77" s="2186"/>
      <c r="H77" s="2188"/>
      <c r="I77" s="2190"/>
      <c r="J77" s="2193"/>
      <c r="K77" s="2176"/>
      <c r="L77" s="1590"/>
      <c r="M77" s="1590"/>
      <c r="N77" s="1590"/>
      <c r="O77" s="1590"/>
      <c r="P77" s="1590"/>
      <c r="Q77" s="1590"/>
      <c r="R77" s="1590"/>
      <c r="S77" s="550"/>
      <c r="T77" s="550"/>
      <c r="U77" s="550"/>
      <c r="V77" s="550"/>
      <c r="W77" s="1591"/>
      <c r="X77" s="1548"/>
      <c r="Y77" s="1548"/>
      <c r="Z77" s="1548"/>
      <c r="AA77" s="1548"/>
      <c r="AB77" s="1548"/>
      <c r="AC77" s="485"/>
      <c r="AD77" s="485"/>
      <c r="AE77" s="485"/>
      <c r="AF77" s="485"/>
      <c r="AG77" s="485"/>
      <c r="AH77" s="485"/>
      <c r="AI77" s="485"/>
      <c r="AJ77" s="485"/>
      <c r="AK77" s="485"/>
      <c r="AL77" s="485"/>
      <c r="AM77" s="485"/>
      <c r="AN77" s="485"/>
      <c r="AO77" s="485"/>
      <c r="AP77" s="485"/>
      <c r="AQ77" s="485"/>
    </row>
    <row s="10859" customFormat="1" customHeight="1" ht="17.25" hidden="1">
      <c r="A78" s="539"/>
      <c r="C78" s="538"/>
      <c r="D78" s="2179"/>
      <c r="E78" s="2181"/>
      <c r="F78" s="2184"/>
      <c r="G78" s="2186"/>
      <c r="H78" s="1593"/>
      <c r="I78" s="1594"/>
      <c r="J78" s="1594"/>
      <c r="K78" s="1594"/>
      <c r="L78" s="1594"/>
      <c r="M78" s="1594"/>
      <c r="N78" s="1594"/>
      <c r="O78" s="1594"/>
      <c r="P78" s="1594"/>
      <c r="Q78" s="1594"/>
      <c r="R78" s="1594"/>
      <c r="S78" s="1595"/>
      <c r="T78" s="1595"/>
      <c r="U78" s="1595"/>
      <c r="V78" s="1595"/>
      <c r="W78" s="1596"/>
      <c r="X78" s="1548"/>
      <c r="Y78" s="1548"/>
      <c r="Z78" s="1548"/>
      <c r="AA78" s="1548"/>
      <c r="AB78" s="1548"/>
      <c r="AC78" s="485"/>
      <c r="AD78" s="485"/>
      <c r="AE78" s="485"/>
      <c r="AF78" s="485"/>
      <c r="AG78" s="485"/>
      <c r="AH78" s="485"/>
      <c r="AI78" s="485"/>
      <c r="AJ78" s="485"/>
      <c r="AK78" s="485"/>
      <c r="AL78" s="485"/>
      <c r="AM78" s="485"/>
      <c r="AN78" s="485"/>
      <c r="AO78" s="485"/>
      <c r="AP78" s="485"/>
      <c r="AQ78" s="485"/>
    </row>
    <row s="10859" customFormat="1" customHeight="1" ht="17.25" hidden="1">
      <c r="A79" s="539"/>
      <c r="C79" s="417"/>
      <c r="D79" s="2178">
        <v>4</v>
      </c>
      <c r="E79" s="2180" t="s">
        <v>301</v>
      </c>
      <c r="F79" s="2182" t="s">
        <v>57</v>
      </c>
      <c r="G79" s="2185"/>
      <c r="H79" s="2187"/>
      <c r="I79" s="2189"/>
      <c r="J79" s="2191"/>
      <c r="K79" s="2175"/>
      <c r="L79" s="2170"/>
      <c r="M79" s="2170"/>
      <c r="N79" s="2172"/>
      <c r="O79" s="2175"/>
      <c r="P79" s="2170"/>
      <c r="Q79" s="2170"/>
      <c r="R79" s="2177"/>
      <c r="S79" s="2175"/>
      <c r="T79" s="1740"/>
      <c r="U79" s="1740"/>
      <c r="V79" s="1742"/>
      <c r="W79" s="1589"/>
      <c r="X79" s="1556"/>
      <c r="Y79" s="1556"/>
      <c r="Z79" s="1556"/>
      <c r="AA79" s="1556"/>
      <c r="AB79" s="1556"/>
      <c r="AC79" s="1638" t="s">
        <v>302</v>
      </c>
      <c r="AD79" s="1638" t="s">
        <v>303</v>
      </c>
      <c r="AE79" s="1638" t="s">
        <v>304</v>
      </c>
      <c r="AF79" s="1638" t="s">
        <v>305</v>
      </c>
      <c r="AG79" s="1638"/>
      <c r="AH79" s="1638" t="str">
        <f>IF($E$79=0,"",$E$79)</f>
        <v>Тариф на подвоз воды</v>
      </c>
      <c r="AI79" s="1638" t="str">
        <f>IF($G$79=0,"",$G$79)</f>
        <v/>
      </c>
      <c r="AJ79" s="1638" t="str">
        <f>IF($J$79=0,"",$J$79)</f>
        <v/>
      </c>
      <c r="AK79" s="1638" t="str">
        <f>IF($K$79="нет","без дифференциации",IF($N$79=0,"",$N$79))</f>
        <v/>
      </c>
      <c r="AL79" s="1638" t="str">
        <f>IF($O$79="нет","без дифференциации",IF($R$79=0,"",$R$79))</f>
        <v/>
      </c>
      <c r="AM79" s="1638" t="str">
        <f>IF($S$79="нет","без дифференциации",IF($V$79=0,"",$V$79))</f>
        <v/>
      </c>
      <c r="AN79" s="1817">
        <f>$I$79</f>
        <v>0</v>
      </c>
      <c r="AO79" s="1638" t="str">
        <f>$I$79&amp;"."&amp;$M$79</f>
        <v>.</v>
      </c>
      <c r="AP79" s="485" t="str">
        <f>$I$79&amp;"."&amp;$M$79&amp;"."&amp;$Q$79</f>
        <v>..</v>
      </c>
      <c r="AQ79" s="485" t="str">
        <f>$I$79&amp;"."&amp;$M$79&amp;"."&amp;$Q$79&amp;"."&amp;$U$79</f>
        <v>...</v>
      </c>
    </row>
    <row s="10859" customFormat="1" customHeight="1" ht="17.25" hidden="1">
      <c r="A80" s="539"/>
      <c r="C80" s="538"/>
      <c r="D80" s="2178"/>
      <c r="E80" s="2180"/>
      <c r="F80" s="2183"/>
      <c r="G80" s="2185"/>
      <c r="H80" s="2188"/>
      <c r="I80" s="2190"/>
      <c r="J80" s="2192"/>
      <c r="K80" s="2176"/>
      <c r="L80" s="2171"/>
      <c r="M80" s="2171"/>
      <c r="N80" s="2173"/>
      <c r="O80" s="2176"/>
      <c r="P80" s="2171"/>
      <c r="Q80" s="2171"/>
      <c r="R80" s="2174"/>
      <c r="S80" s="2176"/>
      <c r="T80" s="1590"/>
      <c r="U80" s="1590"/>
      <c r="V80" s="1590"/>
      <c r="W80" s="1591"/>
      <c r="X80" s="1548"/>
      <c r="Y80" s="1548"/>
      <c r="Z80" s="1548"/>
      <c r="AA80" s="1548"/>
      <c r="AB80" s="1548"/>
      <c r="AC80" s="485"/>
      <c r="AD80" s="485"/>
      <c r="AE80" s="485"/>
      <c r="AF80" s="485"/>
      <c r="AG80" s="485"/>
      <c r="AH80" s="485"/>
      <c r="AI80" s="485"/>
      <c r="AJ80" s="485"/>
      <c r="AK80" s="485"/>
      <c r="AL80" s="485"/>
      <c r="AM80" s="485"/>
      <c r="AN80" s="485"/>
      <c r="AO80" s="485"/>
      <c r="AP80" s="485"/>
      <c r="AQ80" s="485"/>
    </row>
    <row s="10859" customFormat="1" customHeight="1" ht="17.25" hidden="1">
      <c r="A81" s="539"/>
      <c r="C81" s="538"/>
      <c r="D81" s="2179"/>
      <c r="E81" s="2181"/>
      <c r="F81" s="2183"/>
      <c r="G81" s="2186"/>
      <c r="H81" s="2188"/>
      <c r="I81" s="2190"/>
      <c r="J81" s="2193"/>
      <c r="K81" s="2176"/>
      <c r="L81" s="2171"/>
      <c r="M81" s="2171"/>
      <c r="N81" s="2174"/>
      <c r="O81" s="2176"/>
      <c r="P81" s="1741"/>
      <c r="Q81" s="1590"/>
      <c r="R81" s="1590"/>
      <c r="S81" s="550"/>
      <c r="T81" s="550"/>
      <c r="U81" s="550"/>
      <c r="V81" s="550"/>
      <c r="W81" s="1591"/>
      <c r="X81" s="1548"/>
      <c r="Y81" s="1548"/>
      <c r="Z81" s="1548"/>
      <c r="AA81" s="1548"/>
      <c r="AB81" s="1548"/>
      <c r="AC81" s="485"/>
      <c r="AD81" s="485"/>
      <c r="AE81" s="485"/>
      <c r="AF81" s="485"/>
      <c r="AG81" s="485"/>
      <c r="AH81" s="485"/>
      <c r="AI81" s="485"/>
      <c r="AJ81" s="485"/>
      <c r="AK81" s="485"/>
      <c r="AL81" s="485"/>
      <c r="AM81" s="485"/>
      <c r="AN81" s="485"/>
      <c r="AO81" s="485"/>
      <c r="AP81" s="485"/>
      <c r="AQ81" s="485"/>
    </row>
    <row s="10859" customFormat="1" customHeight="1" ht="17.25" hidden="1">
      <c r="A82" s="539"/>
      <c r="C82" s="538"/>
      <c r="D82" s="2179"/>
      <c r="E82" s="2181"/>
      <c r="F82" s="2183"/>
      <c r="G82" s="2186"/>
      <c r="H82" s="2188"/>
      <c r="I82" s="2190"/>
      <c r="J82" s="2193"/>
      <c r="K82" s="2176"/>
      <c r="L82" s="1590"/>
      <c r="M82" s="1590"/>
      <c r="N82" s="1590"/>
      <c r="O82" s="1590"/>
      <c r="P82" s="1590"/>
      <c r="Q82" s="1590"/>
      <c r="R82" s="1590"/>
      <c r="S82" s="550"/>
      <c r="T82" s="550"/>
      <c r="U82" s="550"/>
      <c r="V82" s="550"/>
      <c r="W82" s="1591"/>
      <c r="X82" s="1548"/>
      <c r="Y82" s="1548"/>
      <c r="Z82" s="1548"/>
      <c r="AA82" s="1548"/>
      <c r="AB82" s="1548"/>
      <c r="AC82" s="485"/>
      <c r="AD82" s="485"/>
      <c r="AE82" s="485"/>
      <c r="AF82" s="485"/>
      <c r="AG82" s="485"/>
      <c r="AH82" s="485"/>
      <c r="AI82" s="485"/>
      <c r="AJ82" s="485"/>
      <c r="AK82" s="485"/>
      <c r="AL82" s="485"/>
      <c r="AM82" s="485"/>
      <c r="AN82" s="485"/>
      <c r="AO82" s="485"/>
      <c r="AP82" s="485"/>
      <c r="AQ82" s="485"/>
    </row>
    <row s="10859" customFormat="1" customHeight="1" ht="17.25" hidden="1">
      <c r="A83" s="539"/>
      <c r="C83" s="538"/>
      <c r="D83" s="2179"/>
      <c r="E83" s="2181"/>
      <c r="F83" s="2184"/>
      <c r="G83" s="2186"/>
      <c r="H83" s="1593"/>
      <c r="I83" s="1594"/>
      <c r="J83" s="1594"/>
      <c r="K83" s="1594"/>
      <c r="L83" s="1594"/>
      <c r="M83" s="1594"/>
      <c r="N83" s="1594"/>
      <c r="O83" s="1594"/>
      <c r="P83" s="1594"/>
      <c r="Q83" s="1594"/>
      <c r="R83" s="1594"/>
      <c r="S83" s="1595"/>
      <c r="T83" s="1595"/>
      <c r="U83" s="1595"/>
      <c r="V83" s="1595"/>
      <c r="W83" s="1596"/>
      <c r="X83" s="1548"/>
      <c r="Y83" s="1548"/>
      <c r="Z83" s="1548"/>
      <c r="AA83" s="1548"/>
      <c r="AB83" s="1548"/>
      <c r="AC83" s="485"/>
      <c r="AD83" s="485"/>
      <c r="AE83" s="485"/>
      <c r="AF83" s="485"/>
      <c r="AG83" s="485"/>
      <c r="AH83" s="485"/>
      <c r="AI83" s="485"/>
      <c r="AJ83" s="485"/>
      <c r="AK83" s="485"/>
      <c r="AL83" s="485"/>
      <c r="AM83" s="485"/>
      <c r="AN83" s="485"/>
      <c r="AO83" s="485"/>
      <c r="AP83" s="485"/>
      <c r="AQ83" s="485"/>
    </row>
    <row s="10859" customFormat="1" customHeight="1" ht="17.25" hidden="1">
      <c r="A84" s="539"/>
      <c r="C84" s="417"/>
      <c r="D84" s="2178">
        <v>5</v>
      </c>
      <c r="E84" s="2180" t="s">
        <v>306</v>
      </c>
      <c r="F84" s="2182" t="s">
        <v>57</v>
      </c>
      <c r="G84" s="2185"/>
      <c r="H84" s="2187"/>
      <c r="I84" s="2189"/>
      <c r="J84" s="2191"/>
      <c r="K84" s="2175"/>
      <c r="L84" s="2170"/>
      <c r="M84" s="2170"/>
      <c r="N84" s="2172"/>
      <c r="O84" s="2175"/>
      <c r="P84" s="2170"/>
      <c r="Q84" s="2170"/>
      <c r="R84" s="2177"/>
      <c r="S84" s="2175"/>
      <c r="T84" s="1767"/>
      <c r="U84" s="1767"/>
      <c r="V84" s="1769"/>
      <c r="W84" s="1589"/>
      <c r="X84" s="1556"/>
      <c r="Y84" s="1556"/>
      <c r="Z84" s="1556"/>
      <c r="AA84" s="1556"/>
      <c r="AB84" s="1556"/>
      <c r="AC84" s="1638" t="s">
        <v>307</v>
      </c>
      <c r="AD84" s="1638" t="s">
        <v>308</v>
      </c>
      <c r="AE84" s="1638" t="s">
        <v>309</v>
      </c>
      <c r="AF84" s="1638" t="s">
        <v>310</v>
      </c>
      <c r="AG84" s="1638"/>
      <c r="AH84" s="1638" t="str">
        <f>IF($E$84=0,"",$E$84)</f>
        <v>Тариф на подключение (технологическое присоединение) к централизованной системе холодного водоснабжения</v>
      </c>
      <c r="AI84" s="1638" t="str">
        <f>IF($G$84=0,"",$G$84)</f>
        <v/>
      </c>
      <c r="AJ84" s="1638" t="str">
        <f>IF($J$84=0,"",$J$84)</f>
        <v/>
      </c>
      <c r="AK84" s="1638" t="str">
        <f>IF($K$84="нет","без дифференциации",IF($N$84=0,"",$N$84))</f>
        <v/>
      </c>
      <c r="AL84" s="1638" t="str">
        <f>IF($O$84="нет","без дифференциации",IF($R$84=0,"",$R$84))</f>
        <v/>
      </c>
      <c r="AM84" s="1638" t="str">
        <f>IF($S$84="нет","без дифференциации",IF($V$84=0,"",$V$84))</f>
        <v/>
      </c>
      <c r="AN84" s="1817">
        <f>$I$84</f>
        <v>0</v>
      </c>
      <c r="AO84" s="1638" t="str">
        <f>$I$84&amp;"."&amp;$M$84</f>
        <v>.</v>
      </c>
      <c r="AP84" s="485" t="str">
        <f>$I$84&amp;"."&amp;$M$84&amp;"."&amp;$Q$84</f>
        <v>..</v>
      </c>
      <c r="AQ84" s="485" t="str">
        <f>$I$84&amp;"."&amp;$M$84&amp;"."&amp;$Q$84&amp;"."&amp;$U$84</f>
        <v>...</v>
      </c>
    </row>
    <row s="10859" customFormat="1" customHeight="1" ht="17.25" hidden="1">
      <c r="A85" s="539"/>
      <c r="C85" s="538"/>
      <c r="D85" s="2178"/>
      <c r="E85" s="2180"/>
      <c r="F85" s="2183"/>
      <c r="G85" s="2185"/>
      <c r="H85" s="2188"/>
      <c r="I85" s="2190"/>
      <c r="J85" s="2192"/>
      <c r="K85" s="2176"/>
      <c r="L85" s="2171"/>
      <c r="M85" s="2171"/>
      <c r="N85" s="2173"/>
      <c r="O85" s="2176"/>
      <c r="P85" s="2171"/>
      <c r="Q85" s="2171"/>
      <c r="R85" s="2174"/>
      <c r="S85" s="2176"/>
      <c r="T85" s="1590"/>
      <c r="U85" s="1590"/>
      <c r="V85" s="1590"/>
      <c r="W85" s="1591"/>
      <c r="X85" s="1548"/>
      <c r="Y85" s="1548"/>
      <c r="Z85" s="1548"/>
      <c r="AA85" s="1548"/>
      <c r="AB85" s="1548"/>
      <c r="AC85" s="485"/>
      <c r="AD85" s="485"/>
      <c r="AE85" s="485"/>
      <c r="AF85" s="485"/>
      <c r="AG85" s="485"/>
      <c r="AH85" s="485"/>
      <c r="AI85" s="485"/>
      <c r="AJ85" s="485"/>
      <c r="AK85" s="485"/>
      <c r="AL85" s="485"/>
      <c r="AM85" s="485"/>
      <c r="AN85" s="485"/>
      <c r="AO85" s="485"/>
      <c r="AP85" s="485"/>
      <c r="AQ85" s="485"/>
    </row>
    <row s="10859" customFormat="1" customHeight="1" ht="17.25" hidden="1">
      <c r="A86" s="539"/>
      <c r="C86" s="538"/>
      <c r="D86" s="2179"/>
      <c r="E86" s="2181"/>
      <c r="F86" s="2183"/>
      <c r="G86" s="2186"/>
      <c r="H86" s="2188"/>
      <c r="I86" s="2190"/>
      <c r="J86" s="2193"/>
      <c r="K86" s="2176"/>
      <c r="L86" s="2171"/>
      <c r="M86" s="2171"/>
      <c r="N86" s="2174"/>
      <c r="O86" s="2176"/>
      <c r="P86" s="1768"/>
      <c r="Q86" s="1590"/>
      <c r="R86" s="1590"/>
      <c r="S86" s="550"/>
      <c r="T86" s="550"/>
      <c r="U86" s="550"/>
      <c r="V86" s="550"/>
      <c r="W86" s="1591"/>
      <c r="X86" s="1548"/>
      <c r="Y86" s="1548"/>
      <c r="Z86" s="1548"/>
      <c r="AA86" s="1548"/>
      <c r="AB86" s="1548"/>
      <c r="AC86" s="485"/>
      <c r="AD86" s="485"/>
      <c r="AE86" s="485"/>
      <c r="AF86" s="485"/>
      <c r="AG86" s="485"/>
      <c r="AH86" s="485"/>
      <c r="AI86" s="485"/>
      <c r="AJ86" s="485"/>
      <c r="AK86" s="485"/>
      <c r="AL86" s="485"/>
      <c r="AM86" s="485"/>
      <c r="AN86" s="485"/>
      <c r="AO86" s="485"/>
      <c r="AP86" s="485"/>
      <c r="AQ86" s="485"/>
    </row>
    <row s="10859" customFormat="1" customHeight="1" ht="17.25" hidden="1">
      <c r="A87" s="539"/>
      <c r="C87" s="538"/>
      <c r="D87" s="2179"/>
      <c r="E87" s="2181"/>
      <c r="F87" s="2183"/>
      <c r="G87" s="2186"/>
      <c r="H87" s="2188"/>
      <c r="I87" s="2190"/>
      <c r="J87" s="2193"/>
      <c r="K87" s="2176"/>
      <c r="L87" s="1590"/>
      <c r="M87" s="1590"/>
      <c r="N87" s="1590"/>
      <c r="O87" s="1590"/>
      <c r="P87" s="1590"/>
      <c r="Q87" s="1590"/>
      <c r="R87" s="1590"/>
      <c r="S87" s="550"/>
      <c r="T87" s="550"/>
      <c r="U87" s="550"/>
      <c r="V87" s="550"/>
      <c r="W87" s="1591"/>
      <c r="X87" s="1548"/>
      <c r="Y87" s="1548"/>
      <c r="Z87" s="1548"/>
      <c r="AA87" s="1548"/>
      <c r="AB87" s="1548"/>
      <c r="AC87" s="485"/>
      <c r="AD87" s="485"/>
      <c r="AE87" s="485"/>
      <c r="AF87" s="485"/>
      <c r="AG87" s="485"/>
      <c r="AH87" s="485"/>
      <c r="AI87" s="485"/>
      <c r="AJ87" s="485"/>
      <c r="AK87" s="485"/>
      <c r="AL87" s="485"/>
      <c r="AM87" s="485"/>
      <c r="AN87" s="485"/>
      <c r="AO87" s="485"/>
      <c r="AP87" s="485"/>
      <c r="AQ87" s="485"/>
    </row>
    <row s="10859" customFormat="1" customHeight="1" ht="17.25" hidden="1">
      <c r="A88" s="539"/>
      <c r="C88" s="538"/>
      <c r="D88" s="2179"/>
      <c r="E88" s="2181"/>
      <c r="F88" s="2184"/>
      <c r="G88" s="2186"/>
      <c r="H88" s="1593"/>
      <c r="I88" s="1594"/>
      <c r="J88" s="1594"/>
      <c r="K88" s="1594"/>
      <c r="L88" s="1594"/>
      <c r="M88" s="1594"/>
      <c r="N88" s="1594"/>
      <c r="O88" s="1594"/>
      <c r="P88" s="1594"/>
      <c r="Q88" s="1594"/>
      <c r="R88" s="1594"/>
      <c r="S88" s="1595"/>
      <c r="T88" s="1595"/>
      <c r="U88" s="1595"/>
      <c r="V88" s="1595"/>
      <c r="W88" s="1596"/>
      <c r="X88" s="1548"/>
      <c r="Y88" s="1548"/>
      <c r="Z88" s="1548"/>
      <c r="AA88" s="1548"/>
      <c r="AB88" s="1548"/>
      <c r="AC88" s="485"/>
      <c r="AD88" s="485"/>
      <c r="AE88" s="485"/>
      <c r="AF88" s="485"/>
      <c r="AG88" s="485"/>
      <c r="AH88" s="485"/>
      <c r="AI88" s="485"/>
      <c r="AJ88" s="485"/>
      <c r="AK88" s="485"/>
      <c r="AL88" s="485"/>
      <c r="AM88" s="485"/>
      <c r="AN88" s="485"/>
      <c r="AO88" s="485"/>
      <c r="AP88" s="485"/>
      <c r="AQ88" s="485"/>
    </row>
    <row s="10859" customFormat="1" customHeight="1" ht="11.25" hidden="1">
      <c r="A89" s="485"/>
      <c r="B89" s="485"/>
      <c r="Y89" s="1548"/>
      <c r="Z89" s="1548"/>
      <c r="AA89" s="1548"/>
      <c r="AB89" s="1548"/>
      <c r="AC89" s="485"/>
      <c r="AD89" s="485"/>
      <c r="AE89" s="485"/>
      <c r="AF89" s="485"/>
      <c r="AG89" s="485"/>
      <c r="AH89" s="485"/>
      <c r="AI89" s="485"/>
      <c r="AJ89" s="485"/>
      <c r="AK89" s="485"/>
      <c r="AL89" s="485"/>
      <c r="AM89" s="485"/>
      <c r="AN89" s="485"/>
      <c r="AO89" s="485"/>
      <c r="AP89" s="485"/>
      <c r="AQ89" s="485"/>
    </row>
    <row s="10859" customFormat="1" customHeight="1" ht="17.25" hidden="1">
      <c r="A90" s="539"/>
      <c r="C90" s="417"/>
      <c r="D90" s="2178">
        <v>1</v>
      </c>
      <c r="E90" s="2180" t="s">
        <v>311</v>
      </c>
      <c r="F90" s="2182" t="s">
        <v>57</v>
      </c>
      <c r="G90" s="2185"/>
      <c r="H90" s="2187"/>
      <c r="I90" s="2189"/>
      <c r="J90" s="2191"/>
      <c r="K90" s="2175"/>
      <c r="L90" s="2170"/>
      <c r="M90" s="2170"/>
      <c r="N90" s="2172"/>
      <c r="O90" s="2175"/>
      <c r="P90" s="2170"/>
      <c r="Q90" s="2170"/>
      <c r="R90" s="2177"/>
      <c r="S90" s="2175"/>
      <c r="T90" s="1767"/>
      <c r="U90" s="1767"/>
      <c r="V90" s="1769"/>
      <c r="W90" s="1589"/>
      <c r="Y90" s="1556"/>
      <c r="Z90" s="1556"/>
      <c r="AA90" s="1556"/>
      <c r="AB90" s="1556"/>
      <c r="AC90" s="1638" t="s">
        <v>312</v>
      </c>
      <c r="AD90" s="1638" t="s">
        <v>313</v>
      </c>
      <c r="AE90" s="1638" t="s">
        <v>314</v>
      </c>
      <c r="AF90" s="1638" t="s">
        <v>315</v>
      </c>
      <c r="AG90" s="1638"/>
      <c r="AH90" s="1638" t="str">
        <f>IF($E$90=0,"",$E$90)</f>
        <v>Тариф на горячую воду (горячее водоснабжение)</v>
      </c>
      <c r="AI90" s="1638" t="str">
        <f>IF($G$90=0,"",$G$90)</f>
        <v/>
      </c>
      <c r="AJ90" s="1638" t="str">
        <f>IF($J$90=0,"",$J$90)</f>
        <v/>
      </c>
      <c r="AK90" s="1638" t="str">
        <f>IF($K$90="нет","без дифференциации",IF($N$90=0,"",$N$90))</f>
        <v/>
      </c>
      <c r="AL90" s="1638" t="str">
        <f>IF($O$90="нет","без дифференциации",IF($R$90=0,"",$R$90))</f>
        <v/>
      </c>
      <c r="AM90" s="1638" t="str">
        <f>IF($S$90="нет","без дифференциации",IF($V$90=0,"",$V$90))</f>
        <v/>
      </c>
      <c r="AN90" s="1638">
        <f>$I$90</f>
        <v>0</v>
      </c>
      <c r="AO90" s="1638" t="str">
        <f>$I$90&amp;"."&amp;$M$90</f>
        <v>.</v>
      </c>
      <c r="AP90" s="1638" t="str">
        <f>$I$90&amp;"."&amp;$M$90&amp;"."&amp;$Q$90</f>
        <v>..</v>
      </c>
      <c r="AQ90" s="1638" t="str">
        <f>$I$90&amp;"."&amp;$M$90&amp;"."&amp;$Q$90&amp;"."&amp;$U$90</f>
        <v>...</v>
      </c>
    </row>
    <row s="10859" customFormat="1" customHeight="1" ht="17.25" hidden="1">
      <c r="A91" s="539"/>
      <c r="C91" s="538"/>
      <c r="D91" s="2178"/>
      <c r="E91" s="2180"/>
      <c r="F91" s="2183"/>
      <c r="G91" s="2185"/>
      <c r="H91" s="2188"/>
      <c r="I91" s="2190"/>
      <c r="J91" s="2192"/>
      <c r="K91" s="2176"/>
      <c r="L91" s="2171"/>
      <c r="M91" s="2171"/>
      <c r="N91" s="2173"/>
      <c r="O91" s="2176"/>
      <c r="P91" s="2171"/>
      <c r="Q91" s="2171"/>
      <c r="R91" s="2174"/>
      <c r="S91" s="2176"/>
      <c r="T91" s="1590"/>
      <c r="U91" s="1590"/>
      <c r="V91" s="1590"/>
      <c r="W91" s="1591"/>
      <c r="Y91" s="1548"/>
      <c r="Z91" s="1548"/>
      <c r="AA91" s="1548"/>
      <c r="AB91" s="1548"/>
      <c r="AC91" s="485"/>
      <c r="AD91" s="485"/>
      <c r="AE91" s="485"/>
      <c r="AF91" s="485"/>
      <c r="AG91" s="485"/>
      <c r="AH91" s="485"/>
      <c r="AI91" s="485"/>
      <c r="AJ91" s="485"/>
      <c r="AK91" s="485"/>
      <c r="AL91" s="485"/>
      <c r="AM91" s="485"/>
      <c r="AN91" s="485"/>
      <c r="AO91" s="485"/>
      <c r="AP91" s="485"/>
      <c r="AQ91" s="485"/>
    </row>
    <row s="10859" customFormat="1" customHeight="1" ht="17.25" hidden="1">
      <c r="A92" s="539"/>
      <c r="C92" s="417"/>
      <c r="D92" s="2178"/>
      <c r="E92" s="2180"/>
      <c r="F92" s="2183"/>
      <c r="G92" s="2185"/>
      <c r="H92" s="2188"/>
      <c r="I92" s="2190"/>
      <c r="J92" s="2193"/>
      <c r="K92" s="2176"/>
      <c r="L92" s="2171"/>
      <c r="M92" s="2171"/>
      <c r="N92" s="2174"/>
      <c r="O92" s="2176"/>
      <c r="P92" s="1768"/>
      <c r="Q92" s="1590"/>
      <c r="R92" s="1590"/>
      <c r="S92" s="550"/>
      <c r="T92" s="550"/>
      <c r="U92" s="550"/>
      <c r="V92" s="550"/>
      <c r="W92" s="1591"/>
      <c r="Y92" s="1556"/>
      <c r="Z92" s="1556"/>
      <c r="AA92" s="1556"/>
      <c r="AB92" s="1556"/>
      <c r="AC92" s="1638"/>
      <c r="AD92" s="1638"/>
      <c r="AE92" s="1638"/>
      <c r="AF92" s="1638"/>
      <c r="AG92" s="1638"/>
      <c r="AH92" s="1638"/>
      <c r="AI92" s="1638"/>
      <c r="AJ92" s="1638"/>
      <c r="AK92" s="1638"/>
      <c r="AL92" s="1638"/>
      <c r="AM92" s="1638"/>
      <c r="AN92" s="1638"/>
      <c r="AO92" s="1638"/>
      <c r="AP92" s="1638"/>
      <c r="AQ92" s="1638"/>
    </row>
    <row s="10859" customFormat="1" customHeight="1" ht="17.25" hidden="1">
      <c r="A93" s="539"/>
      <c r="C93" s="538"/>
      <c r="D93" s="2178"/>
      <c r="E93" s="2180"/>
      <c r="F93" s="2183"/>
      <c r="G93" s="2185"/>
      <c r="H93" s="2188"/>
      <c r="I93" s="2190"/>
      <c r="J93" s="2193"/>
      <c r="K93" s="2176"/>
      <c r="L93" s="1590"/>
      <c r="M93" s="1590"/>
      <c r="N93" s="1590"/>
      <c r="O93" s="1590"/>
      <c r="P93" s="1590"/>
      <c r="Q93" s="1590"/>
      <c r="R93" s="1590"/>
      <c r="S93" s="550"/>
      <c r="T93" s="550"/>
      <c r="U93" s="550"/>
      <c r="V93" s="550"/>
      <c r="W93" s="1591"/>
      <c r="Y93" s="1548"/>
      <c r="Z93" s="1548"/>
      <c r="AA93" s="1548"/>
      <c r="AB93" s="1548"/>
      <c r="AC93" s="485"/>
      <c r="AD93" s="485"/>
      <c r="AE93" s="485"/>
      <c r="AF93" s="485"/>
      <c r="AG93" s="485"/>
      <c r="AH93" s="485"/>
      <c r="AI93" s="485"/>
      <c r="AJ93" s="485"/>
      <c r="AK93" s="485"/>
      <c r="AL93" s="485"/>
      <c r="AM93" s="485"/>
      <c r="AN93" s="485"/>
      <c r="AO93" s="485"/>
      <c r="AP93" s="485"/>
      <c r="AQ93" s="485"/>
    </row>
    <row s="10859" customFormat="1" customHeight="1" ht="17.25" hidden="1">
      <c r="A94" s="539"/>
      <c r="C94" s="538"/>
      <c r="D94" s="2179"/>
      <c r="E94" s="2181"/>
      <c r="F94" s="2184"/>
      <c r="G94" s="2186"/>
      <c r="H94" s="1593"/>
      <c r="I94" s="1594"/>
      <c r="J94" s="1594"/>
      <c r="K94" s="1594"/>
      <c r="L94" s="1594"/>
      <c r="M94" s="1594"/>
      <c r="N94" s="1594"/>
      <c r="O94" s="1594"/>
      <c r="P94" s="1594"/>
      <c r="Q94" s="1594"/>
      <c r="R94" s="1594"/>
      <c r="S94" s="1595"/>
      <c r="T94" s="1595"/>
      <c r="U94" s="1595"/>
      <c r="V94" s="1595"/>
      <c r="W94" s="1596"/>
      <c r="Y94" s="1548"/>
      <c r="Z94" s="1548"/>
      <c r="AA94" s="1548"/>
      <c r="AB94" s="1548"/>
      <c r="AC94" s="485"/>
      <c r="AD94" s="485"/>
      <c r="AE94" s="485"/>
      <c r="AF94" s="485"/>
      <c r="AG94" s="485"/>
      <c r="AH94" s="485"/>
      <c r="AI94" s="485"/>
      <c r="AJ94" s="485"/>
      <c r="AK94" s="485"/>
      <c r="AL94" s="485"/>
      <c r="AM94" s="485"/>
      <c r="AN94" s="485"/>
      <c r="AO94" s="485"/>
      <c r="AP94" s="485"/>
      <c r="AQ94" s="485"/>
    </row>
    <row s="10859" customFormat="1" customHeight="1" ht="17.25" hidden="1">
      <c r="A95" s="539"/>
      <c r="C95" s="417"/>
      <c r="D95" s="2178">
        <v>2</v>
      </c>
      <c r="E95" s="2180" t="s">
        <v>316</v>
      </c>
      <c r="F95" s="2182" t="s">
        <v>57</v>
      </c>
      <c r="G95" s="2185"/>
      <c r="H95" s="2187"/>
      <c r="I95" s="2189"/>
      <c r="J95" s="2191"/>
      <c r="K95" s="2175"/>
      <c r="L95" s="2170"/>
      <c r="M95" s="2170"/>
      <c r="N95" s="2172"/>
      <c r="O95" s="2175"/>
      <c r="P95" s="2170"/>
      <c r="Q95" s="2170"/>
      <c r="R95" s="2177"/>
      <c r="S95" s="2175"/>
      <c r="T95" s="1767"/>
      <c r="U95" s="1767"/>
      <c r="V95" s="1769"/>
      <c r="W95" s="1589"/>
      <c r="X95" s="1556"/>
      <c r="Y95" s="1556"/>
      <c r="Z95" s="1556"/>
      <c r="AA95" s="1556"/>
      <c r="AB95" s="1556"/>
      <c r="AC95" s="1638" t="s">
        <v>317</v>
      </c>
      <c r="AD95" s="1638" t="s">
        <v>318</v>
      </c>
      <c r="AE95" s="1638" t="s">
        <v>319</v>
      </c>
      <c r="AF95" s="1638" t="s">
        <v>320</v>
      </c>
      <c r="AG95" s="1638"/>
      <c r="AH95" s="1638" t="str">
        <f>IF($E$95=0,"",$E$95)</f>
        <v>Тариф на транспортировку горячей воды</v>
      </c>
      <c r="AI95" s="1638" t="str">
        <f>IF($G$95=0,"",$G$95)</f>
        <v/>
      </c>
      <c r="AJ95" s="1638" t="str">
        <f>IF($J$95=0,"",$J$95)</f>
        <v/>
      </c>
      <c r="AK95" s="1638" t="str">
        <f>IF($K$95="нет","без дифференциации",IF($N$95=0,"",$N$95))</f>
        <v/>
      </c>
      <c r="AL95" s="1638" t="str">
        <f>IF($O$95="нет","без дифференциации",IF($R$95=0,"",$R$95))</f>
        <v/>
      </c>
      <c r="AM95" s="1638" t="str">
        <f>IF($S$95="нет","без дифференциации",IF($V$95=0,"",$V$95))</f>
        <v/>
      </c>
      <c r="AN95" s="1817">
        <f>$I$95</f>
        <v>0</v>
      </c>
      <c r="AO95" s="1638" t="str">
        <f>$I$95&amp;"."&amp;$M$95</f>
        <v>.</v>
      </c>
      <c r="AP95" s="485" t="str">
        <f>$I$95&amp;"."&amp;$M$95&amp;"."&amp;$Q$95</f>
        <v>..</v>
      </c>
      <c r="AQ95" s="485" t="str">
        <f>$I$95&amp;"."&amp;$M$95&amp;"."&amp;$Q$95&amp;"."&amp;$U$95</f>
        <v>...</v>
      </c>
    </row>
    <row s="10859" customFormat="1" customHeight="1" ht="17.25" hidden="1">
      <c r="A96" s="539"/>
      <c r="C96" s="538"/>
      <c r="D96" s="2178"/>
      <c r="E96" s="2180"/>
      <c r="F96" s="2183"/>
      <c r="G96" s="2185"/>
      <c r="H96" s="2188"/>
      <c r="I96" s="2190"/>
      <c r="J96" s="2192"/>
      <c r="K96" s="2176"/>
      <c r="L96" s="2171"/>
      <c r="M96" s="2171"/>
      <c r="N96" s="2173"/>
      <c r="O96" s="2176"/>
      <c r="P96" s="2171"/>
      <c r="Q96" s="2171"/>
      <c r="R96" s="2174"/>
      <c r="S96" s="2176"/>
      <c r="T96" s="1590"/>
      <c r="U96" s="1590"/>
      <c r="V96" s="1590"/>
      <c r="W96" s="1591"/>
      <c r="X96" s="1548"/>
      <c r="Y96" s="1548"/>
      <c r="Z96" s="1548"/>
      <c r="AA96" s="1548"/>
      <c r="AB96" s="1548"/>
      <c r="AC96" s="485"/>
      <c r="AD96" s="485"/>
      <c r="AE96" s="485"/>
      <c r="AF96" s="485"/>
      <c r="AG96" s="485"/>
      <c r="AH96" s="485"/>
      <c r="AI96" s="485"/>
      <c r="AJ96" s="485"/>
      <c r="AK96" s="485"/>
      <c r="AL96" s="485"/>
      <c r="AM96" s="485"/>
      <c r="AN96" s="485"/>
      <c r="AO96" s="485"/>
      <c r="AP96" s="485"/>
      <c r="AQ96" s="485"/>
    </row>
    <row s="10859" customFormat="1" customHeight="1" ht="17.25" hidden="1">
      <c r="A97" s="539"/>
      <c r="C97" s="538"/>
      <c r="D97" s="2179"/>
      <c r="E97" s="2181"/>
      <c r="F97" s="2183"/>
      <c r="G97" s="2186"/>
      <c r="H97" s="2188"/>
      <c r="I97" s="2190"/>
      <c r="J97" s="2193"/>
      <c r="K97" s="2176"/>
      <c r="L97" s="2171"/>
      <c r="M97" s="2171"/>
      <c r="N97" s="2174"/>
      <c r="O97" s="2176"/>
      <c r="P97" s="1768"/>
      <c r="Q97" s="1590"/>
      <c r="R97" s="1590"/>
      <c r="S97" s="550"/>
      <c r="T97" s="550"/>
      <c r="U97" s="550"/>
      <c r="V97" s="550"/>
      <c r="W97" s="1591"/>
      <c r="X97" s="1548"/>
      <c r="Y97" s="1548"/>
      <c r="Z97" s="1548"/>
      <c r="AA97" s="1548"/>
      <c r="AB97" s="1548"/>
      <c r="AC97" s="485"/>
      <c r="AD97" s="485"/>
      <c r="AE97" s="485"/>
      <c r="AF97" s="485"/>
      <c r="AG97" s="485"/>
      <c r="AH97" s="485"/>
      <c r="AI97" s="485"/>
      <c r="AJ97" s="485"/>
      <c r="AK97" s="485"/>
      <c r="AL97" s="485"/>
      <c r="AM97" s="485"/>
      <c r="AN97" s="485"/>
      <c r="AO97" s="485"/>
      <c r="AP97" s="485"/>
      <c r="AQ97" s="485"/>
    </row>
    <row s="10859" customFormat="1" customHeight="1" ht="17.25" hidden="1">
      <c r="A98" s="539"/>
      <c r="C98" s="538"/>
      <c r="D98" s="2179"/>
      <c r="E98" s="2181"/>
      <c r="F98" s="2183"/>
      <c r="G98" s="2186"/>
      <c r="H98" s="2188"/>
      <c r="I98" s="2190"/>
      <c r="J98" s="2193"/>
      <c r="K98" s="2176"/>
      <c r="L98" s="1590"/>
      <c r="M98" s="1590"/>
      <c r="N98" s="1590"/>
      <c r="O98" s="1590"/>
      <c r="P98" s="1590"/>
      <c r="Q98" s="1590"/>
      <c r="R98" s="1590"/>
      <c r="S98" s="550"/>
      <c r="T98" s="550"/>
      <c r="U98" s="550"/>
      <c r="V98" s="550"/>
      <c r="W98" s="1591"/>
      <c r="X98" s="1548"/>
      <c r="Y98" s="1548"/>
      <c r="Z98" s="1548"/>
      <c r="AA98" s="1548"/>
      <c r="AB98" s="1548"/>
      <c r="AC98" s="485"/>
      <c r="AD98" s="485"/>
      <c r="AE98" s="485"/>
      <c r="AF98" s="485"/>
      <c r="AG98" s="485"/>
      <c r="AH98" s="485"/>
      <c r="AI98" s="485"/>
      <c r="AJ98" s="485"/>
      <c r="AK98" s="485"/>
      <c r="AL98" s="485"/>
      <c r="AM98" s="485"/>
      <c r="AN98" s="485"/>
      <c r="AO98" s="485"/>
      <c r="AP98" s="485"/>
      <c r="AQ98" s="485"/>
    </row>
    <row s="10859" customFormat="1" customHeight="1" ht="17.25" hidden="1">
      <c r="A99" s="539"/>
      <c r="C99" s="538"/>
      <c r="D99" s="2179"/>
      <c r="E99" s="2181"/>
      <c r="F99" s="2184"/>
      <c r="G99" s="2186"/>
      <c r="H99" s="1593"/>
      <c r="I99" s="1594"/>
      <c r="J99" s="1594"/>
      <c r="K99" s="1594"/>
      <c r="L99" s="1594"/>
      <c r="M99" s="1594"/>
      <c r="N99" s="1594"/>
      <c r="O99" s="1594"/>
      <c r="P99" s="1594"/>
      <c r="Q99" s="1594"/>
      <c r="R99" s="1594"/>
      <c r="S99" s="1595"/>
      <c r="T99" s="1595"/>
      <c r="U99" s="1595"/>
      <c r="V99" s="1595"/>
      <c r="W99" s="1596"/>
      <c r="X99" s="1548"/>
      <c r="Y99" s="1548"/>
      <c r="Z99" s="1548"/>
      <c r="AA99" s="1548"/>
      <c r="AB99" s="1548"/>
      <c r="AC99" s="485"/>
      <c r="AD99" s="485"/>
      <c r="AE99" s="485"/>
      <c r="AF99" s="485"/>
      <c r="AG99" s="485"/>
      <c r="AH99" s="485"/>
      <c r="AI99" s="485"/>
      <c r="AJ99" s="485"/>
      <c r="AK99" s="485"/>
      <c r="AL99" s="485"/>
      <c r="AM99" s="485"/>
      <c r="AN99" s="485"/>
      <c r="AO99" s="485"/>
      <c r="AP99" s="485"/>
      <c r="AQ99" s="485"/>
    </row>
    <row s="10859" customFormat="1" customHeight="1" ht="17.25" hidden="1">
      <c r="A100" s="539"/>
      <c r="C100" s="417"/>
      <c r="D100" s="2178">
        <v>3</v>
      </c>
      <c r="E100" s="2180" t="s">
        <v>321</v>
      </c>
      <c r="F100" s="2182" t="s">
        <v>57</v>
      </c>
      <c r="G100" s="2185"/>
      <c r="H100" s="2187"/>
      <c r="I100" s="2189"/>
      <c r="J100" s="2191"/>
      <c r="K100" s="2175"/>
      <c r="L100" s="2170"/>
      <c r="M100" s="2170"/>
      <c r="N100" s="2172"/>
      <c r="O100" s="2175"/>
      <c r="P100" s="2170"/>
      <c r="Q100" s="2170"/>
      <c r="R100" s="2177"/>
      <c r="S100" s="2175"/>
      <c r="T100" s="1767"/>
      <c r="U100" s="1767"/>
      <c r="V100" s="1769"/>
      <c r="W100" s="1589"/>
      <c r="X100" s="1556"/>
      <c r="Y100" s="1556"/>
      <c r="Z100" s="1556"/>
      <c r="AA100" s="1556"/>
      <c r="AB100" s="1556"/>
      <c r="AC100" s="1638" t="s">
        <v>322</v>
      </c>
      <c r="AD100" s="1638" t="s">
        <v>323</v>
      </c>
      <c r="AE100" s="1638" t="s">
        <v>324</v>
      </c>
      <c r="AF100" s="1638" t="s">
        <v>325</v>
      </c>
      <c r="AG100" s="1638"/>
      <c r="AH100" s="1638" t="str">
        <f>IF($E$100=0,"",$E$100)</f>
        <v>Тариф на подключение (технологическое присоединение) к централизованной системе горячего водоснабжения</v>
      </c>
      <c r="AI100" s="1638" t="str">
        <f>IF($G$100=0,"",$G$100)</f>
        <v/>
      </c>
      <c r="AJ100" s="1638" t="str">
        <f>IF($J$100=0,"",$J$100)</f>
        <v/>
      </c>
      <c r="AK100" s="1638" t="str">
        <f>IF($K$100="нет","без дифференциации",IF($N$100=0,"",$N$100))</f>
        <v/>
      </c>
      <c r="AL100" s="1638" t="str">
        <f>IF($O$100="нет","без дифференциации",IF($R$100=0,"",$R$100))</f>
        <v/>
      </c>
      <c r="AM100" s="1638" t="str">
        <f>IF($S$100="нет","без дифференциации",IF($V$100=0,"",$V$100))</f>
        <v/>
      </c>
      <c r="AN100" s="1817">
        <f>$I$100</f>
        <v>0</v>
      </c>
      <c r="AO100" s="1638" t="str">
        <f>$I$100&amp;"."&amp;$M$100</f>
        <v>.</v>
      </c>
      <c r="AP100" s="485" t="str">
        <f>$I$100&amp;"."&amp;$M$100&amp;"."&amp;$Q$100</f>
        <v>..</v>
      </c>
      <c r="AQ100" s="485" t="str">
        <f>$I$100&amp;"."&amp;$M$100&amp;"."&amp;$Q$100&amp;"."&amp;$U$100</f>
        <v>...</v>
      </c>
    </row>
    <row s="10859" customFormat="1" customHeight="1" ht="17.25" hidden="1">
      <c r="A101" s="539"/>
      <c r="C101" s="538"/>
      <c r="D101" s="2178"/>
      <c r="E101" s="2180"/>
      <c r="F101" s="2183"/>
      <c r="G101" s="2185"/>
      <c r="H101" s="2188"/>
      <c r="I101" s="2190"/>
      <c r="J101" s="2192"/>
      <c r="K101" s="2176"/>
      <c r="L101" s="2171"/>
      <c r="M101" s="2171"/>
      <c r="N101" s="2173"/>
      <c r="O101" s="2176"/>
      <c r="P101" s="2171"/>
      <c r="Q101" s="2171"/>
      <c r="R101" s="2174"/>
      <c r="S101" s="2176"/>
      <c r="T101" s="1590"/>
      <c r="U101" s="1590"/>
      <c r="V101" s="1590"/>
      <c r="W101" s="1591"/>
      <c r="X101" s="1548"/>
      <c r="Y101" s="1548"/>
      <c r="Z101" s="1548"/>
      <c r="AA101" s="1548"/>
      <c r="AB101" s="1548"/>
      <c r="AC101" s="485"/>
      <c r="AD101" s="485"/>
      <c r="AE101" s="485"/>
      <c r="AF101" s="485"/>
      <c r="AG101" s="485"/>
      <c r="AH101" s="485"/>
      <c r="AI101" s="485"/>
      <c r="AJ101" s="485"/>
      <c r="AK101" s="485"/>
      <c r="AL101" s="485"/>
      <c r="AM101" s="485"/>
      <c r="AN101" s="485"/>
      <c r="AO101" s="485"/>
      <c r="AP101" s="485"/>
      <c r="AQ101" s="485"/>
    </row>
    <row s="10859" customFormat="1" customHeight="1" ht="17.25" hidden="1">
      <c r="A102" s="539"/>
      <c r="C102" s="538"/>
      <c r="D102" s="2179"/>
      <c r="E102" s="2181"/>
      <c r="F102" s="2183"/>
      <c r="G102" s="2186"/>
      <c r="H102" s="2188"/>
      <c r="I102" s="2190"/>
      <c r="J102" s="2193"/>
      <c r="K102" s="2176"/>
      <c r="L102" s="2171"/>
      <c r="M102" s="2171"/>
      <c r="N102" s="2174"/>
      <c r="O102" s="2176"/>
      <c r="P102" s="1768"/>
      <c r="Q102" s="1590"/>
      <c r="R102" s="1590"/>
      <c r="S102" s="550"/>
      <c r="T102" s="550"/>
      <c r="U102" s="550"/>
      <c r="V102" s="550"/>
      <c r="W102" s="1591"/>
      <c r="X102" s="1548"/>
      <c r="Y102" s="1548"/>
      <c r="Z102" s="1548"/>
      <c r="AA102" s="1548"/>
      <c r="AB102" s="1548"/>
      <c r="AC102" s="485"/>
      <c r="AD102" s="485"/>
      <c r="AE102" s="485"/>
      <c r="AF102" s="485"/>
      <c r="AG102" s="485"/>
      <c r="AH102" s="485"/>
      <c r="AI102" s="485"/>
      <c r="AJ102" s="485"/>
      <c r="AK102" s="485"/>
      <c r="AL102" s="485"/>
      <c r="AM102" s="485"/>
      <c r="AN102" s="485"/>
      <c r="AO102" s="485"/>
      <c r="AP102" s="485"/>
      <c r="AQ102" s="485"/>
    </row>
    <row s="10859" customFormat="1" customHeight="1" ht="17.25" hidden="1">
      <c r="A103" s="539"/>
      <c r="C103" s="538"/>
      <c r="D103" s="2179"/>
      <c r="E103" s="2181"/>
      <c r="F103" s="2183"/>
      <c r="G103" s="2186"/>
      <c r="H103" s="2188"/>
      <c r="I103" s="2190"/>
      <c r="J103" s="2193"/>
      <c r="K103" s="2176"/>
      <c r="L103" s="1590"/>
      <c r="M103" s="1590"/>
      <c r="N103" s="1590"/>
      <c r="O103" s="1590"/>
      <c r="P103" s="1590"/>
      <c r="Q103" s="1590"/>
      <c r="R103" s="1590"/>
      <c r="S103" s="550"/>
      <c r="T103" s="550"/>
      <c r="U103" s="550"/>
      <c r="V103" s="550"/>
      <c r="W103" s="1591"/>
      <c r="X103" s="1548"/>
      <c r="Y103" s="1548"/>
      <c r="Z103" s="1548"/>
      <c r="AA103" s="1548"/>
      <c r="AB103" s="1548"/>
      <c r="AC103" s="485"/>
      <c r="AD103" s="485"/>
      <c r="AE103" s="485"/>
      <c r="AF103" s="485"/>
      <c r="AG103" s="485"/>
      <c r="AH103" s="485"/>
      <c r="AI103" s="485"/>
      <c r="AJ103" s="485"/>
      <c r="AK103" s="485"/>
      <c r="AL103" s="485"/>
      <c r="AM103" s="485"/>
      <c r="AN103" s="485"/>
      <c r="AO103" s="485"/>
      <c r="AP103" s="485"/>
      <c r="AQ103" s="485"/>
    </row>
    <row s="10859" customFormat="1" customHeight="1" ht="17.25" hidden="1">
      <c r="A104" s="539"/>
      <c r="C104" s="538"/>
      <c r="D104" s="2179"/>
      <c r="E104" s="2181"/>
      <c r="F104" s="2184"/>
      <c r="G104" s="2186"/>
      <c r="H104" s="1593"/>
      <c r="I104" s="1594"/>
      <c r="J104" s="1594"/>
      <c r="K104" s="1594"/>
      <c r="L104" s="1594"/>
      <c r="M104" s="1594"/>
      <c r="N104" s="1594"/>
      <c r="O104" s="1594"/>
      <c r="P104" s="1594"/>
      <c r="Q104" s="1594"/>
      <c r="R104" s="1594"/>
      <c r="S104" s="1595"/>
      <c r="T104" s="1595"/>
      <c r="U104" s="1595"/>
      <c r="V104" s="1595"/>
      <c r="W104" s="1596"/>
      <c r="X104" s="1548"/>
      <c r="Y104" s="1548"/>
      <c r="Z104" s="1548"/>
      <c r="AA104" s="1548"/>
      <c r="AB104" s="1548"/>
      <c r="AC104" s="485"/>
      <c r="AD104" s="485"/>
      <c r="AE104" s="485"/>
      <c r="AF104" s="485"/>
      <c r="AG104" s="485"/>
      <c r="AH104" s="485"/>
      <c r="AI104" s="485"/>
      <c r="AJ104" s="485"/>
      <c r="AK104" s="485"/>
      <c r="AL104" s="485"/>
      <c r="AM104" s="485"/>
      <c r="AN104" s="485"/>
      <c r="AO104" s="485"/>
      <c r="AP104" s="485"/>
      <c r="AQ104" s="485"/>
    </row>
    <row s="10859" customFormat="1" customHeight="1" ht="11.25" hidden="1">
      <c r="A105" s="485"/>
      <c r="B105" s="485"/>
      <c r="Y105" s="1548"/>
      <c r="Z105" s="1548"/>
      <c r="AA105" s="1548"/>
      <c r="AB105" s="1548"/>
      <c r="AC105" s="485"/>
      <c r="AD105" s="485"/>
      <c r="AE105" s="485"/>
      <c r="AF105" s="485"/>
      <c r="AG105" s="485"/>
      <c r="AH105" s="485"/>
      <c r="AI105" s="485"/>
      <c r="AJ105" s="485"/>
      <c r="AK105" s="485"/>
      <c r="AL105" s="485"/>
      <c r="AM105" s="485"/>
      <c r="AN105" s="485"/>
      <c r="AO105" s="485"/>
      <c r="AP105" s="485"/>
      <c r="AQ105" s="485"/>
    </row>
    <row s="10859" customFormat="1" customHeight="1" ht="17.25" hidden="1">
      <c r="A106" s="539"/>
      <c r="C106" s="417"/>
      <c r="D106" s="2178">
        <v>1</v>
      </c>
      <c r="E106" s="2180" t="s">
        <v>326</v>
      </c>
      <c r="F106" s="2182" t="s">
        <v>57</v>
      </c>
      <c r="G106" s="2185"/>
      <c r="H106" s="2187"/>
      <c r="I106" s="2189"/>
      <c r="J106" s="2191"/>
      <c r="K106" s="2175"/>
      <c r="L106" s="2170"/>
      <c r="M106" s="2170"/>
      <c r="N106" s="2172"/>
      <c r="O106" s="2175"/>
      <c r="P106" s="2170"/>
      <c r="Q106" s="2170"/>
      <c r="R106" s="2177"/>
      <c r="S106" s="2175"/>
      <c r="T106" s="1767"/>
      <c r="U106" s="1767"/>
      <c r="V106" s="1769"/>
      <c r="W106" s="1589"/>
      <c r="Y106" s="1556"/>
      <c r="Z106" s="1556"/>
      <c r="AA106" s="1556"/>
      <c r="AB106" s="1556"/>
      <c r="AC106" s="1638" t="s">
        <v>327</v>
      </c>
      <c r="AD106" s="1638" t="s">
        <v>328</v>
      </c>
      <c r="AE106" s="1638" t="s">
        <v>329</v>
      </c>
      <c r="AF106" s="1638" t="s">
        <v>330</v>
      </c>
      <c r="AG106" s="1638"/>
      <c r="AH106" s="1638" t="str">
        <f>IF($E$106=0,"",$E$106)</f>
        <v>Тариф на водоотведение</v>
      </c>
      <c r="AI106" s="1638" t="str">
        <f>IF($G$106=0,"",$G$106)</f>
        <v/>
      </c>
      <c r="AJ106" s="1638" t="str">
        <f>IF($J$106=0,"",$J$106)</f>
        <v/>
      </c>
      <c r="AK106" s="1638" t="str">
        <f>IF($K$106="нет","без дифференциации",IF($N$106=0,"",$N$106))</f>
        <v/>
      </c>
      <c r="AL106" s="1638" t="str">
        <f>IF($O$106="нет","без дифференциации",IF($R$106=0,"",$R$106))</f>
        <v/>
      </c>
      <c r="AM106" s="1638" t="str">
        <f>IF($S$106="нет","без дифференциации",IF($V$106=0,"",$V$106))</f>
        <v/>
      </c>
      <c r="AN106" s="1638">
        <f>$I$106</f>
        <v>0</v>
      </c>
      <c r="AO106" s="1638" t="str">
        <f>$I$106&amp;"."&amp;$M$106</f>
        <v>.</v>
      </c>
      <c r="AP106" s="1638" t="str">
        <f>$I$106&amp;"."&amp;$M$106&amp;"."&amp;$Q$106</f>
        <v>..</v>
      </c>
      <c r="AQ106" s="1638" t="str">
        <f>$I$106&amp;"."&amp;$M$106&amp;"."&amp;$Q$106&amp;"."&amp;$U$106</f>
        <v>...</v>
      </c>
    </row>
    <row s="10859" customFormat="1" customHeight="1" ht="17.25" hidden="1">
      <c r="A107" s="539"/>
      <c r="C107" s="538"/>
      <c r="D107" s="2178"/>
      <c r="E107" s="2180"/>
      <c r="F107" s="2183"/>
      <c r="G107" s="2185"/>
      <c r="H107" s="2188"/>
      <c r="I107" s="2190"/>
      <c r="J107" s="2192"/>
      <c r="K107" s="2176"/>
      <c r="L107" s="2171"/>
      <c r="M107" s="2171"/>
      <c r="N107" s="2173"/>
      <c r="O107" s="2176"/>
      <c r="P107" s="2171"/>
      <c r="Q107" s="2171"/>
      <c r="R107" s="2174"/>
      <c r="S107" s="2176"/>
      <c r="T107" s="1590"/>
      <c r="U107" s="1590"/>
      <c r="V107" s="1590"/>
      <c r="W107" s="1591"/>
      <c r="Y107" s="1548"/>
      <c r="Z107" s="1548"/>
      <c r="AA107" s="1548"/>
      <c r="AB107" s="1548"/>
      <c r="AC107" s="485"/>
      <c r="AD107" s="485"/>
      <c r="AE107" s="485"/>
      <c r="AF107" s="485"/>
      <c r="AG107" s="485"/>
      <c r="AH107" s="485"/>
      <c r="AI107" s="485"/>
      <c r="AJ107" s="485"/>
      <c r="AK107" s="485"/>
      <c r="AL107" s="485"/>
      <c r="AM107" s="485"/>
      <c r="AN107" s="485"/>
      <c r="AO107" s="485"/>
      <c r="AP107" s="485"/>
      <c r="AQ107" s="485"/>
    </row>
    <row s="10859" customFormat="1" customHeight="1" ht="17.25" hidden="1">
      <c r="A108" s="539"/>
      <c r="C108" s="417"/>
      <c r="D108" s="2178"/>
      <c r="E108" s="2180"/>
      <c r="F108" s="2183"/>
      <c r="G108" s="2185"/>
      <c r="H108" s="2188"/>
      <c r="I108" s="2190"/>
      <c r="J108" s="2193"/>
      <c r="K108" s="2176"/>
      <c r="L108" s="2171"/>
      <c r="M108" s="2171"/>
      <c r="N108" s="2174"/>
      <c r="O108" s="2176"/>
      <c r="P108" s="1768"/>
      <c r="Q108" s="1590"/>
      <c r="R108" s="1590"/>
      <c r="S108" s="550"/>
      <c r="T108" s="550"/>
      <c r="U108" s="550"/>
      <c r="V108" s="550"/>
      <c r="W108" s="1591"/>
      <c r="Y108" s="1556"/>
      <c r="Z108" s="1556"/>
      <c r="AA108" s="1556"/>
      <c r="AB108" s="1556"/>
      <c r="AC108" s="1638"/>
      <c r="AD108" s="1638"/>
      <c r="AE108" s="1638"/>
      <c r="AF108" s="1638"/>
      <c r="AG108" s="1638"/>
      <c r="AH108" s="1638"/>
      <c r="AI108" s="1638"/>
      <c r="AJ108" s="1638"/>
      <c r="AK108" s="1638"/>
      <c r="AL108" s="1638"/>
      <c r="AM108" s="1638"/>
      <c r="AN108" s="1638"/>
      <c r="AO108" s="1638"/>
      <c r="AP108" s="1638"/>
      <c r="AQ108" s="1638"/>
    </row>
    <row s="10859" customFormat="1" customHeight="1" ht="17.25" hidden="1">
      <c r="A109" s="539"/>
      <c r="C109" s="538"/>
      <c r="D109" s="2178"/>
      <c r="E109" s="2180"/>
      <c r="F109" s="2183"/>
      <c r="G109" s="2185"/>
      <c r="H109" s="2188"/>
      <c r="I109" s="2190"/>
      <c r="J109" s="2193"/>
      <c r="K109" s="2176"/>
      <c r="L109" s="1590"/>
      <c r="M109" s="1590"/>
      <c r="N109" s="1590"/>
      <c r="O109" s="1590"/>
      <c r="P109" s="1590"/>
      <c r="Q109" s="1590"/>
      <c r="R109" s="1590"/>
      <c r="S109" s="550"/>
      <c r="T109" s="550"/>
      <c r="U109" s="550"/>
      <c r="V109" s="550"/>
      <c r="W109" s="1591"/>
      <c r="Y109" s="1548"/>
      <c r="Z109" s="1548"/>
      <c r="AA109" s="1548"/>
      <c r="AB109" s="1548"/>
      <c r="AC109" s="485"/>
      <c r="AD109" s="485"/>
      <c r="AE109" s="485"/>
      <c r="AF109" s="485"/>
      <c r="AG109" s="485"/>
      <c r="AH109" s="485"/>
      <c r="AI109" s="485"/>
      <c r="AJ109" s="485"/>
      <c r="AK109" s="485"/>
      <c r="AL109" s="485"/>
      <c r="AM109" s="485"/>
      <c r="AN109" s="485"/>
      <c r="AO109" s="485"/>
      <c r="AP109" s="485"/>
      <c r="AQ109" s="485"/>
    </row>
    <row s="10859" customFormat="1" customHeight="1" ht="17.25" hidden="1">
      <c r="A110" s="539"/>
      <c r="C110" s="538"/>
      <c r="D110" s="2179"/>
      <c r="E110" s="2181"/>
      <c r="F110" s="2184"/>
      <c r="G110" s="2186"/>
      <c r="H110" s="1593"/>
      <c r="I110" s="1594"/>
      <c r="J110" s="1594"/>
      <c r="K110" s="1594"/>
      <c r="L110" s="1594"/>
      <c r="M110" s="1594"/>
      <c r="N110" s="1594"/>
      <c r="O110" s="1594"/>
      <c r="P110" s="1594"/>
      <c r="Q110" s="1594"/>
      <c r="R110" s="1594"/>
      <c r="S110" s="1595"/>
      <c r="T110" s="1595"/>
      <c r="U110" s="1595"/>
      <c r="V110" s="1595"/>
      <c r="W110" s="1596"/>
      <c r="Y110" s="1548"/>
      <c r="Z110" s="1548"/>
      <c r="AA110" s="1548"/>
      <c r="AB110" s="1548"/>
      <c r="AC110" s="485"/>
      <c r="AD110" s="485"/>
      <c r="AE110" s="485"/>
      <c r="AF110" s="485"/>
      <c r="AG110" s="485"/>
      <c r="AH110" s="485"/>
      <c r="AI110" s="485"/>
      <c r="AJ110" s="485"/>
      <c r="AK110" s="485"/>
      <c r="AL110" s="485"/>
      <c r="AM110" s="485"/>
      <c r="AN110" s="485"/>
      <c r="AO110" s="485"/>
      <c r="AP110" s="485"/>
      <c r="AQ110" s="485"/>
    </row>
    <row s="10859" customFormat="1" customHeight="1" ht="17.25" hidden="1">
      <c r="A111" s="539"/>
      <c r="C111" s="417"/>
      <c r="D111" s="2178">
        <v>2</v>
      </c>
      <c r="E111" s="2180" t="s">
        <v>331</v>
      </c>
      <c r="F111" s="2182" t="s">
        <v>57</v>
      </c>
      <c r="G111" s="2185"/>
      <c r="H111" s="2187"/>
      <c r="I111" s="2189"/>
      <c r="J111" s="2191"/>
      <c r="K111" s="2175"/>
      <c r="L111" s="2170"/>
      <c r="M111" s="2170"/>
      <c r="N111" s="2172"/>
      <c r="O111" s="2175"/>
      <c r="P111" s="2170"/>
      <c r="Q111" s="2170"/>
      <c r="R111" s="2177"/>
      <c r="S111" s="2175"/>
      <c r="T111" s="1767"/>
      <c r="U111" s="1767"/>
      <c r="V111" s="1769"/>
      <c r="W111" s="1589"/>
      <c r="X111" s="1556"/>
      <c r="Y111" s="1556"/>
      <c r="Z111" s="1556"/>
      <c r="AA111" s="1556"/>
      <c r="AB111" s="1556"/>
      <c r="AC111" s="1638" t="s">
        <v>332</v>
      </c>
      <c r="AD111" s="1638" t="s">
        <v>333</v>
      </c>
      <c r="AE111" s="1638" t="s">
        <v>334</v>
      </c>
      <c r="AF111" s="1638" t="s">
        <v>335</v>
      </c>
      <c r="AG111" s="1638"/>
      <c r="AH111" s="1638" t="str">
        <f>IF($E$111=0,"",$E$111)</f>
        <v>Тариф на транспортировку сточных вод</v>
      </c>
      <c r="AI111" s="1638" t="str">
        <f>IF($G$111=0,"",$G$111)</f>
        <v/>
      </c>
      <c r="AJ111" s="1638" t="str">
        <f>IF($J$111=0,"",$J$111)</f>
        <v/>
      </c>
      <c r="AK111" s="1638" t="str">
        <f>IF($K$111="нет","без дифференциации",IF($N$111=0,"",$N$111))</f>
        <v/>
      </c>
      <c r="AL111" s="1638" t="str">
        <f>IF($O$111="нет","без дифференциации",IF($R$111=0,"",$R$111))</f>
        <v/>
      </c>
      <c r="AM111" s="1638" t="str">
        <f>IF($S$111="нет","без дифференциации",IF($V$111=0,"",$V$111))</f>
        <v/>
      </c>
      <c r="AN111" s="1817">
        <f>$I$111</f>
        <v>0</v>
      </c>
      <c r="AO111" s="1638" t="str">
        <f>$I$111&amp;"."&amp;$M$111</f>
        <v>.</v>
      </c>
      <c r="AP111" s="485" t="str">
        <f>$I$111&amp;"."&amp;$M$111&amp;"."&amp;$Q$111</f>
        <v>..</v>
      </c>
      <c r="AQ111" s="485" t="str">
        <f>$I$111&amp;"."&amp;$M$111&amp;"."&amp;$Q$111&amp;"."&amp;$U$111</f>
        <v>...</v>
      </c>
    </row>
    <row s="10859" customFormat="1" customHeight="1" ht="17.25" hidden="1">
      <c r="A112" s="539"/>
      <c r="C112" s="538"/>
      <c r="D112" s="2178"/>
      <c r="E112" s="2180"/>
      <c r="F112" s="2183"/>
      <c r="G112" s="2185"/>
      <c r="H112" s="2188"/>
      <c r="I112" s="2190"/>
      <c r="J112" s="2192"/>
      <c r="K112" s="2176"/>
      <c r="L112" s="2171"/>
      <c r="M112" s="2171"/>
      <c r="N112" s="2173"/>
      <c r="O112" s="2176"/>
      <c r="P112" s="2171"/>
      <c r="Q112" s="2171"/>
      <c r="R112" s="2174"/>
      <c r="S112" s="2176"/>
      <c r="T112" s="1590"/>
      <c r="U112" s="1590"/>
      <c r="V112" s="1590"/>
      <c r="W112" s="1591"/>
      <c r="X112" s="1548"/>
      <c r="Y112" s="1548"/>
      <c r="Z112" s="1548"/>
      <c r="AA112" s="1548"/>
      <c r="AB112" s="1548"/>
      <c r="AC112" s="485"/>
      <c r="AD112" s="485"/>
      <c r="AE112" s="485"/>
      <c r="AF112" s="485"/>
      <c r="AG112" s="485"/>
      <c r="AH112" s="485"/>
      <c r="AI112" s="485"/>
      <c r="AJ112" s="485"/>
      <c r="AK112" s="485"/>
      <c r="AL112" s="485"/>
      <c r="AM112" s="485"/>
      <c r="AN112" s="485"/>
      <c r="AO112" s="485"/>
      <c r="AP112" s="485"/>
      <c r="AQ112" s="485"/>
    </row>
    <row s="10859" customFormat="1" customHeight="1" ht="17.25" hidden="1">
      <c r="A113" s="539"/>
      <c r="C113" s="538"/>
      <c r="D113" s="2179"/>
      <c r="E113" s="2181"/>
      <c r="F113" s="2183"/>
      <c r="G113" s="2186"/>
      <c r="H113" s="2188"/>
      <c r="I113" s="2190"/>
      <c r="J113" s="2193"/>
      <c r="K113" s="2176"/>
      <c r="L113" s="2171"/>
      <c r="M113" s="2171"/>
      <c r="N113" s="2174"/>
      <c r="O113" s="2176"/>
      <c r="P113" s="1768"/>
      <c r="Q113" s="1590"/>
      <c r="R113" s="1590"/>
      <c r="S113" s="550"/>
      <c r="T113" s="550"/>
      <c r="U113" s="550"/>
      <c r="V113" s="550"/>
      <c r="W113" s="1591"/>
      <c r="X113" s="1548"/>
      <c r="Y113" s="1548"/>
      <c r="Z113" s="1548"/>
      <c r="AA113" s="1548"/>
      <c r="AB113" s="1548"/>
      <c r="AC113" s="485"/>
      <c r="AD113" s="485"/>
      <c r="AE113" s="485"/>
      <c r="AF113" s="485"/>
      <c r="AG113" s="485"/>
      <c r="AH113" s="485"/>
      <c r="AI113" s="485"/>
      <c r="AJ113" s="485"/>
      <c r="AK113" s="485"/>
      <c r="AL113" s="485"/>
      <c r="AM113" s="485"/>
      <c r="AN113" s="485"/>
      <c r="AO113" s="485"/>
      <c r="AP113" s="485"/>
      <c r="AQ113" s="485"/>
    </row>
    <row s="10859" customFormat="1" customHeight="1" ht="17.25" hidden="1">
      <c r="A114" s="539"/>
      <c r="C114" s="538"/>
      <c r="D114" s="2179"/>
      <c r="E114" s="2181"/>
      <c r="F114" s="2183"/>
      <c r="G114" s="2186"/>
      <c r="H114" s="2188"/>
      <c r="I114" s="2190"/>
      <c r="J114" s="2193"/>
      <c r="K114" s="2176"/>
      <c r="L114" s="1590"/>
      <c r="M114" s="1590"/>
      <c r="N114" s="1590"/>
      <c r="O114" s="1590"/>
      <c r="P114" s="1590"/>
      <c r="Q114" s="1590"/>
      <c r="R114" s="1590"/>
      <c r="S114" s="550"/>
      <c r="T114" s="550"/>
      <c r="U114" s="550"/>
      <c r="V114" s="550"/>
      <c r="W114" s="1591"/>
      <c r="X114" s="1548"/>
      <c r="Y114" s="1548"/>
      <c r="Z114" s="1548"/>
      <c r="AA114" s="1548"/>
      <c r="AB114" s="1548"/>
      <c r="AC114" s="485"/>
      <c r="AD114" s="485"/>
      <c r="AE114" s="485"/>
      <c r="AF114" s="485"/>
      <c r="AG114" s="485"/>
      <c r="AH114" s="485"/>
      <c r="AI114" s="485"/>
      <c r="AJ114" s="485"/>
      <c r="AK114" s="485"/>
      <c r="AL114" s="485"/>
      <c r="AM114" s="485"/>
      <c r="AN114" s="485"/>
      <c r="AO114" s="485"/>
      <c r="AP114" s="485"/>
      <c r="AQ114" s="485"/>
    </row>
    <row s="10859" customFormat="1" customHeight="1" ht="17.25" hidden="1">
      <c r="A115" s="539"/>
      <c r="C115" s="538"/>
      <c r="D115" s="2179"/>
      <c r="E115" s="2181"/>
      <c r="F115" s="2184"/>
      <c r="G115" s="2186"/>
      <c r="H115" s="1593"/>
      <c r="I115" s="1594"/>
      <c r="J115" s="1594"/>
      <c r="K115" s="1594"/>
      <c r="L115" s="1594"/>
      <c r="M115" s="1594"/>
      <c r="N115" s="1594"/>
      <c r="O115" s="1594"/>
      <c r="P115" s="1594"/>
      <c r="Q115" s="1594"/>
      <c r="R115" s="1594"/>
      <c r="S115" s="1595"/>
      <c r="T115" s="1595"/>
      <c r="U115" s="1595"/>
      <c r="V115" s="1595"/>
      <c r="W115" s="1596"/>
      <c r="X115" s="1548"/>
      <c r="Y115" s="1548"/>
      <c r="Z115" s="1548"/>
      <c r="AA115" s="1548"/>
      <c r="AB115" s="1548"/>
      <c r="AC115" s="485"/>
      <c r="AD115" s="485"/>
      <c r="AE115" s="485"/>
      <c r="AF115" s="485"/>
      <c r="AG115" s="485"/>
      <c r="AH115" s="485"/>
      <c r="AI115" s="485"/>
      <c r="AJ115" s="485"/>
      <c r="AK115" s="485"/>
      <c r="AL115" s="485"/>
      <c r="AM115" s="485"/>
      <c r="AN115" s="485"/>
      <c r="AO115" s="485"/>
      <c r="AP115" s="485"/>
      <c r="AQ115" s="485"/>
    </row>
    <row s="10859" customFormat="1" customHeight="1" ht="17.25" hidden="1">
      <c r="A116" s="539"/>
      <c r="C116" s="417"/>
      <c r="D116" s="2178">
        <v>3</v>
      </c>
      <c r="E116" s="2180" t="s">
        <v>336</v>
      </c>
      <c r="F116" s="2182" t="s">
        <v>57</v>
      </c>
      <c r="G116" s="2185"/>
      <c r="H116" s="2187"/>
      <c r="I116" s="2189"/>
      <c r="J116" s="2191"/>
      <c r="K116" s="2175"/>
      <c r="L116" s="2170"/>
      <c r="M116" s="2170"/>
      <c r="N116" s="2172"/>
      <c r="O116" s="2175"/>
      <c r="P116" s="2170"/>
      <c r="Q116" s="2170"/>
      <c r="R116" s="2177"/>
      <c r="S116" s="2175"/>
      <c r="T116" s="1767"/>
      <c r="U116" s="1767"/>
      <c r="V116" s="1769"/>
      <c r="W116" s="1589"/>
      <c r="X116" s="1556"/>
      <c r="Y116" s="1556"/>
      <c r="Z116" s="1556"/>
      <c r="AA116" s="1556"/>
      <c r="AB116" s="1556"/>
      <c r="AC116" s="1638" t="s">
        <v>337</v>
      </c>
      <c r="AD116" s="1638" t="s">
        <v>338</v>
      </c>
      <c r="AE116" s="1638" t="s">
        <v>339</v>
      </c>
      <c r="AF116" s="1638" t="s">
        <v>340</v>
      </c>
      <c r="AG116" s="1638"/>
      <c r="AH116" s="1638" t="str">
        <f>IF($E$116=0,"",$E$116)</f>
        <v>Тариф на подключение (технологическое присоединение) к централизованной системе водоотведения</v>
      </c>
      <c r="AI116" s="1638" t="str">
        <f>IF($G$116=0,"",$G$116)</f>
        <v/>
      </c>
      <c r="AJ116" s="1638" t="str">
        <f>IF($J$116=0,"",$J$116)</f>
        <v/>
      </c>
      <c r="AK116" s="1638" t="str">
        <f>IF($K$116="нет","без дифференциации",IF($N$116=0,"",$N$116))</f>
        <v/>
      </c>
      <c r="AL116" s="1638" t="str">
        <f>IF($O$116="нет","без дифференциации",IF($R$116=0,"",$R$116))</f>
        <v/>
      </c>
      <c r="AM116" s="1638" t="str">
        <f>IF($S$116="нет","без дифференциации",IF($V$116=0,"",$V$116))</f>
        <v/>
      </c>
      <c r="AN116" s="1817">
        <f>$I$116</f>
        <v>0</v>
      </c>
      <c r="AO116" s="1638" t="str">
        <f>$I$116&amp;"."&amp;$M$116</f>
        <v>.</v>
      </c>
      <c r="AP116" s="485" t="str">
        <f>$I$116&amp;"."&amp;$M$116&amp;"."&amp;$Q$116</f>
        <v>..</v>
      </c>
      <c r="AQ116" s="485" t="str">
        <f>$I$116&amp;"."&amp;$M$116&amp;"."&amp;$Q$116&amp;"."&amp;$U$116</f>
        <v>...</v>
      </c>
    </row>
    <row s="10859" customFormat="1" customHeight="1" ht="17.25" hidden="1">
      <c r="A117" s="539"/>
      <c r="C117" s="538"/>
      <c r="D117" s="2178"/>
      <c r="E117" s="2180"/>
      <c r="F117" s="2183"/>
      <c r="G117" s="2185"/>
      <c r="H117" s="2188"/>
      <c r="I117" s="2190"/>
      <c r="J117" s="2192"/>
      <c r="K117" s="2176"/>
      <c r="L117" s="2171"/>
      <c r="M117" s="2171"/>
      <c r="N117" s="2173"/>
      <c r="O117" s="2176"/>
      <c r="P117" s="2171"/>
      <c r="Q117" s="2171"/>
      <c r="R117" s="2174"/>
      <c r="S117" s="2176"/>
      <c r="T117" s="1590"/>
      <c r="U117" s="1590"/>
      <c r="V117" s="1590"/>
      <c r="W117" s="1591"/>
      <c r="X117" s="1548"/>
      <c r="Y117" s="1548"/>
      <c r="Z117" s="1548"/>
      <c r="AA117" s="1548"/>
      <c r="AB117" s="1548"/>
      <c r="AC117" s="485"/>
      <c r="AD117" s="485"/>
      <c r="AE117" s="485"/>
      <c r="AF117" s="485"/>
      <c r="AG117" s="485"/>
      <c r="AH117" s="485"/>
      <c r="AI117" s="485"/>
      <c r="AJ117" s="485"/>
      <c r="AK117" s="485"/>
      <c r="AL117" s="485"/>
      <c r="AM117" s="485"/>
      <c r="AN117" s="485"/>
      <c r="AO117" s="485"/>
      <c r="AP117" s="485"/>
      <c r="AQ117" s="485"/>
    </row>
    <row s="10859" customFormat="1" customHeight="1" ht="17.25" hidden="1">
      <c r="A118" s="539"/>
      <c r="C118" s="538"/>
      <c r="D118" s="2179"/>
      <c r="E118" s="2181"/>
      <c r="F118" s="2183"/>
      <c r="G118" s="2186"/>
      <c r="H118" s="2188"/>
      <c r="I118" s="2190"/>
      <c r="J118" s="2193"/>
      <c r="K118" s="2176"/>
      <c r="L118" s="2171"/>
      <c r="M118" s="2171"/>
      <c r="N118" s="2174"/>
      <c r="O118" s="2176"/>
      <c r="P118" s="1768"/>
      <c r="Q118" s="1590"/>
      <c r="R118" s="1590"/>
      <c r="S118" s="550"/>
      <c r="T118" s="550"/>
      <c r="U118" s="550"/>
      <c r="V118" s="550"/>
      <c r="W118" s="1591"/>
      <c r="X118" s="1548"/>
      <c r="Y118" s="1548"/>
      <c r="Z118" s="1548"/>
      <c r="AA118" s="1548"/>
      <c r="AB118" s="1548"/>
      <c r="AC118" s="485"/>
      <c r="AD118" s="485"/>
      <c r="AE118" s="485"/>
      <c r="AF118" s="485"/>
      <c r="AG118" s="485"/>
      <c r="AH118" s="485"/>
      <c r="AI118" s="485"/>
      <c r="AJ118" s="485"/>
      <c r="AK118" s="485"/>
      <c r="AL118" s="485"/>
      <c r="AM118" s="485"/>
      <c r="AN118" s="485"/>
      <c r="AO118" s="485"/>
      <c r="AP118" s="485"/>
      <c r="AQ118" s="485"/>
    </row>
    <row s="10859" customFormat="1" customHeight="1" ht="17.25" hidden="1">
      <c r="A119" s="539"/>
      <c r="C119" s="538"/>
      <c r="D119" s="2179"/>
      <c r="E119" s="2181"/>
      <c r="F119" s="2183"/>
      <c r="G119" s="2186"/>
      <c r="H119" s="2188"/>
      <c r="I119" s="2190"/>
      <c r="J119" s="2193"/>
      <c r="K119" s="2176"/>
      <c r="L119" s="1590"/>
      <c r="M119" s="1590"/>
      <c r="N119" s="1590"/>
      <c r="O119" s="1590"/>
      <c r="P119" s="1590"/>
      <c r="Q119" s="1590"/>
      <c r="R119" s="1590"/>
      <c r="S119" s="550"/>
      <c r="T119" s="550"/>
      <c r="U119" s="550"/>
      <c r="V119" s="550"/>
      <c r="W119" s="1591"/>
      <c r="X119" s="1548"/>
      <c r="Y119" s="1548"/>
      <c r="Z119" s="1548"/>
      <c r="AA119" s="1548"/>
      <c r="AB119" s="1548"/>
      <c r="AC119" s="485"/>
      <c r="AD119" s="485"/>
      <c r="AE119" s="485"/>
      <c r="AF119" s="485"/>
      <c r="AG119" s="485"/>
      <c r="AH119" s="485"/>
      <c r="AI119" s="485"/>
      <c r="AJ119" s="485"/>
      <c r="AK119" s="485"/>
      <c r="AL119" s="485"/>
      <c r="AM119" s="485"/>
      <c r="AN119" s="485"/>
      <c r="AO119" s="485"/>
      <c r="AP119" s="485"/>
      <c r="AQ119" s="485"/>
    </row>
    <row s="10859" customFormat="1" customHeight="1" ht="17.25" hidden="1">
      <c r="A120" s="539"/>
      <c r="C120" s="538"/>
      <c r="D120" s="2179"/>
      <c r="E120" s="2181"/>
      <c r="F120" s="2184"/>
      <c r="G120" s="2186"/>
      <c r="H120" s="1593"/>
      <c r="I120" s="1594"/>
      <c r="J120" s="1594"/>
      <c r="K120" s="1594"/>
      <c r="L120" s="1594"/>
      <c r="M120" s="1594"/>
      <c r="N120" s="1594"/>
      <c r="O120" s="1594"/>
      <c r="P120" s="1594"/>
      <c r="Q120" s="1594"/>
      <c r="R120" s="1594"/>
      <c r="S120" s="1595"/>
      <c r="T120" s="1595"/>
      <c r="U120" s="1595"/>
      <c r="V120" s="1595"/>
      <c r="W120" s="1596"/>
      <c r="X120" s="1548"/>
      <c r="Y120" s="1548"/>
      <c r="Z120" s="1548"/>
      <c r="AA120" s="1548"/>
      <c r="AB120" s="1548"/>
      <c r="AC120" s="485"/>
      <c r="AD120" s="485"/>
      <c r="AE120" s="485"/>
      <c r="AF120" s="485"/>
      <c r="AG120" s="485"/>
      <c r="AH120" s="485"/>
      <c r="AI120" s="485"/>
      <c r="AJ120" s="485"/>
      <c r="AK120" s="485"/>
      <c r="AL120" s="485"/>
      <c r="AM120" s="485"/>
      <c r="AN120" s="485"/>
      <c r="AO120" s="485"/>
      <c r="AP120" s="485"/>
      <c r="AQ120" s="485"/>
    </row>
    <row customHeight="1" ht="11.25" hidden="1"/>
    <row r="124" customHeight="1" ht="11.25">
      <c r="E124" s="1646"/>
    </row>
    <row customHeight="1" ht="11.25">
      <c r="E125" s="1646"/>
    </row>
    <row customHeight="1" ht="11.25">
      <c r="E126" s="1646"/>
    </row>
    <row customHeight="1" ht="11.25">
      <c r="E127" s="1646"/>
    </row>
    <row customHeight="1" ht="11.25">
      <c r="E128" s="1646"/>
    </row>
    <row customHeight="1" ht="11.25">
      <c r="E129" s="1646"/>
    </row>
    <row customHeight="1" ht="11.25">
      <c r="E130" s="1646"/>
    </row>
  </sheetData>
  <sheetProtection formatColumns="0" formatRows="0" autoFilter="0" sort="0" insertRows="0" insertColumns="1" deleteRows="0" deleteColumns="0"/>
  <mergeCells count="331">
    <mergeCell ref="S111:S112"/>
    <mergeCell ref="D116:D120"/>
    <mergeCell ref="E116:E120"/>
    <mergeCell ref="F116:F120"/>
    <mergeCell ref="G116:G120"/>
    <mergeCell ref="H116:H119"/>
    <mergeCell ref="I116:I119"/>
    <mergeCell ref="J116:J119"/>
    <mergeCell ref="K116:K119"/>
    <mergeCell ref="L116:L118"/>
    <mergeCell ref="M116:M118"/>
    <mergeCell ref="N116:N118"/>
    <mergeCell ref="O116:O118"/>
    <mergeCell ref="P116:P117"/>
    <mergeCell ref="Q116:Q117"/>
    <mergeCell ref="R116:R117"/>
    <mergeCell ref="S116:S117"/>
    <mergeCell ref="D111:D115"/>
    <mergeCell ref="E111:E115"/>
    <mergeCell ref="F111:F115"/>
    <mergeCell ref="G111:G115"/>
    <mergeCell ref="H111:H114"/>
    <mergeCell ref="I111:I114"/>
    <mergeCell ref="J111:J114"/>
    <mergeCell ref="K111:K114"/>
    <mergeCell ref="L111:L113"/>
    <mergeCell ref="H106:H109"/>
    <mergeCell ref="I106:I109"/>
    <mergeCell ref="J106:J109"/>
    <mergeCell ref="K106:K109"/>
    <mergeCell ref="L106:L108"/>
    <mergeCell ref="M106:M108"/>
    <mergeCell ref="N106:N108"/>
    <mergeCell ref="O106:O108"/>
    <mergeCell ref="M111:M113"/>
    <mergeCell ref="N111:N113"/>
    <mergeCell ref="O111:O113"/>
    <mergeCell ref="P106:P107"/>
    <mergeCell ref="Q106:Q107"/>
    <mergeCell ref="R106:R107"/>
    <mergeCell ref="P111:P112"/>
    <mergeCell ref="Q111:Q112"/>
    <mergeCell ref="R111:R112"/>
    <mergeCell ref="S106:S107"/>
    <mergeCell ref="D106:D110"/>
    <mergeCell ref="E106:E110"/>
    <mergeCell ref="F106:F110"/>
    <mergeCell ref="G106:G110"/>
    <mergeCell ref="M95:M97"/>
    <mergeCell ref="N95:N97"/>
    <mergeCell ref="O95:O97"/>
    <mergeCell ref="P95:P96"/>
    <mergeCell ref="Q95:Q96"/>
    <mergeCell ref="R95:R96"/>
    <mergeCell ref="S95:S96"/>
    <mergeCell ref="D100:D104"/>
    <mergeCell ref="E100:E104"/>
    <mergeCell ref="F100:F104"/>
    <mergeCell ref="G100:G104"/>
    <mergeCell ref="H100:H103"/>
    <mergeCell ref="I100:I103"/>
    <mergeCell ref="J100:J103"/>
    <mergeCell ref="K100:K103"/>
    <mergeCell ref="L100:L102"/>
    <mergeCell ref="M100:M102"/>
    <mergeCell ref="N100:N102"/>
    <mergeCell ref="O100:O102"/>
    <mergeCell ref="P100:P101"/>
    <mergeCell ref="Q100:Q101"/>
    <mergeCell ref="R100:R101"/>
    <mergeCell ref="S100:S101"/>
    <mergeCell ref="D95:D99"/>
    <mergeCell ref="E95:E99"/>
    <mergeCell ref="F95:F99"/>
    <mergeCell ref="G95:G99"/>
    <mergeCell ref="H95:H98"/>
    <mergeCell ref="I95:I98"/>
    <mergeCell ref="J95:J98"/>
    <mergeCell ref="K95:K98"/>
    <mergeCell ref="L95:L97"/>
    <mergeCell ref="R13:R14"/>
    <mergeCell ref="S13:S14"/>
    <mergeCell ref="M43:M45"/>
    <mergeCell ref="N43:N45"/>
    <mergeCell ref="O43:O45"/>
    <mergeCell ref="N33:N35"/>
    <mergeCell ref="D90:D94"/>
    <mergeCell ref="E90:E94"/>
    <mergeCell ref="F90:F94"/>
    <mergeCell ref="G90:G94"/>
    <mergeCell ref="H90:H93"/>
    <mergeCell ref="I90:I93"/>
    <mergeCell ref="J90:J93"/>
    <mergeCell ref="K90:K93"/>
    <mergeCell ref="L90:L92"/>
    <mergeCell ref="P48:P49"/>
    <mergeCell ref="Q48:Q49"/>
    <mergeCell ref="R48:R49"/>
    <mergeCell ref="S48:S49"/>
    <mergeCell ref="P43:P44"/>
    <mergeCell ref="Q43:Q44"/>
    <mergeCell ref="R43:R44"/>
    <mergeCell ref="S43:S44"/>
    <mergeCell ref="S23:S24"/>
    <mergeCell ref="S18:S19"/>
    <mergeCell ref="M90:M92"/>
    <mergeCell ref="N90:N92"/>
    <mergeCell ref="O90:O92"/>
    <mergeCell ref="P90:P91"/>
    <mergeCell ref="Q90:Q91"/>
    <mergeCell ref="R90:R91"/>
    <mergeCell ref="S90:S91"/>
    <mergeCell ref="O48:O50"/>
    <mergeCell ref="E62:W62"/>
    <mergeCell ref="E54:W54"/>
    <mergeCell ref="E55:W55"/>
    <mergeCell ref="E56:W56"/>
    <mergeCell ref="E57:W57"/>
    <mergeCell ref="E58:W58"/>
    <mergeCell ref="L64:L66"/>
    <mergeCell ref="M64:M66"/>
    <mergeCell ref="E60:W60"/>
    <mergeCell ref="E61:W61"/>
    <mergeCell ref="K74:K77"/>
    <mergeCell ref="E38:E42"/>
    <mergeCell ref="F38:F42"/>
    <mergeCell ref="H38:H41"/>
    <mergeCell ref="G38:G42"/>
    <mergeCell ref="G28:G32"/>
    <mergeCell ref="K28:K31"/>
    <mergeCell ref="S28:S29"/>
    <mergeCell ref="S33:S34"/>
    <mergeCell ref="S38:S39"/>
    <mergeCell ref="O28:O30"/>
    <mergeCell ref="E33:E37"/>
    <mergeCell ref="F33:F37"/>
    <mergeCell ref="H33:H36"/>
    <mergeCell ref="L28:L30"/>
    <mergeCell ref="M28:M30"/>
    <mergeCell ref="P33:P34"/>
    <mergeCell ref="Q33:Q34"/>
    <mergeCell ref="R33:R34"/>
    <mergeCell ref="P28:P29"/>
    <mergeCell ref="D33:D37"/>
    <mergeCell ref="Q28:Q29"/>
    <mergeCell ref="R28:R29"/>
    <mergeCell ref="D43:D47"/>
    <mergeCell ref="E43:E47"/>
    <mergeCell ref="F43:F47"/>
    <mergeCell ref="G43:G47"/>
    <mergeCell ref="H43:H46"/>
    <mergeCell ref="I43:I46"/>
    <mergeCell ref="J43:J46"/>
    <mergeCell ref="K43:K46"/>
    <mergeCell ref="L43:L45"/>
    <mergeCell ref="D28:D32"/>
    <mergeCell ref="E28:E32"/>
    <mergeCell ref="F28:F32"/>
    <mergeCell ref="H28:H31"/>
    <mergeCell ref="I28:I31"/>
    <mergeCell ref="N28:N30"/>
    <mergeCell ref="P38:P39"/>
    <mergeCell ref="O33:O35"/>
    <mergeCell ref="Q38:Q39"/>
    <mergeCell ref="R38:R39"/>
    <mergeCell ref="O38:O40"/>
    <mergeCell ref="J28:J31"/>
    <mergeCell ref="D48:D52"/>
    <mergeCell ref="E48:E52"/>
    <mergeCell ref="F48:F52"/>
    <mergeCell ref="H48:H51"/>
    <mergeCell ref="N38:N40"/>
    <mergeCell ref="G33:G37"/>
    <mergeCell ref="K33:K36"/>
    <mergeCell ref="G48:G52"/>
    <mergeCell ref="K48:K51"/>
    <mergeCell ref="N48:N50"/>
    <mergeCell ref="I48:I51"/>
    <mergeCell ref="J48:J51"/>
    <mergeCell ref="L48:L50"/>
    <mergeCell ref="M48:M50"/>
    <mergeCell ref="L38:L40"/>
    <mergeCell ref="M38:M40"/>
    <mergeCell ref="K38:K41"/>
    <mergeCell ref="D38:D42"/>
    <mergeCell ref="I38:I41"/>
    <mergeCell ref="J38:J41"/>
    <mergeCell ref="I33:I36"/>
    <mergeCell ref="J33:J36"/>
    <mergeCell ref="L33:L35"/>
    <mergeCell ref="M33:M35"/>
    <mergeCell ref="D18:D22"/>
    <mergeCell ref="E18:E22"/>
    <mergeCell ref="F18:F22"/>
    <mergeCell ref="Q18:Q19"/>
    <mergeCell ref="R18:R19"/>
    <mergeCell ref="M23:M25"/>
    <mergeCell ref="R23:R24"/>
    <mergeCell ref="O23:O25"/>
    <mergeCell ref="H18:H21"/>
    <mergeCell ref="I18:I21"/>
    <mergeCell ref="J18:J21"/>
    <mergeCell ref="D23:D27"/>
    <mergeCell ref="E23:E27"/>
    <mergeCell ref="F23:F27"/>
    <mergeCell ref="H23:H26"/>
    <mergeCell ref="I23:I26"/>
    <mergeCell ref="J23:J26"/>
    <mergeCell ref="G23:G27"/>
    <mergeCell ref="L18:L20"/>
    <mergeCell ref="M18:M20"/>
    <mergeCell ref="N18:N20"/>
    <mergeCell ref="L10:M10"/>
    <mergeCell ref="P10:Q10"/>
    <mergeCell ref="L11:M11"/>
    <mergeCell ref="P11:Q11"/>
    <mergeCell ref="K23:K26"/>
    <mergeCell ref="L23:L25"/>
    <mergeCell ref="P13:P14"/>
    <mergeCell ref="P23:P24"/>
    <mergeCell ref="Q23:Q24"/>
    <mergeCell ref="P18:P19"/>
    <mergeCell ref="O18:O20"/>
    <mergeCell ref="L13:L15"/>
    <mergeCell ref="M13:M15"/>
    <mergeCell ref="N13:N15"/>
    <mergeCell ref="O13:O15"/>
    <mergeCell ref="Q13:Q14"/>
    <mergeCell ref="D5:J5"/>
    <mergeCell ref="D9:D10"/>
    <mergeCell ref="D7:J7"/>
    <mergeCell ref="G9:G10"/>
    <mergeCell ref="H9:I10"/>
    <mergeCell ref="D6:J6"/>
    <mergeCell ref="D13:D17"/>
    <mergeCell ref="E13:E17"/>
    <mergeCell ref="G13:G17"/>
    <mergeCell ref="H13:H16"/>
    <mergeCell ref="J9:J10"/>
    <mergeCell ref="H11:I11"/>
    <mergeCell ref="E9:F9"/>
    <mergeCell ref="F13:F17"/>
    <mergeCell ref="I13:I16"/>
    <mergeCell ref="J13:J16"/>
    <mergeCell ref="W9:W10"/>
    <mergeCell ref="O9:R9"/>
    <mergeCell ref="K9:N9"/>
    <mergeCell ref="T11:U11"/>
    <mergeCell ref="S9:V9"/>
    <mergeCell ref="T10:U10"/>
    <mergeCell ref="D64:D68"/>
    <mergeCell ref="E64:E68"/>
    <mergeCell ref="D69:D73"/>
    <mergeCell ref="E69:E73"/>
    <mergeCell ref="F69:F73"/>
    <mergeCell ref="G69:G73"/>
    <mergeCell ref="H69:H72"/>
    <mergeCell ref="I69:I72"/>
    <mergeCell ref="J69:J72"/>
    <mergeCell ref="F64:F68"/>
    <mergeCell ref="G64:G68"/>
    <mergeCell ref="H64:H67"/>
    <mergeCell ref="I64:I67"/>
    <mergeCell ref="J64:J67"/>
    <mergeCell ref="K13:K16"/>
    <mergeCell ref="G18:G22"/>
    <mergeCell ref="K18:K21"/>
    <mergeCell ref="N23:N25"/>
    <mergeCell ref="L74:L76"/>
    <mergeCell ref="Q69:Q70"/>
    <mergeCell ref="R69:R70"/>
    <mergeCell ref="S69:S70"/>
    <mergeCell ref="K69:K72"/>
    <mergeCell ref="K64:K67"/>
    <mergeCell ref="N69:N71"/>
    <mergeCell ref="O69:O71"/>
    <mergeCell ref="P69:P70"/>
    <mergeCell ref="S74:S75"/>
    <mergeCell ref="N74:N76"/>
    <mergeCell ref="O74:O76"/>
    <mergeCell ref="P74:P75"/>
    <mergeCell ref="Q74:Q75"/>
    <mergeCell ref="R74:R75"/>
    <mergeCell ref="L69:L71"/>
    <mergeCell ref="N64:N66"/>
    <mergeCell ref="O64:O66"/>
    <mergeCell ref="P64:P65"/>
    <mergeCell ref="Q64:Q65"/>
    <mergeCell ref="R64:R65"/>
    <mergeCell ref="S64:S65"/>
    <mergeCell ref="M69:M71"/>
    <mergeCell ref="M79:M81"/>
    <mergeCell ref="N79:N81"/>
    <mergeCell ref="O79:O81"/>
    <mergeCell ref="P79:P80"/>
    <mergeCell ref="Q79:Q80"/>
    <mergeCell ref="R79:R80"/>
    <mergeCell ref="S79:S80"/>
    <mergeCell ref="D74:D78"/>
    <mergeCell ref="E74:E78"/>
    <mergeCell ref="M74:M76"/>
    <mergeCell ref="D79:D83"/>
    <mergeCell ref="E79:E83"/>
    <mergeCell ref="F79:F83"/>
    <mergeCell ref="G79:G83"/>
    <mergeCell ref="H79:H82"/>
    <mergeCell ref="I79:I82"/>
    <mergeCell ref="J79:J82"/>
    <mergeCell ref="K79:K82"/>
    <mergeCell ref="L79:L81"/>
    <mergeCell ref="F74:F78"/>
    <mergeCell ref="G74:G78"/>
    <mergeCell ref="H74:H77"/>
    <mergeCell ref="I74:I77"/>
    <mergeCell ref="J74:J77"/>
    <mergeCell ref="M84:M86"/>
    <mergeCell ref="N84:N86"/>
    <mergeCell ref="O84:O86"/>
    <mergeCell ref="P84:P85"/>
    <mergeCell ref="Q84:Q85"/>
    <mergeCell ref="R84:R85"/>
    <mergeCell ref="S84:S85"/>
    <mergeCell ref="D84:D88"/>
    <mergeCell ref="E84:E88"/>
    <mergeCell ref="F84:F88"/>
    <mergeCell ref="G84:G88"/>
    <mergeCell ref="H84:H87"/>
    <mergeCell ref="I84:I87"/>
    <mergeCell ref="J84:J87"/>
    <mergeCell ref="K84:K87"/>
    <mergeCell ref="L84:L86"/>
  </mergeCells>
  <dataValidations count="4">
    <dataValidation allowBlank="1" showInputMessage="1" showErrorMessage="1" prompt="Для выбора выполните двойной щелчок левой клавиши мыши по соответствующей ячейке." sqref="K33:K34 K13:K14 K43:K44 O43:O44 S43:S44 K18:K19 K38:K39 K23:K24 O33:O34 O18:O19 O38:O39 O23:O24 S33:S34 S18:S19 S38:S39 S23:S24 F13:F52 O13:O14 S13:S14 K28:K29 O28:O29 S28:S29 K64:K65 O64:O65 S64:S65 K69:K70 O69:O70 S69:S70 K79:K80 O79:O80 S79:S80 K74:K75 O74:O75 K84:K85 O84:O85 S48:S49 S74:S75 S84:S85 K48:K49 O48:O49 F64:F88 O90:O91 S90:S91 O95:O96 S95:S96 S100:S101 K90:K91 K95:K96 K100:K101 O100:O101 F90:F104 K111:K112 O111:O112 K106:K107 O106:O107 S111:S112 F106:F120 S106:S107 K116:K117 O116:O117 S116:S117"/>
    <dataValidation type="textLength" operator="lessThanOrEqual" allowBlank="1" showInputMessage="1" showErrorMessage="1" errorTitle="Ошибка" error="Допускается ввод не более 900 символов!" sqref="J33:J34 J13:J14 J43:J44 R43:R44 V43:W43 J18:J19 J38:J39 J23:J24 R33:R34 R13:R14 R18:R19 R38:R39 R23:R24 V33:W33 V13:W13 V18:W18 V38:W38 V23:W23 J28:J29 R28:R29 V28:W28 J64:J65 R64:R65 V64:W64 J69:J70 R69:R70 V69:W69 J79:J80 R79:R80 V79:W79 J74:J75 R74:R75 V74:W74 J84:J85 R84:R85 V84:W84 J48:J49 R48:R49 V48:W48 J90:J91 R90:R91 V90:W90 J95:J96 R95:R96 V95:W95 J100:J101 R100:R101 V100:W100 J111:J112 R111:R112 V111:W111 J106:J107 R106:R107 V106:W106 J116:J117 R116:R117 V116:W116">
      <formula1>900</formula1>
    </dataValidation>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43:N45 N18:N20 N38:N40 N23:N25 N33:N35 N13:N15 N28:N30 N64:N66 N79:N81 N84:N86 N69:N71 N74:N76 N48:N50 N90:N92 N95:N97 N100:N102 N111:N113 N106:N108 N116:N118">
      <formula1>DESCRIPTION_TERRITORY</formula1>
    </dataValidation>
    <dataValidation allowBlank="1" showInputMessage="1" showErrorMessage="1" prompt="Выберите виды деятельности, выполнив двойной щелчок левой кнопки мыши по ячейке." sqref="G13:G52 G64:G88 G90:G104 G106:G120"/>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C585093-B0FB-21A6-2BF8-3F0BF56479EC}" mc:Ignorable="x14ac xr xr2 xr3">
  <sheetPr>
    <tabColor rgb="FFCCCCFF"/>
  </sheetPr>
  <dimension ref="A1:BL49"/>
  <sheetViews>
    <sheetView topLeftCell="C3" showGridLines="0" zoomScale="90" workbookViewId="0">
      <selection activeCell="A1" sqref="A1"/>
    </sheetView>
  </sheetViews>
  <sheetFormatPr defaultColWidth="9.140625" customHeight="1" defaultRowHeight="11.25"/>
  <cols>
    <col min="1" max="2" style="11403" width="9.140625" hidden="1"/>
    <col min="3" max="4" style="11403" width="3.7109375" customWidth="1"/>
    <col min="5" max="6" style="11403" width="16.00390625" customWidth="1"/>
    <col min="7" max="7" style="11403" width="11.57421875" customWidth="1"/>
    <col min="8" max="9" style="11403" width="3.7109375" customWidth="1"/>
    <col min="10" max="10" style="11403" width="13.140625" customWidth="1"/>
    <col min="11" max="11" style="11403" width="0.28125" customWidth="1"/>
    <col min="12" max="13" style="11403" width="10.7109375" customWidth="1"/>
    <col min="14" max="15" style="11403" width="3.7109375" customWidth="1"/>
    <col min="16" max="16" style="11403" width="19.7109375" customWidth="1"/>
    <col min="17" max="17" style="11403" width="0.28125" customWidth="1"/>
    <col min="18" max="19" style="11403" width="10.7109375" customWidth="1"/>
    <col min="20" max="21" style="11403" width="3.7109375" customWidth="1"/>
    <col min="22" max="22" style="11403" width="25.7109375" customWidth="1"/>
    <col min="23" max="23" style="11403" width="0.28125" customWidth="1"/>
    <col min="24" max="25" style="11403" width="10.7109375" customWidth="1"/>
    <col min="26" max="27" style="11403" width="3.7109375" customWidth="1"/>
    <col min="28" max="28" style="11403" width="16.421875" customWidth="1"/>
    <col min="29" max="29" style="11403" width="0.28125" customWidth="1"/>
    <col min="30" max="31" style="11403" width="10.7109375" customWidth="1"/>
    <col min="32" max="33" style="11403" width="3.7109375" customWidth="1"/>
    <col min="34" max="34" style="11403" width="8.7109375" customWidth="1"/>
    <col min="35" max="35" style="11403" width="21.7109375" customWidth="1"/>
    <col min="36" max="36" style="11403" width="9.140625"/>
    <col min="37" max="37" style="11251" width="9.140625"/>
    <col min="38" max="64" style="11403" width="9.140625"/>
  </cols>
  <sheetData>
    <row s="11129" customFormat="1" customHeight="1" ht="11.25" hidden="1">
      <c r="AJ1" s="658"/>
      <c r="AK1" s="658"/>
      <c r="AL1" s="658"/>
      <c r="AM1" s="658"/>
      <c r="AN1" s="658"/>
      <c r="AO1" s="658"/>
      <c r="AP1" s="658"/>
      <c r="AQ1" s="658"/>
      <c r="AR1" s="658"/>
      <c r="AS1" s="658"/>
      <c r="AT1" s="658"/>
      <c r="AU1" s="658"/>
      <c r="AV1" s="658"/>
      <c r="AW1" s="658"/>
      <c r="AX1" s="658"/>
      <c r="AY1" s="658"/>
      <c r="AZ1" s="658"/>
      <c r="BA1" s="658"/>
      <c r="BB1" s="658"/>
      <c r="BC1" s="658"/>
      <c r="BD1" s="658"/>
      <c r="BE1" s="658"/>
      <c r="BF1" s="658"/>
      <c r="BG1" s="658"/>
      <c r="BH1" s="658"/>
      <c r="BI1" s="658"/>
      <c r="BJ1" s="658"/>
      <c r="BK1" s="658"/>
      <c r="BL1" s="658"/>
    </row>
    <row s="8761" customFormat="1" customHeight="1" ht="11.25" hidden="1">
      <c r="L2" s="1864" t="s">
        <v>341</v>
      </c>
      <c r="M2" s="1864" t="s">
        <v>342</v>
      </c>
      <c r="R2" s="1864" t="s">
        <v>343</v>
      </c>
      <c r="S2" s="1864" t="s">
        <v>342</v>
      </c>
      <c r="X2" s="1864" t="s">
        <v>341</v>
      </c>
      <c r="Y2" s="1864" t="s">
        <v>342</v>
      </c>
      <c r="AD2" s="1864" t="s">
        <v>341</v>
      </c>
      <c r="AE2" s="1864" t="s">
        <v>342</v>
      </c>
      <c r="AJ2" s="1887"/>
      <c r="AK2" s="1887"/>
      <c r="AL2" s="1887"/>
      <c r="AM2" s="1887"/>
      <c r="AN2" s="1887"/>
      <c r="AO2" s="1887"/>
      <c r="AP2" s="1887"/>
      <c r="AQ2" s="1887"/>
      <c r="AR2" s="1887"/>
      <c r="AS2" s="1887"/>
      <c r="AT2" s="1887"/>
      <c r="AU2" s="1887"/>
      <c r="AV2" s="1887"/>
      <c r="AW2" s="1887"/>
      <c r="AX2" s="1887"/>
      <c r="AY2" s="1887"/>
      <c r="AZ2" s="1887"/>
      <c r="BA2" s="1887"/>
      <c r="BB2" s="1887"/>
      <c r="BC2" s="1887"/>
      <c r="BD2" s="1887"/>
      <c r="BE2" s="1887"/>
      <c r="BF2" s="1887"/>
      <c r="BG2" s="1887"/>
      <c r="BH2" s="1887"/>
      <c r="BI2" s="1887"/>
      <c r="BJ2" s="1887"/>
      <c r="BK2" s="1887"/>
      <c r="BL2" s="1887"/>
    </row>
    <row s="8763" customFormat="1" customHeight="1" ht="11.25">
      <c r="AJ3" s="1886"/>
      <c r="AK3" s="517"/>
      <c r="AL3" s="1886"/>
      <c r="AM3" s="1886"/>
      <c r="AN3" s="1886"/>
      <c r="AO3" s="1886"/>
      <c r="AP3" s="1886"/>
      <c r="AQ3" s="1886"/>
      <c r="AR3" s="1886"/>
      <c r="AS3" s="1886"/>
      <c r="AT3" s="1886"/>
      <c r="AU3" s="1886"/>
      <c r="AV3" s="1886"/>
      <c r="AW3" s="1886"/>
      <c r="AX3" s="1886"/>
      <c r="AY3" s="1886"/>
      <c r="AZ3" s="1886"/>
      <c r="BA3" s="1886"/>
      <c r="BB3" s="1886"/>
      <c r="BC3" s="1886"/>
      <c r="BD3" s="1886"/>
      <c r="BE3" s="1886"/>
      <c r="BF3" s="1886"/>
      <c r="BG3" s="1886"/>
      <c r="BH3" s="1886"/>
      <c r="BI3" s="1886"/>
      <c r="BJ3" s="1886"/>
      <c r="BK3" s="1886"/>
      <c r="BL3" s="1886"/>
    </row>
    <row s="9038" customFormat="1" customHeight="1" ht="33">
      <c r="A4" s="1417"/>
      <c r="B4" s="1416"/>
      <c r="C4" s="1815"/>
      <c r="D4" s="2238" t="s">
        <v>344</v>
      </c>
      <c r="E4" s="2238"/>
      <c r="F4" s="2238"/>
      <c r="G4" s="2238"/>
      <c r="H4" s="2238"/>
      <c r="I4" s="2238"/>
      <c r="J4" s="2238"/>
      <c r="K4" s="936"/>
      <c r="T4" s="1866"/>
      <c r="AJ4" s="1888"/>
      <c r="AK4" s="1889"/>
      <c r="AL4" s="1888"/>
      <c r="AM4" s="1888"/>
      <c r="AN4" s="1888"/>
      <c r="AO4" s="1888"/>
      <c r="AP4" s="1888"/>
      <c r="AQ4" s="1888"/>
      <c r="AR4" s="1888"/>
      <c r="AS4" s="1888"/>
      <c r="AT4" s="1888"/>
      <c r="AU4" s="1888"/>
      <c r="AV4" s="1888"/>
      <c r="AW4" s="1888"/>
      <c r="AX4" s="1888"/>
      <c r="AY4" s="1888"/>
      <c r="AZ4" s="1888"/>
      <c r="BA4" s="1888"/>
      <c r="BB4" s="1888"/>
      <c r="BC4" s="1888"/>
      <c r="BD4" s="1888"/>
      <c r="BE4" s="1888"/>
      <c r="BF4" s="1888"/>
      <c r="BG4" s="1888"/>
      <c r="BH4" s="1888"/>
      <c r="BI4" s="1888"/>
      <c r="BJ4" s="1888"/>
      <c r="BK4" s="1888"/>
      <c r="BL4" s="1888"/>
    </row>
    <row s="9038" customFormat="1" customHeight="1" ht="14.25">
      <c r="A5" s="1945"/>
      <c r="B5" s="1944"/>
      <c r="C5" s="1815"/>
      <c r="D5" s="2218" t="str">
        <f>IF(org=0,"Не определено",org)</f>
        <v>ООО "СамРЭК-Тепло Жигулевск"</v>
      </c>
      <c r="E5" s="2218"/>
      <c r="F5" s="2218"/>
      <c r="G5" s="2218"/>
      <c r="H5" s="2218"/>
      <c r="I5" s="2218"/>
      <c r="J5" s="2218"/>
      <c r="K5" s="936"/>
      <c r="T5" s="1866"/>
      <c r="AJ5" s="1888"/>
      <c r="AK5" s="1889"/>
      <c r="AL5" s="1888"/>
      <c r="AM5" s="1888"/>
      <c r="AN5" s="1888"/>
      <c r="AO5" s="1888"/>
      <c r="AP5" s="1888"/>
      <c r="AQ5" s="1888"/>
      <c r="AR5" s="1888"/>
      <c r="AS5" s="1888"/>
      <c r="AT5" s="1888"/>
      <c r="AU5" s="1888"/>
      <c r="AV5" s="1888"/>
      <c r="AW5" s="1888"/>
      <c r="AX5" s="1888"/>
      <c r="AY5" s="1888"/>
      <c r="AZ5" s="1888"/>
      <c r="BA5" s="1888"/>
      <c r="BB5" s="1888"/>
      <c r="BC5" s="1888"/>
      <c r="BD5" s="1888"/>
      <c r="BE5" s="1888"/>
      <c r="BF5" s="1888"/>
      <c r="BG5" s="1888"/>
      <c r="BH5" s="1888"/>
      <c r="BI5" s="1888"/>
      <c r="BJ5" s="1888"/>
      <c r="BK5" s="1888"/>
      <c r="BL5" s="1888"/>
    </row>
    <row s="9038" customFormat="1" customHeight="1" ht="14.25">
      <c r="A6" s="1417"/>
      <c r="B6" s="1416"/>
      <c r="C6" s="1815"/>
      <c r="D6" s="936"/>
      <c r="E6" s="936"/>
      <c r="F6" s="936"/>
      <c r="G6" s="936"/>
      <c r="H6" s="936"/>
      <c r="I6" s="936"/>
      <c r="J6" s="936"/>
      <c r="K6" s="936"/>
      <c r="T6" s="1866"/>
      <c r="AJ6" s="1888"/>
      <c r="AK6" s="1889"/>
      <c r="AL6" s="1888"/>
      <c r="AM6" s="1888"/>
      <c r="AN6" s="1888"/>
      <c r="AO6" s="1888"/>
      <c r="AP6" s="1888"/>
      <c r="AQ6" s="1888"/>
      <c r="AR6" s="1888"/>
      <c r="AS6" s="1888"/>
      <c r="AT6" s="1888"/>
      <c r="AU6" s="1888"/>
      <c r="AV6" s="1888"/>
      <c r="AW6" s="1888"/>
      <c r="AX6" s="1888"/>
      <c r="AY6" s="1888"/>
      <c r="AZ6" s="1888"/>
      <c r="BA6" s="1888"/>
      <c r="BB6" s="1888"/>
      <c r="BC6" s="1888"/>
      <c r="BD6" s="1888"/>
      <c r="BE6" s="1888"/>
      <c r="BF6" s="1888"/>
      <c r="BG6" s="1888"/>
      <c r="BH6" s="1888"/>
      <c r="BI6" s="1888"/>
      <c r="BJ6" s="1888"/>
      <c r="BK6" s="1888"/>
      <c r="BL6" s="1888"/>
    </row>
    <row s="11129" customFormat="1" customHeight="1" ht="0.75">
      <c r="AJ7" s="658"/>
      <c r="AK7" s="658"/>
      <c r="AL7" s="658"/>
      <c r="AM7" s="658"/>
      <c r="AN7" s="658"/>
      <c r="AO7" s="658"/>
      <c r="AP7" s="658"/>
      <c r="AQ7" s="658"/>
      <c r="AR7" s="658"/>
      <c r="AS7" s="658"/>
      <c r="AT7" s="658"/>
      <c r="AU7" s="658"/>
      <c r="AV7" s="658"/>
      <c r="AW7" s="658"/>
      <c r="AX7" s="658"/>
      <c r="AY7" s="658"/>
      <c r="AZ7" s="658"/>
      <c r="BA7" s="658"/>
      <c r="BB7" s="658"/>
      <c r="BC7" s="658"/>
      <c r="BD7" s="658"/>
      <c r="BE7" s="658"/>
      <c r="BF7" s="658"/>
      <c r="BG7" s="658"/>
      <c r="BH7" s="658"/>
      <c r="BI7" s="658"/>
      <c r="BJ7" s="658"/>
      <c r="BK7" s="658"/>
      <c r="BL7" s="658"/>
    </row>
    <row customHeight="1" ht="31.5">
      <c r="D8" s="2162" t="s">
        <v>88</v>
      </c>
      <c r="E8" s="2162" t="s">
        <v>105</v>
      </c>
      <c r="F8" s="2239" t="s">
        <v>199</v>
      </c>
      <c r="G8" s="2240"/>
      <c r="H8" s="2239" t="s">
        <v>88</v>
      </c>
      <c r="I8" s="2240"/>
      <c r="J8" s="2162" t="s">
        <v>200</v>
      </c>
      <c r="K8" s="1867"/>
      <c r="L8" s="2243" t="s">
        <v>345</v>
      </c>
      <c r="M8" s="2243"/>
      <c r="N8" s="2243"/>
      <c r="O8" s="2243"/>
      <c r="P8" s="2243"/>
      <c r="Q8" s="1868"/>
      <c r="R8" s="2244" t="s">
        <v>346</v>
      </c>
      <c r="S8" s="2245"/>
      <c r="T8" s="2245"/>
      <c r="U8" s="2245"/>
      <c r="V8" s="2245"/>
      <c r="W8" s="1868"/>
      <c r="X8" s="2246" t="s">
        <v>347</v>
      </c>
      <c r="Y8" s="2246"/>
      <c r="Z8" s="2246"/>
      <c r="AA8" s="2246"/>
      <c r="AB8" s="2246"/>
      <c r="AC8" s="1869"/>
      <c r="AD8" s="2162" t="s">
        <v>348</v>
      </c>
      <c r="AE8" s="2162"/>
      <c r="AF8" s="2162"/>
      <c r="AG8" s="2162"/>
      <c r="AH8" s="2203"/>
      <c r="AI8" s="2162" t="s">
        <v>349</v>
      </c>
      <c r="AJ8" s="1886"/>
    </row>
    <row customHeight="1" ht="22.5">
      <c r="D9" s="2162"/>
      <c r="E9" s="2162"/>
      <c r="F9" s="2217" t="s">
        <v>89</v>
      </c>
      <c r="G9" s="2217" t="s">
        <v>205</v>
      </c>
      <c r="H9" s="2241"/>
      <c r="I9" s="2242"/>
      <c r="J9" s="2203"/>
      <c r="K9" s="1870"/>
      <c r="L9" s="2162" t="s">
        <v>350</v>
      </c>
      <c r="M9" s="2203"/>
      <c r="N9" s="2239" t="s">
        <v>88</v>
      </c>
      <c r="O9" s="2240"/>
      <c r="P9" s="2162" t="s">
        <v>206</v>
      </c>
      <c r="Q9" s="1867"/>
      <c r="R9" s="2162" t="s">
        <v>350</v>
      </c>
      <c r="S9" s="2203"/>
      <c r="T9" s="2239" t="s">
        <v>88</v>
      </c>
      <c r="U9" s="2240"/>
      <c r="V9" s="2162" t="s">
        <v>206</v>
      </c>
      <c r="W9" s="1867"/>
      <c r="X9" s="2162" t="s">
        <v>350</v>
      </c>
      <c r="Y9" s="2203"/>
      <c r="Z9" s="2239" t="s">
        <v>88</v>
      </c>
      <c r="AA9" s="2240"/>
      <c r="AB9" s="2162" t="s">
        <v>351</v>
      </c>
      <c r="AC9" s="1867"/>
      <c r="AD9" s="2162" t="s">
        <v>350</v>
      </c>
      <c r="AE9" s="2203"/>
      <c r="AF9" s="2239" t="s">
        <v>88</v>
      </c>
      <c r="AG9" s="2240"/>
      <c r="AH9" s="2203" t="s">
        <v>351</v>
      </c>
      <c r="AI9" s="2162"/>
      <c r="AJ9" s="1886"/>
    </row>
    <row customHeight="1" ht="22.5">
      <c r="D10" s="2217"/>
      <c r="E10" s="2217"/>
      <c r="F10" s="2247"/>
      <c r="G10" s="2247"/>
      <c r="H10" s="2248"/>
      <c r="I10" s="2249"/>
      <c r="J10" s="2239"/>
      <c r="K10" s="1870"/>
      <c r="L10" s="1890" t="s">
        <v>352</v>
      </c>
      <c r="M10" s="1885" t="s">
        <v>353</v>
      </c>
      <c r="N10" s="2241"/>
      <c r="O10" s="2242"/>
      <c r="P10" s="2217"/>
      <c r="Q10" s="1867"/>
      <c r="R10" s="1890" t="s">
        <v>352</v>
      </c>
      <c r="S10" s="1885" t="s">
        <v>353</v>
      </c>
      <c r="T10" s="2241"/>
      <c r="U10" s="2242"/>
      <c r="V10" s="2217"/>
      <c r="W10" s="1867"/>
      <c r="X10" s="1890" t="s">
        <v>352</v>
      </c>
      <c r="Y10" s="1885" t="s">
        <v>353</v>
      </c>
      <c r="Z10" s="2241"/>
      <c r="AA10" s="2242"/>
      <c r="AB10" s="2217"/>
      <c r="AC10" s="1867"/>
      <c r="AD10" s="1890" t="s">
        <v>352</v>
      </c>
      <c r="AE10" s="1885" t="s">
        <v>353</v>
      </c>
      <c r="AF10" s="2241"/>
      <c r="AG10" s="2242"/>
      <c r="AH10" s="2239"/>
      <c r="AI10" s="2217"/>
      <c r="AJ10" s="1886"/>
      <c r="AK10" s="462" t="s">
        <v>354</v>
      </c>
      <c r="AL10" s="462" t="s">
        <v>207</v>
      </c>
    </row>
    <row customHeight="1" ht="14.25">
      <c r="D11" s="2229" t="s">
        <v>109</v>
      </c>
      <c r="E11" s="2230" t="s">
        <v>355</v>
      </c>
      <c r="F11" s="2223" t="s">
        <v>356</v>
      </c>
      <c r="G11" s="2232" t="s">
        <v>57</v>
      </c>
      <c r="H11" s="1911"/>
      <c r="I11" s="2225"/>
      <c r="J11" s="2191"/>
      <c r="K11" s="1812"/>
      <c r="L11" s="2175"/>
      <c r="M11" s="2175"/>
      <c r="N11" s="1896"/>
      <c r="O11" s="2170"/>
      <c r="P11" s="2227"/>
      <c r="Q11" s="1897"/>
      <c r="R11" s="2170"/>
      <c r="S11" s="2170"/>
      <c r="T11" s="1898"/>
      <c r="U11" s="2170"/>
      <c r="V11" s="2221"/>
      <c r="W11" s="1899"/>
      <c r="X11" s="2175"/>
      <c r="Y11" s="2175"/>
      <c r="Z11" s="1896"/>
      <c r="AA11" s="2170"/>
      <c r="AB11" s="2221"/>
      <c r="AC11" s="1900"/>
      <c r="AD11" s="2175"/>
      <c r="AE11" s="2175"/>
      <c r="AF11" s="1811"/>
      <c r="AG11" s="1811"/>
      <c r="AH11" s="1901"/>
      <c r="AI11" s="1589"/>
      <c r="AJ11" s="1886"/>
    </row>
    <row customHeight="1" ht="14.25">
      <c r="D12" s="2229"/>
      <c r="E12" s="2230"/>
      <c r="F12" s="2223"/>
      <c r="G12" s="2233"/>
      <c r="H12" s="1912"/>
      <c r="I12" s="2226"/>
      <c r="J12" s="2192"/>
      <c r="K12" s="1923"/>
      <c r="L12" s="2176"/>
      <c r="M12" s="2176"/>
      <c r="N12" s="1902"/>
      <c r="O12" s="2171"/>
      <c r="P12" s="2228"/>
      <c r="Q12" s="1903"/>
      <c r="R12" s="2171"/>
      <c r="S12" s="2171"/>
      <c r="T12" s="1904"/>
      <c r="U12" s="2171"/>
      <c r="V12" s="2222"/>
      <c r="W12" s="1905"/>
      <c r="X12" s="2176"/>
      <c r="Y12" s="2176"/>
      <c r="Z12" s="1902"/>
      <c r="AA12" s="2171"/>
      <c r="AB12" s="2222"/>
      <c r="AC12" s="1906"/>
      <c r="AD12" s="2176"/>
      <c r="AE12" s="2176"/>
      <c r="AF12" s="1907"/>
      <c r="AG12" s="1907"/>
      <c r="AH12" s="2219"/>
      <c r="AI12" s="2220"/>
      <c r="AJ12" s="1886"/>
    </row>
    <row customHeight="1" ht="14.25">
      <c r="D13" s="2229"/>
      <c r="E13" s="2230"/>
      <c r="F13" s="2223"/>
      <c r="G13" s="2233"/>
      <c r="H13" s="1912"/>
      <c r="I13" s="2226"/>
      <c r="J13" s="2192"/>
      <c r="K13" s="1923"/>
      <c r="L13" s="2176"/>
      <c r="M13" s="2176"/>
      <c r="N13" s="1902"/>
      <c r="O13" s="2171"/>
      <c r="P13" s="2228"/>
      <c r="Q13" s="1903"/>
      <c r="R13" s="2171"/>
      <c r="S13" s="2171"/>
      <c r="T13" s="1904"/>
      <c r="U13" s="2171"/>
      <c r="V13" s="2222"/>
      <c r="W13" s="1905"/>
      <c r="X13" s="2176"/>
      <c r="Y13" s="2176"/>
      <c r="Z13" s="1810"/>
      <c r="AA13" s="1907"/>
      <c r="AB13" s="2219"/>
      <c r="AC13" s="2219"/>
      <c r="AD13" s="2219"/>
      <c r="AE13" s="2219"/>
      <c r="AF13" s="2219"/>
      <c r="AG13" s="2219"/>
      <c r="AH13" s="2219"/>
      <c r="AI13" s="2220"/>
      <c r="AJ13" s="1886"/>
    </row>
    <row customHeight="1" ht="14.25">
      <c r="D14" s="2229"/>
      <c r="E14" s="2230"/>
      <c r="F14" s="2223"/>
      <c r="G14" s="2233"/>
      <c r="H14" s="1912"/>
      <c r="I14" s="2226"/>
      <c r="J14" s="2192"/>
      <c r="K14" s="1923"/>
      <c r="L14" s="2176"/>
      <c r="M14" s="2176"/>
      <c r="N14" s="1902"/>
      <c r="O14" s="2171"/>
      <c r="P14" s="2228"/>
      <c r="Q14" s="1903"/>
      <c r="R14" s="2171"/>
      <c r="S14" s="2171"/>
      <c r="T14" s="1908"/>
      <c r="U14" s="1909"/>
      <c r="V14" s="2219"/>
      <c r="W14" s="2219"/>
      <c r="X14" s="2219"/>
      <c r="Y14" s="2219"/>
      <c r="Z14" s="2219"/>
      <c r="AA14" s="2219"/>
      <c r="AB14" s="2219"/>
      <c r="AC14" s="2219"/>
      <c r="AD14" s="2219"/>
      <c r="AE14" s="2219"/>
      <c r="AF14" s="2219"/>
      <c r="AG14" s="2219"/>
      <c r="AH14" s="2219"/>
      <c r="AI14" s="2220"/>
      <c r="AJ14" s="1886"/>
    </row>
    <row customHeight="1" ht="11.25">
      <c r="D15" s="2229"/>
      <c r="E15" s="2230"/>
      <c r="F15" s="2223"/>
      <c r="G15" s="2233"/>
      <c r="H15" s="1913"/>
      <c r="I15" s="2226"/>
      <c r="J15" s="2192"/>
      <c r="K15" s="1923"/>
      <c r="L15" s="2176"/>
      <c r="M15" s="2176"/>
      <c r="N15" s="1907"/>
      <c r="O15" s="1907"/>
      <c r="P15" s="2219"/>
      <c r="Q15" s="2219"/>
      <c r="R15" s="2219"/>
      <c r="S15" s="2219"/>
      <c r="T15" s="2219"/>
      <c r="U15" s="2219"/>
      <c r="V15" s="2219"/>
      <c r="W15" s="2219"/>
      <c r="X15" s="2219"/>
      <c r="Y15" s="2219"/>
      <c r="Z15" s="2219"/>
      <c r="AA15" s="2219"/>
      <c r="AB15" s="2219"/>
      <c r="AC15" s="2219"/>
      <c r="AD15" s="2219"/>
      <c r="AE15" s="2219"/>
      <c r="AF15" s="2219"/>
      <c r="AG15" s="2219"/>
      <c r="AH15" s="2219"/>
      <c r="AI15" s="2220"/>
      <c r="AJ15" s="1886"/>
    </row>
    <row s="8763" customFormat="1" customHeight="1" ht="11.25">
      <c r="D16" s="2236"/>
      <c r="E16" s="2237"/>
      <c r="F16" s="2224"/>
      <c r="G16" s="2147"/>
      <c r="H16" s="1910"/>
      <c r="I16" s="1914"/>
      <c r="J16" s="2234"/>
      <c r="K16" s="2234"/>
      <c r="L16" s="2234"/>
      <c r="M16" s="2234"/>
      <c r="N16" s="2234"/>
      <c r="O16" s="2234"/>
      <c r="P16" s="2234"/>
      <c r="Q16" s="2234"/>
      <c r="R16" s="2234"/>
      <c r="S16" s="2234"/>
      <c r="T16" s="2234"/>
      <c r="U16" s="2234"/>
      <c r="V16" s="2234"/>
      <c r="W16" s="2234"/>
      <c r="X16" s="2234"/>
      <c r="Y16" s="2234"/>
      <c r="Z16" s="2234"/>
      <c r="AA16" s="2234"/>
      <c r="AB16" s="2234"/>
      <c r="AC16" s="2234"/>
      <c r="AD16" s="2234"/>
      <c r="AE16" s="2234"/>
      <c r="AF16" s="2234"/>
      <c r="AG16" s="2234"/>
      <c r="AH16" s="2234"/>
      <c r="AI16" s="2235"/>
      <c r="AJ16" s="1886"/>
      <c r="AK16" s="517"/>
      <c r="AL16" s="1886"/>
      <c r="AM16" s="1886"/>
      <c r="AN16" s="1886"/>
      <c r="AO16" s="1886"/>
      <c r="AP16" s="1886"/>
      <c r="AQ16" s="1886"/>
      <c r="AR16" s="1886"/>
      <c r="AS16" s="1886"/>
      <c r="AT16" s="1886"/>
      <c r="AU16" s="1886"/>
      <c r="AV16" s="1886"/>
      <c r="AW16" s="1886"/>
      <c r="AX16" s="1886"/>
      <c r="AY16" s="1886"/>
      <c r="AZ16" s="1886"/>
      <c r="BA16" s="1886"/>
      <c r="BB16" s="1886"/>
      <c r="BC16" s="1886"/>
      <c r="BD16" s="1886"/>
      <c r="BE16" s="1886"/>
      <c r="BF16" s="1886"/>
      <c r="BG16" s="1886"/>
      <c r="BH16" s="1886"/>
      <c r="BI16" s="1886"/>
      <c r="BJ16" s="1886"/>
      <c r="BK16" s="1886"/>
      <c r="BL16" s="1886"/>
    </row>
    <row customHeight="1" ht="14.25">
      <c r="D17" s="2229" t="s">
        <v>110</v>
      </c>
      <c r="E17" s="2230" t="s">
        <v>355</v>
      </c>
      <c r="F17" s="2223" t="s">
        <v>357</v>
      </c>
      <c r="G17" s="2232" t="s">
        <v>57</v>
      </c>
      <c r="H17" s="1911"/>
      <c r="I17" s="2225"/>
      <c r="J17" s="2191"/>
      <c r="K17" s="1812"/>
      <c r="L17" s="2175"/>
      <c r="M17" s="2175"/>
      <c r="N17" s="1896"/>
      <c r="O17" s="2170"/>
      <c r="P17" s="2227"/>
      <c r="Q17" s="1897"/>
      <c r="R17" s="2170"/>
      <c r="S17" s="2170"/>
      <c r="T17" s="1898"/>
      <c r="U17" s="2170"/>
      <c r="V17" s="2221"/>
      <c r="W17" s="1899"/>
      <c r="X17" s="2175"/>
      <c r="Y17" s="2175"/>
      <c r="Z17" s="1896"/>
      <c r="AA17" s="2170"/>
      <c r="AB17" s="2221"/>
      <c r="AC17" s="1900"/>
      <c r="AD17" s="2175"/>
      <c r="AE17" s="2175"/>
      <c r="AF17" s="1811"/>
      <c r="AG17" s="1811"/>
      <c r="AH17" s="1901"/>
      <c r="AI17" s="1589"/>
      <c r="AJ17" s="1886"/>
    </row>
    <row customHeight="1" ht="14.25">
      <c r="D18" s="2229"/>
      <c r="E18" s="2230"/>
      <c r="F18" s="2223"/>
      <c r="G18" s="2233"/>
      <c r="H18" s="1912"/>
      <c r="I18" s="2226"/>
      <c r="J18" s="2192"/>
      <c r="K18" s="1895"/>
      <c r="L18" s="2176"/>
      <c r="M18" s="2176"/>
      <c r="N18" s="1902"/>
      <c r="O18" s="2171"/>
      <c r="P18" s="2228"/>
      <c r="Q18" s="1903"/>
      <c r="R18" s="2171"/>
      <c r="S18" s="2171"/>
      <c r="T18" s="1904"/>
      <c r="U18" s="2171"/>
      <c r="V18" s="2222"/>
      <c r="W18" s="1905"/>
      <c r="X18" s="2176"/>
      <c r="Y18" s="2176"/>
      <c r="Z18" s="1902"/>
      <c r="AA18" s="2171"/>
      <c r="AB18" s="2222"/>
      <c r="AC18" s="1906"/>
      <c r="AD18" s="2176"/>
      <c r="AE18" s="2176"/>
      <c r="AF18" s="1907"/>
      <c r="AG18" s="1907"/>
      <c r="AH18" s="2219"/>
      <c r="AI18" s="2220"/>
      <c r="AJ18" s="1886"/>
    </row>
    <row customHeight="1" ht="14.25">
      <c r="D19" s="2229"/>
      <c r="E19" s="2230"/>
      <c r="F19" s="2223"/>
      <c r="G19" s="2233"/>
      <c r="H19" s="1912"/>
      <c r="I19" s="2226"/>
      <c r="J19" s="2192"/>
      <c r="K19" s="1895"/>
      <c r="L19" s="2176"/>
      <c r="M19" s="2176"/>
      <c r="N19" s="1902"/>
      <c r="O19" s="2171"/>
      <c r="P19" s="2228"/>
      <c r="Q19" s="1903"/>
      <c r="R19" s="2171"/>
      <c r="S19" s="2171"/>
      <c r="T19" s="1904"/>
      <c r="U19" s="2171"/>
      <c r="V19" s="2222"/>
      <c r="W19" s="1905"/>
      <c r="X19" s="2176"/>
      <c r="Y19" s="2176"/>
      <c r="Z19" s="1810"/>
      <c r="AA19" s="1907"/>
      <c r="AB19" s="2219"/>
      <c r="AC19" s="2219"/>
      <c r="AD19" s="2219"/>
      <c r="AE19" s="2219"/>
      <c r="AF19" s="2219"/>
      <c r="AG19" s="2219"/>
      <c r="AH19" s="2219"/>
      <c r="AI19" s="2220"/>
      <c r="AJ19" s="1886"/>
    </row>
    <row customHeight="1" ht="14.25">
      <c r="D20" s="2229"/>
      <c r="E20" s="2230"/>
      <c r="F20" s="2223"/>
      <c r="G20" s="2233"/>
      <c r="H20" s="1912"/>
      <c r="I20" s="2226"/>
      <c r="J20" s="2192"/>
      <c r="K20" s="1895"/>
      <c r="L20" s="2176"/>
      <c r="M20" s="2176"/>
      <c r="N20" s="1902"/>
      <c r="O20" s="2171"/>
      <c r="P20" s="2228"/>
      <c r="Q20" s="1903"/>
      <c r="R20" s="2171"/>
      <c r="S20" s="2171"/>
      <c r="T20" s="1908"/>
      <c r="U20" s="1909"/>
      <c r="V20" s="2219"/>
      <c r="W20" s="2219"/>
      <c r="X20" s="2219"/>
      <c r="Y20" s="2219"/>
      <c r="Z20" s="2219"/>
      <c r="AA20" s="2219"/>
      <c r="AB20" s="2219"/>
      <c r="AC20" s="2219"/>
      <c r="AD20" s="2219"/>
      <c r="AE20" s="2219"/>
      <c r="AF20" s="2219"/>
      <c r="AG20" s="2219"/>
      <c r="AH20" s="2219"/>
      <c r="AI20" s="2220"/>
      <c r="AJ20" s="1886"/>
    </row>
    <row customHeight="1" ht="11.25">
      <c r="D21" s="2229"/>
      <c r="E21" s="2230"/>
      <c r="F21" s="2223"/>
      <c r="G21" s="2233"/>
      <c r="H21" s="1913"/>
      <c r="I21" s="2226"/>
      <c r="J21" s="2192"/>
      <c r="K21" s="1895"/>
      <c r="L21" s="2176"/>
      <c r="M21" s="2176"/>
      <c r="N21" s="1907"/>
      <c r="O21" s="1907"/>
      <c r="P21" s="2219"/>
      <c r="Q21" s="2219"/>
      <c r="R21" s="2219"/>
      <c r="S21" s="2219"/>
      <c r="T21" s="2219"/>
      <c r="U21" s="2219"/>
      <c r="V21" s="2219"/>
      <c r="W21" s="2219"/>
      <c r="X21" s="2219"/>
      <c r="Y21" s="2219"/>
      <c r="Z21" s="2219"/>
      <c r="AA21" s="2219"/>
      <c r="AB21" s="2219"/>
      <c r="AC21" s="2219"/>
      <c r="AD21" s="2219"/>
      <c r="AE21" s="2219"/>
      <c r="AF21" s="2219"/>
      <c r="AG21" s="2219"/>
      <c r="AH21" s="2219"/>
      <c r="AI21" s="2220"/>
      <c r="AJ21" s="1886"/>
    </row>
    <row s="8763" customFormat="1" customHeight="1" ht="11.25">
      <c r="D22" s="2236"/>
      <c r="E22" s="2237"/>
      <c r="F22" s="2224"/>
      <c r="G22" s="2147"/>
      <c r="H22" s="1910"/>
      <c r="I22" s="1914"/>
      <c r="J22" s="2234"/>
      <c r="K22" s="2234"/>
      <c r="L22" s="2234"/>
      <c r="M22" s="2234"/>
      <c r="N22" s="2234"/>
      <c r="O22" s="2234"/>
      <c r="P22" s="2234"/>
      <c r="Q22" s="2234"/>
      <c r="R22" s="2234"/>
      <c r="S22" s="2234"/>
      <c r="T22" s="2234"/>
      <c r="U22" s="2234"/>
      <c r="V22" s="2234"/>
      <c r="W22" s="2234"/>
      <c r="X22" s="2234"/>
      <c r="Y22" s="2234"/>
      <c r="Z22" s="2234"/>
      <c r="AA22" s="2234"/>
      <c r="AB22" s="2234"/>
      <c r="AC22" s="2234"/>
      <c r="AD22" s="2234"/>
      <c r="AE22" s="2234"/>
      <c r="AF22" s="2234"/>
      <c r="AG22" s="2234"/>
      <c r="AH22" s="2234"/>
      <c r="AI22" s="2235"/>
      <c r="AJ22" s="1886"/>
      <c r="AK22" s="517"/>
      <c r="AL22" s="1886"/>
      <c r="AM22" s="1886"/>
      <c r="AN22" s="1886"/>
      <c r="AO22" s="1886"/>
      <c r="AP22" s="1886"/>
      <c r="AQ22" s="1886"/>
      <c r="AR22" s="1886"/>
      <c r="AS22" s="1886"/>
      <c r="AT22" s="1886"/>
      <c r="AU22" s="1886"/>
      <c r="AV22" s="1886"/>
      <c r="AW22" s="1886"/>
      <c r="AX22" s="1886"/>
      <c r="AY22" s="1886"/>
      <c r="AZ22" s="1886"/>
      <c r="BA22" s="1886"/>
      <c r="BB22" s="1886"/>
      <c r="BC22" s="1886"/>
      <c r="BD22" s="1886"/>
      <c r="BE22" s="1886"/>
      <c r="BF22" s="1886"/>
      <c r="BG22" s="1886"/>
      <c r="BH22" s="1886"/>
      <c r="BI22" s="1886"/>
      <c r="BJ22" s="1886"/>
      <c r="BK22" s="1886"/>
      <c r="BL22" s="1886"/>
    </row>
    <row customHeight="1" ht="14.25">
      <c r="D23" s="2229" t="s">
        <v>90</v>
      </c>
      <c r="E23" s="2230" t="s">
        <v>355</v>
      </c>
      <c r="F23" s="2223" t="s">
        <v>358</v>
      </c>
      <c r="G23" s="2232" t="s">
        <v>57</v>
      </c>
      <c r="H23" s="1911"/>
      <c r="I23" s="2225"/>
      <c r="J23" s="2191"/>
      <c r="K23" s="1812"/>
      <c r="L23" s="2175"/>
      <c r="M23" s="2175"/>
      <c r="N23" s="1896"/>
      <c r="O23" s="2170"/>
      <c r="P23" s="2227"/>
      <c r="Q23" s="1897"/>
      <c r="R23" s="2170"/>
      <c r="S23" s="2170"/>
      <c r="T23" s="1898"/>
      <c r="U23" s="2170"/>
      <c r="V23" s="2221"/>
      <c r="W23" s="1899"/>
      <c r="X23" s="2175"/>
      <c r="Y23" s="2175"/>
      <c r="Z23" s="1896"/>
      <c r="AA23" s="2170"/>
      <c r="AB23" s="2221"/>
      <c r="AC23" s="1900"/>
      <c r="AD23" s="2175"/>
      <c r="AE23" s="2175"/>
      <c r="AF23" s="1811"/>
      <c r="AG23" s="1811"/>
      <c r="AH23" s="1901"/>
      <c r="AI23" s="1589"/>
      <c r="AJ23" s="1886"/>
      <c r="AK23" s="517" t="s">
        <v>98</v>
      </c>
    </row>
    <row customHeight="1" ht="14.25">
      <c r="D24" s="2229"/>
      <c r="E24" s="2230"/>
      <c r="F24" s="2223"/>
      <c r="G24" s="2233"/>
      <c r="H24" s="1912"/>
      <c r="I24" s="2226"/>
      <c r="J24" s="2192"/>
      <c r="K24" s="1923"/>
      <c r="L24" s="2176"/>
      <c r="M24" s="2176"/>
      <c r="N24" s="1902"/>
      <c r="O24" s="2171"/>
      <c r="P24" s="2228"/>
      <c r="Q24" s="1903"/>
      <c r="R24" s="2171"/>
      <c r="S24" s="2171"/>
      <c r="T24" s="1904"/>
      <c r="U24" s="2171"/>
      <c r="V24" s="2222"/>
      <c r="W24" s="1905"/>
      <c r="X24" s="2176"/>
      <c r="Y24" s="2176"/>
      <c r="Z24" s="1902"/>
      <c r="AA24" s="2171"/>
      <c r="AB24" s="2222"/>
      <c r="AC24" s="1906"/>
      <c r="AD24" s="2176"/>
      <c r="AE24" s="2176"/>
      <c r="AF24" s="1907"/>
      <c r="AG24" s="1907"/>
      <c r="AH24" s="2219"/>
      <c r="AI24" s="2220"/>
      <c r="AJ24" s="1886"/>
    </row>
    <row customHeight="1" ht="14.25">
      <c r="D25" s="2229"/>
      <c r="E25" s="2230"/>
      <c r="F25" s="2223"/>
      <c r="G25" s="2233"/>
      <c r="H25" s="1912"/>
      <c r="I25" s="2226"/>
      <c r="J25" s="2192"/>
      <c r="K25" s="1923"/>
      <c r="L25" s="2176"/>
      <c r="M25" s="2176"/>
      <c r="N25" s="1902"/>
      <c r="O25" s="2171"/>
      <c r="P25" s="2228"/>
      <c r="Q25" s="1903"/>
      <c r="R25" s="2171"/>
      <c r="S25" s="2171"/>
      <c r="T25" s="1904"/>
      <c r="U25" s="2171"/>
      <c r="V25" s="2222"/>
      <c r="W25" s="1905"/>
      <c r="X25" s="2176"/>
      <c r="Y25" s="2176"/>
      <c r="Z25" s="1810"/>
      <c r="AA25" s="1907"/>
      <c r="AB25" s="2219"/>
      <c r="AC25" s="2219"/>
      <c r="AD25" s="2219"/>
      <c r="AE25" s="2219"/>
      <c r="AF25" s="2219"/>
      <c r="AG25" s="2219"/>
      <c r="AH25" s="2219"/>
      <c r="AI25" s="2220"/>
      <c r="AJ25" s="1886"/>
    </row>
    <row customHeight="1" ht="14.25">
      <c r="D26" s="2229"/>
      <c r="E26" s="2230"/>
      <c r="F26" s="2223"/>
      <c r="G26" s="2233"/>
      <c r="H26" s="1912"/>
      <c r="I26" s="2226"/>
      <c r="J26" s="2192"/>
      <c r="K26" s="1923"/>
      <c r="L26" s="2176"/>
      <c r="M26" s="2176"/>
      <c r="N26" s="1902"/>
      <c r="O26" s="2171"/>
      <c r="P26" s="2228"/>
      <c r="Q26" s="1903"/>
      <c r="R26" s="2171"/>
      <c r="S26" s="2171"/>
      <c r="T26" s="1908"/>
      <c r="U26" s="1909"/>
      <c r="V26" s="2219"/>
      <c r="W26" s="2219"/>
      <c r="X26" s="2219"/>
      <c r="Y26" s="2219"/>
      <c r="Z26" s="2219"/>
      <c r="AA26" s="2219"/>
      <c r="AB26" s="2219"/>
      <c r="AC26" s="2219"/>
      <c r="AD26" s="2219"/>
      <c r="AE26" s="2219"/>
      <c r="AF26" s="2219"/>
      <c r="AG26" s="2219"/>
      <c r="AH26" s="2219"/>
      <c r="AI26" s="2220"/>
      <c r="AJ26" s="1886"/>
    </row>
    <row customHeight="1" ht="11.25">
      <c r="D27" s="2229"/>
      <c r="E27" s="2230"/>
      <c r="F27" s="2223"/>
      <c r="G27" s="2233"/>
      <c r="H27" s="1913"/>
      <c r="I27" s="2226"/>
      <c r="J27" s="2192"/>
      <c r="K27" s="1923"/>
      <c r="L27" s="2176"/>
      <c r="M27" s="2176"/>
      <c r="N27" s="1907"/>
      <c r="O27" s="1907"/>
      <c r="P27" s="2219"/>
      <c r="Q27" s="2219"/>
      <c r="R27" s="2219"/>
      <c r="S27" s="2219"/>
      <c r="T27" s="2219"/>
      <c r="U27" s="2219"/>
      <c r="V27" s="2219"/>
      <c r="W27" s="2219"/>
      <c r="X27" s="2219"/>
      <c r="Y27" s="2219"/>
      <c r="Z27" s="2219"/>
      <c r="AA27" s="2219"/>
      <c r="AB27" s="2219"/>
      <c r="AC27" s="2219"/>
      <c r="AD27" s="2219"/>
      <c r="AE27" s="2219"/>
      <c r="AF27" s="2219"/>
      <c r="AG27" s="2219"/>
      <c r="AH27" s="2219"/>
      <c r="AI27" s="2220"/>
      <c r="AJ27" s="1886"/>
    </row>
    <row s="8763" customFormat="1" customHeight="1" ht="11.25">
      <c r="D28" s="2236"/>
      <c r="E28" s="2237"/>
      <c r="F28" s="2224"/>
      <c r="G28" s="2147"/>
      <c r="H28" s="1910"/>
      <c r="I28" s="1914"/>
      <c r="J28" s="2234"/>
      <c r="K28" s="2234"/>
      <c r="L28" s="2234"/>
      <c r="M28" s="2234"/>
      <c r="N28" s="2234"/>
      <c r="O28" s="2234"/>
      <c r="P28" s="2234"/>
      <c r="Q28" s="2234"/>
      <c r="R28" s="2234"/>
      <c r="S28" s="2234"/>
      <c r="T28" s="2234"/>
      <c r="U28" s="2234"/>
      <c r="V28" s="2234"/>
      <c r="W28" s="2234"/>
      <c r="X28" s="2234"/>
      <c r="Y28" s="2234"/>
      <c r="Z28" s="2234"/>
      <c r="AA28" s="2234"/>
      <c r="AB28" s="2234"/>
      <c r="AC28" s="2234"/>
      <c r="AD28" s="2234"/>
      <c r="AE28" s="2234"/>
      <c r="AF28" s="2234"/>
      <c r="AG28" s="2234"/>
      <c r="AH28" s="2234"/>
      <c r="AI28" s="2235"/>
      <c r="AJ28" s="1886"/>
      <c r="AK28" s="517"/>
      <c r="AL28" s="1886"/>
      <c r="AM28" s="1886"/>
      <c r="AN28" s="1886"/>
      <c r="AO28" s="1886"/>
      <c r="AP28" s="1886"/>
      <c r="AQ28" s="1886"/>
      <c r="AR28" s="1886"/>
      <c r="AS28" s="1886"/>
      <c r="AT28" s="1886"/>
      <c r="AU28" s="1886"/>
      <c r="AV28" s="1886"/>
      <c r="AW28" s="1886"/>
      <c r="AX28" s="1886"/>
      <c r="AY28" s="1886"/>
      <c r="AZ28" s="1886"/>
      <c r="BA28" s="1886"/>
      <c r="BB28" s="1886"/>
      <c r="BC28" s="1886"/>
      <c r="BD28" s="1886"/>
      <c r="BE28" s="1886"/>
      <c r="BF28" s="1886"/>
      <c r="BG28" s="1886"/>
      <c r="BH28" s="1886"/>
      <c r="BI28" s="1886"/>
      <c r="BJ28" s="1886"/>
      <c r="BK28" s="1886"/>
      <c r="BL28" s="1886"/>
    </row>
    <row customHeight="1" ht="14.25">
      <c r="D29" s="2229" t="s">
        <v>91</v>
      </c>
      <c r="E29" s="2230" t="s">
        <v>355</v>
      </c>
      <c r="F29" s="2223" t="s">
        <v>359</v>
      </c>
      <c r="G29" s="2232" t="s">
        <v>57</v>
      </c>
      <c r="H29" s="1911"/>
      <c r="I29" s="2225"/>
      <c r="J29" s="2191"/>
      <c r="K29" s="1812"/>
      <c r="L29" s="2175"/>
      <c r="M29" s="2175"/>
      <c r="N29" s="1896"/>
      <c r="O29" s="2170"/>
      <c r="P29" s="2227"/>
      <c r="Q29" s="1897"/>
      <c r="R29" s="2170"/>
      <c r="S29" s="2170"/>
      <c r="T29" s="1898"/>
      <c r="U29" s="2170"/>
      <c r="V29" s="2221"/>
      <c r="W29" s="1899"/>
      <c r="X29" s="2175"/>
      <c r="Y29" s="2175"/>
      <c r="Z29" s="1896"/>
      <c r="AA29" s="2170"/>
      <c r="AB29" s="2221"/>
      <c r="AC29" s="1900"/>
      <c r="AD29" s="2175"/>
      <c r="AE29" s="2175"/>
      <c r="AF29" s="1811"/>
      <c r="AG29" s="1811"/>
      <c r="AH29" s="1901"/>
      <c r="AI29" s="1589"/>
      <c r="AJ29" s="1886"/>
    </row>
    <row customHeight="1" ht="14.25">
      <c r="D30" s="2229"/>
      <c r="E30" s="2230"/>
      <c r="F30" s="2223"/>
      <c r="G30" s="2233"/>
      <c r="H30" s="1912"/>
      <c r="I30" s="2226"/>
      <c r="J30" s="2192"/>
      <c r="K30" s="1895"/>
      <c r="L30" s="2176"/>
      <c r="M30" s="2176"/>
      <c r="N30" s="1902"/>
      <c r="O30" s="2171"/>
      <c r="P30" s="2228"/>
      <c r="Q30" s="1903"/>
      <c r="R30" s="2171"/>
      <c r="S30" s="2171"/>
      <c r="T30" s="1904"/>
      <c r="U30" s="2171"/>
      <c r="V30" s="2222"/>
      <c r="W30" s="1905"/>
      <c r="X30" s="2176"/>
      <c r="Y30" s="2176"/>
      <c r="Z30" s="1902"/>
      <c r="AA30" s="2171"/>
      <c r="AB30" s="2222"/>
      <c r="AC30" s="1906"/>
      <c r="AD30" s="2176"/>
      <c r="AE30" s="2176"/>
      <c r="AF30" s="1907"/>
      <c r="AG30" s="1907"/>
      <c r="AH30" s="2219"/>
      <c r="AI30" s="2220"/>
      <c r="AJ30" s="1886"/>
    </row>
    <row customHeight="1" ht="14.25">
      <c r="D31" s="2229"/>
      <c r="E31" s="2230"/>
      <c r="F31" s="2223"/>
      <c r="G31" s="2233"/>
      <c r="H31" s="1912"/>
      <c r="I31" s="2226"/>
      <c r="J31" s="2192"/>
      <c r="K31" s="1895"/>
      <c r="L31" s="2176"/>
      <c r="M31" s="2176"/>
      <c r="N31" s="1902"/>
      <c r="O31" s="2171"/>
      <c r="P31" s="2228"/>
      <c r="Q31" s="1903"/>
      <c r="R31" s="2171"/>
      <c r="S31" s="2171"/>
      <c r="T31" s="1904"/>
      <c r="U31" s="2171"/>
      <c r="V31" s="2222"/>
      <c r="W31" s="1905"/>
      <c r="X31" s="2176"/>
      <c r="Y31" s="2176"/>
      <c r="Z31" s="1810"/>
      <c r="AA31" s="1907"/>
      <c r="AB31" s="2219"/>
      <c r="AC31" s="2219"/>
      <c r="AD31" s="2219"/>
      <c r="AE31" s="2219"/>
      <c r="AF31" s="2219"/>
      <c r="AG31" s="2219"/>
      <c r="AH31" s="2219"/>
      <c r="AI31" s="2220"/>
      <c r="AJ31" s="1886"/>
    </row>
    <row customHeight="1" ht="14.25">
      <c r="D32" s="2229"/>
      <c r="E32" s="2230"/>
      <c r="F32" s="2223"/>
      <c r="G32" s="2233"/>
      <c r="H32" s="1912"/>
      <c r="I32" s="2226"/>
      <c r="J32" s="2192"/>
      <c r="K32" s="1895"/>
      <c r="L32" s="2176"/>
      <c r="M32" s="2176"/>
      <c r="N32" s="1902"/>
      <c r="O32" s="2171"/>
      <c r="P32" s="2228"/>
      <c r="Q32" s="1903"/>
      <c r="R32" s="2171"/>
      <c r="S32" s="2171"/>
      <c r="T32" s="1908"/>
      <c r="U32" s="1909"/>
      <c r="V32" s="2219"/>
      <c r="W32" s="2219"/>
      <c r="X32" s="2219"/>
      <c r="Y32" s="2219"/>
      <c r="Z32" s="2219"/>
      <c r="AA32" s="2219"/>
      <c r="AB32" s="2219"/>
      <c r="AC32" s="2219"/>
      <c r="AD32" s="2219"/>
      <c r="AE32" s="2219"/>
      <c r="AF32" s="2219"/>
      <c r="AG32" s="2219"/>
      <c r="AH32" s="2219"/>
      <c r="AI32" s="2220"/>
      <c r="AJ32" s="1886"/>
    </row>
    <row customHeight="1" ht="11.25">
      <c r="D33" s="2229"/>
      <c r="E33" s="2230"/>
      <c r="F33" s="2223"/>
      <c r="G33" s="2233"/>
      <c r="H33" s="1913"/>
      <c r="I33" s="2226"/>
      <c r="J33" s="2192"/>
      <c r="K33" s="1895"/>
      <c r="L33" s="2176"/>
      <c r="M33" s="2176"/>
      <c r="N33" s="1907"/>
      <c r="O33" s="1907"/>
      <c r="P33" s="2219"/>
      <c r="Q33" s="2219"/>
      <c r="R33" s="2219"/>
      <c r="S33" s="2219"/>
      <c r="T33" s="2219"/>
      <c r="U33" s="2219"/>
      <c r="V33" s="2219"/>
      <c r="W33" s="2219"/>
      <c r="X33" s="2219"/>
      <c r="Y33" s="2219"/>
      <c r="Z33" s="2219"/>
      <c r="AA33" s="2219"/>
      <c r="AB33" s="2219"/>
      <c r="AC33" s="2219"/>
      <c r="AD33" s="2219"/>
      <c r="AE33" s="2219"/>
      <c r="AF33" s="2219"/>
      <c r="AG33" s="2219"/>
      <c r="AH33" s="2219"/>
      <c r="AI33" s="2220"/>
      <c r="AJ33" s="1886"/>
    </row>
    <row s="8763" customFormat="1" customHeight="1" ht="11.25">
      <c r="D34" s="2236"/>
      <c r="E34" s="2237"/>
      <c r="F34" s="2224"/>
      <c r="G34" s="2147"/>
      <c r="H34" s="1910"/>
      <c r="I34" s="1914"/>
      <c r="J34" s="2234"/>
      <c r="K34" s="2234"/>
      <c r="L34" s="2234"/>
      <c r="M34" s="2234"/>
      <c r="N34" s="2234"/>
      <c r="O34" s="2234"/>
      <c r="P34" s="2234"/>
      <c r="Q34" s="2234"/>
      <c r="R34" s="2234"/>
      <c r="S34" s="2234"/>
      <c r="T34" s="2234"/>
      <c r="U34" s="2234"/>
      <c r="V34" s="2234"/>
      <c r="W34" s="2234"/>
      <c r="X34" s="2234"/>
      <c r="Y34" s="2234"/>
      <c r="Z34" s="2234"/>
      <c r="AA34" s="2234"/>
      <c r="AB34" s="2234"/>
      <c r="AC34" s="2234"/>
      <c r="AD34" s="2234"/>
      <c r="AE34" s="2234"/>
      <c r="AF34" s="2234"/>
      <c r="AG34" s="2234"/>
      <c r="AH34" s="2234"/>
      <c r="AI34" s="2235"/>
      <c r="AJ34" s="1886"/>
      <c r="AK34" s="517"/>
      <c r="AL34" s="1886"/>
      <c r="AM34" s="1886"/>
      <c r="AN34" s="1886"/>
      <c r="AO34" s="1886"/>
      <c r="AP34" s="1886"/>
      <c r="AQ34" s="1886"/>
      <c r="AR34" s="1886"/>
      <c r="AS34" s="1886"/>
      <c r="AT34" s="1886"/>
      <c r="AU34" s="1886"/>
      <c r="AV34" s="1886"/>
      <c r="AW34" s="1886"/>
      <c r="AX34" s="1886"/>
      <c r="AY34" s="1886"/>
      <c r="AZ34" s="1886"/>
      <c r="BA34" s="1886"/>
      <c r="BB34" s="1886"/>
      <c r="BC34" s="1886"/>
      <c r="BD34" s="1886"/>
      <c r="BE34" s="1886"/>
      <c r="BF34" s="1886"/>
      <c r="BG34" s="1886"/>
      <c r="BH34" s="1886"/>
      <c r="BI34" s="1886"/>
      <c r="BJ34" s="1886"/>
      <c r="BK34" s="1886"/>
      <c r="BL34" s="1886"/>
    </row>
    <row customHeight="1" ht="14.25">
      <c r="D35" s="2229" t="s">
        <v>111</v>
      </c>
      <c r="E35" s="2230" t="s">
        <v>355</v>
      </c>
      <c r="F35" s="2223" t="s">
        <v>360</v>
      </c>
      <c r="G35" s="2232" t="s">
        <v>57</v>
      </c>
      <c r="H35" s="1911"/>
      <c r="I35" s="2225"/>
      <c r="J35" s="2191"/>
      <c r="K35" s="1812"/>
      <c r="L35" s="2175"/>
      <c r="M35" s="2175"/>
      <c r="N35" s="1896"/>
      <c r="O35" s="2170"/>
      <c r="P35" s="2227"/>
      <c r="Q35" s="1897"/>
      <c r="R35" s="2170"/>
      <c r="S35" s="2170"/>
      <c r="T35" s="1898"/>
      <c r="U35" s="2170"/>
      <c r="V35" s="2221"/>
      <c r="W35" s="1899"/>
      <c r="X35" s="2175"/>
      <c r="Y35" s="2175"/>
      <c r="Z35" s="1896"/>
      <c r="AA35" s="2170"/>
      <c r="AB35" s="2221"/>
      <c r="AC35" s="1900"/>
      <c r="AD35" s="2175"/>
      <c r="AE35" s="2175"/>
      <c r="AF35" s="1811"/>
      <c r="AG35" s="1811"/>
      <c r="AH35" s="1901"/>
      <c r="AI35" s="1589"/>
      <c r="AJ35" s="1886"/>
    </row>
    <row customHeight="1" ht="14.25">
      <c r="D36" s="2229"/>
      <c r="E36" s="2230"/>
      <c r="F36" s="2223"/>
      <c r="G36" s="2233"/>
      <c r="H36" s="1912"/>
      <c r="I36" s="2226"/>
      <c r="J36" s="2192"/>
      <c r="K36" s="1895"/>
      <c r="L36" s="2176"/>
      <c r="M36" s="2176"/>
      <c r="N36" s="1902"/>
      <c r="O36" s="2171"/>
      <c r="P36" s="2228"/>
      <c r="Q36" s="1903"/>
      <c r="R36" s="2171"/>
      <c r="S36" s="2171"/>
      <c r="T36" s="1904"/>
      <c r="U36" s="2171"/>
      <c r="V36" s="2222"/>
      <c r="W36" s="1905"/>
      <c r="X36" s="2176"/>
      <c r="Y36" s="2176"/>
      <c r="Z36" s="1902"/>
      <c r="AA36" s="2171"/>
      <c r="AB36" s="2222"/>
      <c r="AC36" s="1906"/>
      <c r="AD36" s="2176"/>
      <c r="AE36" s="2176"/>
      <c r="AF36" s="1907"/>
      <c r="AG36" s="1907"/>
      <c r="AH36" s="2219"/>
      <c r="AI36" s="2220"/>
      <c r="AJ36" s="1886"/>
    </row>
    <row customHeight="1" ht="14.25">
      <c r="D37" s="2229"/>
      <c r="E37" s="2230"/>
      <c r="F37" s="2223"/>
      <c r="G37" s="2233"/>
      <c r="H37" s="1912"/>
      <c r="I37" s="2226"/>
      <c r="J37" s="2192"/>
      <c r="K37" s="1895"/>
      <c r="L37" s="2176"/>
      <c r="M37" s="2176"/>
      <c r="N37" s="1902"/>
      <c r="O37" s="2171"/>
      <c r="P37" s="2228"/>
      <c r="Q37" s="1903"/>
      <c r="R37" s="2171"/>
      <c r="S37" s="2171"/>
      <c r="T37" s="1904"/>
      <c r="U37" s="2171"/>
      <c r="V37" s="2222"/>
      <c r="W37" s="1905"/>
      <c r="X37" s="2176"/>
      <c r="Y37" s="2176"/>
      <c r="Z37" s="1810"/>
      <c r="AA37" s="1907"/>
      <c r="AB37" s="2219"/>
      <c r="AC37" s="2219"/>
      <c r="AD37" s="2219"/>
      <c r="AE37" s="2219"/>
      <c r="AF37" s="2219"/>
      <c r="AG37" s="2219"/>
      <c r="AH37" s="2219"/>
      <c r="AI37" s="2220"/>
      <c r="AJ37" s="1886"/>
    </row>
    <row customHeight="1" ht="14.25">
      <c r="D38" s="2229"/>
      <c r="E38" s="2230"/>
      <c r="F38" s="2223"/>
      <c r="G38" s="2233"/>
      <c r="H38" s="1912"/>
      <c r="I38" s="2226"/>
      <c r="J38" s="2192"/>
      <c r="K38" s="1895"/>
      <c r="L38" s="2176"/>
      <c r="M38" s="2176"/>
      <c r="N38" s="1902"/>
      <c r="O38" s="2171"/>
      <c r="P38" s="2228"/>
      <c r="Q38" s="1903"/>
      <c r="R38" s="2171"/>
      <c r="S38" s="2171"/>
      <c r="T38" s="1908"/>
      <c r="U38" s="1909"/>
      <c r="V38" s="2219"/>
      <c r="W38" s="2219"/>
      <c r="X38" s="2219"/>
      <c r="Y38" s="2219"/>
      <c r="Z38" s="2219"/>
      <c r="AA38" s="2219"/>
      <c r="AB38" s="2219"/>
      <c r="AC38" s="2219"/>
      <c r="AD38" s="2219"/>
      <c r="AE38" s="2219"/>
      <c r="AF38" s="2219"/>
      <c r="AG38" s="2219"/>
      <c r="AH38" s="2219"/>
      <c r="AI38" s="2220"/>
      <c r="AJ38" s="1886"/>
    </row>
    <row customHeight="1" ht="11.25">
      <c r="D39" s="2229"/>
      <c r="E39" s="2230"/>
      <c r="F39" s="2223"/>
      <c r="G39" s="2233"/>
      <c r="H39" s="1913"/>
      <c r="I39" s="2226"/>
      <c r="J39" s="2192"/>
      <c r="K39" s="1895"/>
      <c r="L39" s="2176"/>
      <c r="M39" s="2176"/>
      <c r="N39" s="1907"/>
      <c r="O39" s="1907"/>
      <c r="P39" s="2219"/>
      <c r="Q39" s="2219"/>
      <c r="R39" s="2219"/>
      <c r="S39" s="2219"/>
      <c r="T39" s="2219"/>
      <c r="U39" s="2219"/>
      <c r="V39" s="2219"/>
      <c r="W39" s="2219"/>
      <c r="X39" s="2219"/>
      <c r="Y39" s="2219"/>
      <c r="Z39" s="2219"/>
      <c r="AA39" s="2219"/>
      <c r="AB39" s="2219"/>
      <c r="AC39" s="2219"/>
      <c r="AD39" s="2219"/>
      <c r="AE39" s="2219"/>
      <c r="AF39" s="2219"/>
      <c r="AG39" s="2219"/>
      <c r="AH39" s="2219"/>
      <c r="AI39" s="2220"/>
      <c r="AJ39" s="1886"/>
    </row>
    <row s="8763" customFormat="1" customHeight="1" ht="11.25">
      <c r="D40" s="2229"/>
      <c r="E40" s="2230"/>
      <c r="F40" s="2231"/>
      <c r="G40" s="2147"/>
      <c r="H40" s="1910"/>
      <c r="I40" s="1914"/>
      <c r="J40" s="2234"/>
      <c r="K40" s="2234"/>
      <c r="L40" s="2234"/>
      <c r="M40" s="2234"/>
      <c r="N40" s="2234"/>
      <c r="O40" s="2234"/>
      <c r="P40" s="2234"/>
      <c r="Q40" s="2234"/>
      <c r="R40" s="2234"/>
      <c r="S40" s="2234"/>
      <c r="T40" s="2234"/>
      <c r="U40" s="2234"/>
      <c r="V40" s="2234"/>
      <c r="W40" s="2234"/>
      <c r="X40" s="2234"/>
      <c r="Y40" s="2234"/>
      <c r="Z40" s="2234"/>
      <c r="AA40" s="2234"/>
      <c r="AB40" s="2234"/>
      <c r="AC40" s="2234"/>
      <c r="AD40" s="2234"/>
      <c r="AE40" s="2234"/>
      <c r="AF40" s="2234"/>
      <c r="AG40" s="2234"/>
      <c r="AH40" s="2234"/>
      <c r="AI40" s="2235"/>
      <c r="AJ40" s="1886"/>
      <c r="AK40" s="517"/>
      <c r="AL40" s="1886"/>
      <c r="AM40" s="1886"/>
      <c r="AN40" s="1886"/>
      <c r="AO40" s="1886"/>
      <c r="AP40" s="1886"/>
      <c r="AQ40" s="1886"/>
      <c r="AR40" s="1886"/>
      <c r="AS40" s="1886"/>
      <c r="AT40" s="1886"/>
      <c r="AU40" s="1886"/>
      <c r="AV40" s="1886"/>
      <c r="AW40" s="1886"/>
      <c r="AX40" s="1886"/>
      <c r="AY40" s="1886"/>
      <c r="AZ40" s="1886"/>
      <c r="BA40" s="1886"/>
      <c r="BB40" s="1886"/>
      <c r="BC40" s="1886"/>
      <c r="BD40" s="1886"/>
      <c r="BE40" s="1886"/>
      <c r="BF40" s="1886"/>
      <c r="BG40" s="1886"/>
      <c r="BH40" s="1886"/>
      <c r="BI40" s="1886"/>
      <c r="BJ40" s="1886"/>
      <c r="BK40" s="1886"/>
      <c r="BL40" s="1886"/>
    </row>
    <row customHeight="1" ht="11.25">
      <c r="AK41" s="659"/>
    </row>
    <row customHeight="1" ht="11.25">
      <c r="AK42" s="659"/>
    </row>
    <row customHeight="1" ht="11.25">
      <c r="AK43" s="659"/>
    </row>
    <row customHeight="1" ht="11.25">
      <c r="AK44" s="659"/>
    </row>
    <row customHeight="1" ht="11.25">
      <c r="AK45" s="659"/>
    </row>
    <row customHeight="1" ht="11.25">
      <c r="AK46" s="659"/>
    </row>
    <row customHeight="1" ht="11.25">
      <c r="AK47" s="659"/>
    </row>
    <row customHeight="1" ht="11.25">
      <c r="AK48" s="659"/>
    </row>
    <row customHeight="1" ht="11.25">
      <c r="AK49" s="659"/>
    </row>
  </sheetData>
  <sheetProtection formatColumns="0" formatRows="0" autoFilter="0" sort="0" insertRows="0" insertColumns="1" deleteRows="0" deleteColumns="0"/>
  <mergeCells count="151">
    <mergeCell ref="D4:J4"/>
    <mergeCell ref="D8:D10"/>
    <mergeCell ref="E8:E10"/>
    <mergeCell ref="J8:J10"/>
    <mergeCell ref="AH9:AH10"/>
    <mergeCell ref="Z9:AA10"/>
    <mergeCell ref="AF9:AG10"/>
    <mergeCell ref="X9:Y9"/>
    <mergeCell ref="V9:V10"/>
    <mergeCell ref="T9:U10"/>
    <mergeCell ref="L8:P8"/>
    <mergeCell ref="R8:V8"/>
    <mergeCell ref="X8:AB8"/>
    <mergeCell ref="AD8:AH8"/>
    <mergeCell ref="F8:G8"/>
    <mergeCell ref="F9:F10"/>
    <mergeCell ref="G9:G10"/>
    <mergeCell ref="N9:O10"/>
    <mergeCell ref="H8:I10"/>
    <mergeCell ref="AB9:AB10"/>
    <mergeCell ref="AD9:AE9"/>
    <mergeCell ref="D17:D22"/>
    <mergeCell ref="E17:E22"/>
    <mergeCell ref="F17:F22"/>
    <mergeCell ref="G17:G22"/>
    <mergeCell ref="I17:I21"/>
    <mergeCell ref="J17:J21"/>
    <mergeCell ref="J22:AI22"/>
    <mergeCell ref="P15:AI15"/>
    <mergeCell ref="J16:AI16"/>
    <mergeCell ref="G11:G16"/>
    <mergeCell ref="D11:D16"/>
    <mergeCell ref="E11:E16"/>
    <mergeCell ref="S17:S20"/>
    <mergeCell ref="AB11:AB12"/>
    <mergeCell ref="AD11:AD12"/>
    <mergeCell ref="AE11:AE12"/>
    <mergeCell ref="AH12:AI12"/>
    <mergeCell ref="D23:D28"/>
    <mergeCell ref="E23:E28"/>
    <mergeCell ref="F23:F28"/>
    <mergeCell ref="G23:G28"/>
    <mergeCell ref="I23:I27"/>
    <mergeCell ref="J23:J27"/>
    <mergeCell ref="J28:AI28"/>
    <mergeCell ref="AD17:AD18"/>
    <mergeCell ref="AE17:AE18"/>
    <mergeCell ref="AH18:AI18"/>
    <mergeCell ref="AB19:AI19"/>
    <mergeCell ref="V20:AI20"/>
    <mergeCell ref="P21:AI21"/>
    <mergeCell ref="U17:U19"/>
    <mergeCell ref="V17:V19"/>
    <mergeCell ref="X17:X19"/>
    <mergeCell ref="Y17:Y19"/>
    <mergeCell ref="AA17:AA18"/>
    <mergeCell ref="AB17:AB18"/>
    <mergeCell ref="L17:L21"/>
    <mergeCell ref="M17:M21"/>
    <mergeCell ref="O17:O20"/>
    <mergeCell ref="P17:P20"/>
    <mergeCell ref="R17:R20"/>
    <mergeCell ref="AH24:AI24"/>
    <mergeCell ref="AB25:AI25"/>
    <mergeCell ref="V26:AI26"/>
    <mergeCell ref="P27:AI27"/>
    <mergeCell ref="U23:U25"/>
    <mergeCell ref="V23:V25"/>
    <mergeCell ref="X23:X25"/>
    <mergeCell ref="Y23:Y25"/>
    <mergeCell ref="L23:L27"/>
    <mergeCell ref="M23:M27"/>
    <mergeCell ref="L29:L33"/>
    <mergeCell ref="M29:M33"/>
    <mergeCell ref="O29:O32"/>
    <mergeCell ref="P29:P32"/>
    <mergeCell ref="R29:R32"/>
    <mergeCell ref="S29:S32"/>
    <mergeCell ref="D29:D34"/>
    <mergeCell ref="E29:E34"/>
    <mergeCell ref="F29:F34"/>
    <mergeCell ref="G29:G34"/>
    <mergeCell ref="I29:I33"/>
    <mergeCell ref="J29:J33"/>
    <mergeCell ref="J34:AI34"/>
    <mergeCell ref="AD29:AD30"/>
    <mergeCell ref="AE29:AE30"/>
    <mergeCell ref="AH30:AI30"/>
    <mergeCell ref="AB31:AI31"/>
    <mergeCell ref="V32:AI32"/>
    <mergeCell ref="P33:AI33"/>
    <mergeCell ref="U29:U31"/>
    <mergeCell ref="V29:V31"/>
    <mergeCell ref="X29:X31"/>
    <mergeCell ref="Y29:Y31"/>
    <mergeCell ref="AA29:AA30"/>
    <mergeCell ref="L35:L39"/>
    <mergeCell ref="M35:M39"/>
    <mergeCell ref="O35:O38"/>
    <mergeCell ref="P35:P38"/>
    <mergeCell ref="R35:R38"/>
    <mergeCell ref="S35:S38"/>
    <mergeCell ref="D35:D40"/>
    <mergeCell ref="E35:E40"/>
    <mergeCell ref="F35:F40"/>
    <mergeCell ref="G35:G40"/>
    <mergeCell ref="I35:I39"/>
    <mergeCell ref="J35:J39"/>
    <mergeCell ref="J40:AI40"/>
    <mergeCell ref="AD35:AD36"/>
    <mergeCell ref="AE35:AE36"/>
    <mergeCell ref="AH36:AI36"/>
    <mergeCell ref="AB37:AI37"/>
    <mergeCell ref="V38:AI38"/>
    <mergeCell ref="P39:AI39"/>
    <mergeCell ref="U35:U37"/>
    <mergeCell ref="V35:V37"/>
    <mergeCell ref="X35:X37"/>
    <mergeCell ref="Y35:Y37"/>
    <mergeCell ref="AA35:AA36"/>
    <mergeCell ref="AB35:AB36"/>
    <mergeCell ref="O23:O26"/>
    <mergeCell ref="P23:P26"/>
    <mergeCell ref="R23:R26"/>
    <mergeCell ref="S23:S26"/>
    <mergeCell ref="AB23:AB24"/>
    <mergeCell ref="AD23:AD24"/>
    <mergeCell ref="AE23:AE24"/>
    <mergeCell ref="AA23:AA24"/>
    <mergeCell ref="AB29:AB30"/>
    <mergeCell ref="AI8:AI10"/>
    <mergeCell ref="D5:J5"/>
    <mergeCell ref="AB13:AI13"/>
    <mergeCell ref="Y11:Y13"/>
    <mergeCell ref="X11:X13"/>
    <mergeCell ref="AA11:AA12"/>
    <mergeCell ref="R11:R14"/>
    <mergeCell ref="S11:S14"/>
    <mergeCell ref="U11:U13"/>
    <mergeCell ref="V11:V13"/>
    <mergeCell ref="V14:AI14"/>
    <mergeCell ref="F11:F16"/>
    <mergeCell ref="I11:I15"/>
    <mergeCell ref="J11:J15"/>
    <mergeCell ref="L11:L15"/>
    <mergeCell ref="M11:M15"/>
    <mergeCell ref="O11:O14"/>
    <mergeCell ref="P11:P14"/>
    <mergeCell ref="L9:M9"/>
    <mergeCell ref="P9:P10"/>
    <mergeCell ref="R9:S9"/>
  </mergeCells>
  <dataValidations count="2">
    <dataValidation type="textLength" operator="lessThanOrEqual" allowBlank="1" showInputMessage="1" showErrorMessage="1" errorTitle="Ошибка" error="Допускается ввод не более 900 символов!" sqref="AI29 AI23 P17:P20 J23:J27 J29:J33 AI35 J35:J39 P35:P38 P29:P32 AI17 J17:J21 P23:P26 AI11 J11:J15 P11:P14">
      <formula1>900</formula1>
    </dataValidation>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17 AC23 AC35 AC29 AC11">
      <formula1>list_typeTKO</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43BB18D-2C61-5CE2-D119-61A4CC5D33D9}" mc:Ignorable="x14ac xr xr2 xr3">
  <sheetPr>
    <tabColor theme="3" tint="0.6"/>
  </sheetPr>
  <dimension ref="A1:I58"/>
  <sheetViews>
    <sheetView topLeftCell="C3" showGridLines="0" zoomScale="90" workbookViewId="0">
      <selection activeCell="A1" sqref="A1"/>
    </sheetView>
  </sheetViews>
  <sheetFormatPr defaultColWidth="9.140625" customHeight="1" defaultRowHeight="11.25"/>
  <cols>
    <col min="1" max="1" style="11267" width="15.00390625" hidden="1" customWidth="1"/>
    <col min="2" max="2" style="8882" width="15.00390625" hidden="1" customWidth="1"/>
    <col min="3" max="3" style="8929" width="3.7109375" customWidth="1"/>
    <col min="4" max="4" style="8930" width="6.8515625" customWidth="1"/>
    <col min="5" max="5" style="8929" width="52.28125" customWidth="1"/>
    <col min="6" max="6" style="8929" width="48.8515625" customWidth="1"/>
    <col min="7" max="7" style="8929" width="121.7109375" customWidth="1"/>
    <col min="8" max="8" style="8929" width="9.140625"/>
    <col min="9" max="9" style="8929" width="65.00390625" customWidth="1"/>
  </cols>
  <sheetData>
    <row customHeight="1" ht="11.25" hidden="1">
      <c r="A1" s="1999" t="s">
        <v>361</v>
      </c>
    </row>
    <row customHeight="1" ht="11.25" hidden="1"/>
    <row s="8844" customFormat="1" customHeight="1" ht="11.25">
      <c r="A3" s="1999"/>
      <c r="B3" s="738"/>
      <c r="D3" s="715"/>
    </row>
    <row customHeight="1" ht="36.75">
      <c r="D4" s="2250" t="str">
        <f>ORG_INFO_NAME_FORM</f>
        <v>Форма 1. Информация о регулируемой организации, единых теплоснабжающих организациях в ценовых зонах теплоснабжения, теплоснабжающих организациях в ценовых зонах теплоснабжения и теплосетевых организациях в ценовых зонах теплоснабжения (общая информация)</v>
      </c>
      <c r="E4" s="2251"/>
      <c r="F4" s="2252"/>
      <c r="I4" s="952"/>
    </row>
    <row customHeight="1" ht="17.25">
      <c r="D5" s="2263" t="str">
        <f>IF(org=0,"Не определено",org)</f>
        <v>ООО "СамРЭК-Тепло Жигулевск"</v>
      </c>
      <c r="E5" s="2263"/>
      <c r="F5" s="2263"/>
      <c r="I5" s="952"/>
    </row>
    <row s="8844" customFormat="1" customHeight="1" ht="11.25">
      <c r="A6" s="1999"/>
      <c r="B6" s="738"/>
      <c r="D6" s="951"/>
      <c r="E6" s="951"/>
      <c r="F6" s="991"/>
      <c r="G6" s="951"/>
    </row>
    <row customHeight="1" ht="11.25" hidden="1">
      <c r="A7" s="694"/>
      <c r="B7" s="739"/>
      <c r="C7" s="694"/>
      <c r="D7" s="700"/>
      <c r="E7" s="2259"/>
      <c r="F7" s="2259"/>
    </row>
    <row customHeight="1" ht="11.25">
      <c r="A8" s="694"/>
      <c r="B8" s="739"/>
      <c r="C8" s="694"/>
      <c r="D8" s="2255" t="s">
        <v>362</v>
      </c>
      <c r="E8" s="2256"/>
      <c r="F8" s="2256"/>
      <c r="G8" s="2260" t="s">
        <v>363</v>
      </c>
    </row>
    <row customHeight="1" ht="11.25">
      <c r="A9" s="694"/>
      <c r="B9" s="739"/>
      <c r="C9" s="694"/>
      <c r="D9" s="709" t="s">
        <v>88</v>
      </c>
      <c r="E9" s="683" t="s">
        <v>364</v>
      </c>
      <c r="F9" s="683" t="s">
        <v>365</v>
      </c>
      <c r="G9" s="2261"/>
    </row>
    <row customHeight="1" ht="12" hidden="1">
      <c r="A10" s="694"/>
      <c r="B10" s="739"/>
      <c r="C10" s="694"/>
      <c r="D10" s="701"/>
      <c r="E10" s="701"/>
      <c r="F10" s="701"/>
      <c r="G10" s="701"/>
    </row>
    <row customHeight="1" ht="22.5" hidden="1">
      <c r="A11" s="694"/>
      <c r="B11" s="739"/>
      <c r="C11" s="694"/>
      <c r="D11" s="1265" t="s">
        <v>109</v>
      </c>
      <c r="E11" s="1268" t="s">
        <v>366</v>
      </c>
      <c r="F11" s="1267" t="str">
        <f>IF(region_name="","",region_name)</f>
        <v>Самарская область</v>
      </c>
      <c r="G11" s="1268" t="s">
        <v>367</v>
      </c>
      <c r="H11" s="712"/>
    </row>
    <row customHeight="1" ht="22.5" hidden="1">
      <c r="A12" s="694"/>
      <c r="B12" s="739"/>
      <c r="C12" s="694"/>
      <c r="D12" s="682" t="s">
        <v>109</v>
      </c>
      <c r="E12" s="681" t="str">
        <f>IF(TEMPLATE_SPHERE="TKO","Данные об организации (индивидуальном предпринимателе)","Данные о регулируемой организации"&amp;IF(TEMPLATE_SPHERE="HEAT",", о единой теплоснабжающей организации в ценовых зонах теплоснабжения, о теплоснабжающей организации в ценовых зонах теплоснабжения и теплосетевой организации в ценовых зонах теплоснабжения ",""))</f>
        <v>Данные о регулируемой организации, о единой теплоснабжающей организации в ценовых зонах теплоснабжения, о теплоснабжающей организации в ценовых зонах теплоснабжения и теплосетевой организации в ценовых зонах теплоснабжения </v>
      </c>
      <c r="F12" s="680" t="s">
        <v>368</v>
      </c>
      <c r="G12" s="711"/>
      <c r="H12" s="712"/>
    </row>
    <row customHeight="1" ht="22.5">
      <c r="A13" s="694"/>
      <c r="B13" s="739"/>
      <c r="C13" s="694"/>
      <c r="D13" s="682" t="s">
        <v>109</v>
      </c>
      <c r="E13" s="679" t="str">
        <f>"Наименование юридического лица"&amp;IF(TEMPLATE_SPHERE="TKO"," (индивидуального предпринимателя)","")</f>
        <v>Наименование юридического лица</v>
      </c>
      <c r="F13" s="678"/>
      <c r="G13" s="681" t="str">
        <f>"Наименование юридического лица"&amp;IF(TEMPLATE_SPHERE="HEAT"," (согласно уставу регулируемой организации)"," указывается согласно уставу "&amp;IF(TEMPLATE_SPHERE="TKO","организации. Наименование индивидуального предпринимателя указывается согласно сведениям из ЕГРИП.","регулируемой организации."))</f>
        <v>Наименование юридического лица (согласно уставу регулируемой организации)</v>
      </c>
      <c r="H13" s="712"/>
    </row>
    <row customHeight="1" ht="22.5" hidden="1">
      <c r="A14" s="694"/>
      <c r="B14" s="739"/>
      <c r="C14" s="694"/>
      <c r="D14" s="1265" t="s">
        <v>369</v>
      </c>
      <c r="E14" s="1266" t="s">
        <v>370</v>
      </c>
      <c r="F14" s="1267" t="str">
        <f>IF(inn="","",inn)</f>
        <v>6382079233</v>
      </c>
      <c r="G14" s="1268" t="s">
        <v>371</v>
      </c>
      <c r="H14" s="712"/>
    </row>
    <row customHeight="1" ht="22.5" hidden="1">
      <c r="A15" s="694"/>
      <c r="B15" s="739"/>
      <c r="C15" s="694"/>
      <c r="D15" s="1265" t="s">
        <v>372</v>
      </c>
      <c r="E15" s="1266" t="s">
        <v>373</v>
      </c>
      <c r="F15" s="1267" t="str">
        <f>IF(kpp="","",kpp)</f>
        <v>638201001</v>
      </c>
      <c r="G15" s="1268" t="s">
        <v>374</v>
      </c>
      <c r="H15" s="712"/>
    </row>
    <row customHeight="1" ht="36.75">
      <c r="A16" s="694"/>
      <c r="B16" s="739"/>
      <c r="C16" s="694"/>
      <c r="D16" s="682" t="s">
        <v>110</v>
      </c>
      <c r="E16" s="679" t="str">
        <f>"Основной государственный регистрационный номер (ОГРН)"&amp;IF(TEMPLATE_SPHERE="TKO",""," (основной государственный регистрационный номер индивидуального предпринимателя (ОГРНИП)")</f>
        <v>Основной государственный регистрационный номер (ОГРН) (основной государственный регистрационный номер индивидуального предпринимателя (ОГРНИП)</v>
      </c>
      <c r="F16" s="678"/>
      <c r="G16" s="681" t="str">
        <f>"Указывается основной государственный регистрационный номер юридического лица"&amp;IF(TEMPLATE_SPHERE="TKO",""," (индивидуального предпринимателя)")&amp;"."</f>
        <v>Указывается основной государственный регистрационный номер юридического лица (индивидуального предпринимателя).</v>
      </c>
      <c r="H16" s="712"/>
    </row>
    <row customHeight="1" ht="22.5">
      <c r="A17" s="694"/>
      <c r="B17" s="739"/>
      <c r="C17" s="694"/>
      <c r="D17" s="682" t="s">
        <v>90</v>
      </c>
      <c r="E17" s="679" t="str">
        <f>"Дата присвоения ОГРН"&amp;IF(TEMPLATE_SPHERE="TKO",""," (ОГРНИП)")</f>
        <v>Дата присвоения ОГРН (ОГРНИП)</v>
      </c>
      <c r="F17" s="2047" t="s">
        <v>17</v>
      </c>
      <c r="G17" s="681" t="str">
        <f>"Дата присвоения ОГРН"&amp;IF(TEMPLATE_SPHERE="TKO",""," (ОГРНИП)")&amp;" указывается в виде «ДД.ММ.ГГГГ»."</f>
        <v>Дата присвоения ОГРН (ОГРНИП) указывается в виде «ДД.ММ.ГГГГ».</v>
      </c>
      <c r="H17" s="712"/>
    </row>
    <row customHeight="1" ht="56.25">
      <c r="A18" s="694"/>
      <c r="B18" s="739"/>
      <c r="C18" s="694"/>
      <c r="D18" s="682" t="s">
        <v>91</v>
      </c>
      <c r="E18" s="679" t="str">
        <f>"Наименование органа, принявшего решение о "&amp;IF(TEMPLATE_SPHERE="TKO","государственной регистрации организации ","регистрации в соответствии со свидетельством о государственной регистрации")&amp;" в качестве юридического лица (о государственной регистрации физического лица в качестве индивидуального предпринимателя)"</f>
        <v>Наименование органа, принявшего решение о регистрации в соответствии со свидетельством о государственной регистрации в качестве юридического лица (о государственной регистрации физического лица в качестве индивидуального предпринимателя)</v>
      </c>
      <c r="F18" s="678"/>
      <c r="G18" s="711"/>
      <c r="H18" s="712"/>
    </row>
    <row customHeight="1" ht="22.5" hidden="1">
      <c r="A19" s="2257">
        <v>1</v>
      </c>
      <c r="B19" s="739"/>
      <c r="C19" s="2262"/>
      <c r="D19" s="677">
        <v>5</v>
      </c>
      <c r="E19" s="679" t="s">
        <v>375</v>
      </c>
      <c r="F19" s="680" t="s">
        <v>368</v>
      </c>
      <c r="G19" s="681" t="s">
        <v>376</v>
      </c>
      <c r="H19" s="712"/>
      <c r="I19" s="1098"/>
    </row>
    <row customHeight="1" ht="33.75" hidden="1">
      <c r="A20" s="2257"/>
      <c r="B20" s="739"/>
      <c r="C20" s="2262"/>
      <c r="D20" s="682" t="s">
        <v>377</v>
      </c>
      <c r="E20" s="676" t="s">
        <v>378</v>
      </c>
      <c r="F20" s="1128" t="s">
        <v>17</v>
      </c>
      <c r="G20" s="711"/>
      <c r="H20" s="712"/>
      <c r="I20" s="1098"/>
    </row>
    <row customHeight="1" ht="22.5" hidden="1">
      <c r="A21" s="2257"/>
      <c r="B21" s="739"/>
      <c r="C21" s="2262"/>
      <c r="D21" s="682" t="s">
        <v>379</v>
      </c>
      <c r="E21" s="676" t="s">
        <v>380</v>
      </c>
      <c r="F21" s="2048" t="s">
        <v>17</v>
      </c>
      <c r="G21" s="681" t="s">
        <v>381</v>
      </c>
      <c r="H21" s="712"/>
      <c r="I21" s="1098"/>
    </row>
    <row customHeight="1" ht="22.5" hidden="1">
      <c r="A22" s="2257"/>
      <c r="B22" s="739"/>
      <c r="C22" s="2262"/>
      <c r="D22" s="682" t="s">
        <v>382</v>
      </c>
      <c r="E22" s="676" t="s">
        <v>383</v>
      </c>
      <c r="F22" s="1128" t="s">
        <v>17</v>
      </c>
      <c r="G22" s="711"/>
      <c r="H22" s="712"/>
      <c r="I22" s="1098"/>
    </row>
    <row customHeight="1" ht="22.5" hidden="1">
      <c r="A23" s="2257"/>
      <c r="B23" s="739"/>
      <c r="C23" s="2262"/>
      <c r="D23" s="682" t="s">
        <v>384</v>
      </c>
      <c r="E23" s="676" t="s">
        <v>385</v>
      </c>
      <c r="F23" s="1128" t="s">
        <v>17</v>
      </c>
      <c r="G23" s="681" t="s">
        <v>386</v>
      </c>
      <c r="H23" s="712"/>
      <c r="I23" s="1098"/>
    </row>
    <row s="8882" customFormat="1" customHeight="1" ht="24.75" hidden="1">
      <c r="A24" s="694"/>
      <c r="B24" s="739"/>
      <c r="C24" s="739"/>
      <c r="D24" s="1262" t="s">
        <v>90</v>
      </c>
      <c r="E24" s="1264" t="s">
        <v>387</v>
      </c>
      <c r="F24" s="1269" t="s">
        <v>368</v>
      </c>
      <c r="G24" s="1264"/>
    </row>
    <row s="8882" customFormat="1" customHeight="1" ht="11.25" hidden="1">
      <c r="A25" s="694"/>
      <c r="B25" s="739"/>
      <c r="C25" s="739"/>
      <c r="D25" s="1262" t="s">
        <v>388</v>
      </c>
      <c r="E25" s="1263" t="s">
        <v>389</v>
      </c>
      <c r="F25" s="1269" t="s">
        <v>368</v>
      </c>
      <c r="G25" s="1264"/>
    </row>
    <row s="8882" customFormat="1" customHeight="1" ht="11.25" hidden="1">
      <c r="A26" s="694"/>
      <c r="B26" s="739"/>
      <c r="C26" s="739"/>
      <c r="D26" s="1262" t="s">
        <v>390</v>
      </c>
      <c r="E26" s="1270" t="s">
        <v>391</v>
      </c>
      <c r="F26" s="1271"/>
      <c r="G26" s="1264" t="str">
        <f>"Указывается фамилия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фамилия должностного лица регулируемой организации, ответственного за размещение данных, в соответствии с паспортными данными физического лица.</v>
      </c>
    </row>
    <row s="8882" customFormat="1" customHeight="1" ht="11.25" hidden="1">
      <c r="A27" s="694"/>
      <c r="B27" s="739"/>
      <c r="C27" s="739"/>
      <c r="D27" s="1262" t="s">
        <v>392</v>
      </c>
      <c r="E27" s="1270" t="s">
        <v>393</v>
      </c>
      <c r="F27" s="1271"/>
      <c r="G27" s="1264" t="str">
        <f>"Указывается имя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имя должностного лица регулируемой организации, ответственного за размещение данных, в соответствии с паспортными данными физического лица.</v>
      </c>
    </row>
    <row s="8882" customFormat="1" customHeight="1" ht="11.25" hidden="1">
      <c r="A28" s="694"/>
      <c r="B28" s="739"/>
      <c r="C28" s="739"/>
      <c r="D28" s="1262" t="s">
        <v>394</v>
      </c>
      <c r="E28" s="1270" t="s">
        <v>395</v>
      </c>
      <c r="F28" s="1271"/>
      <c r="G28" s="1264" t="str">
        <f>"Указывается отчество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 (при наличии)."</f>
        <v>Указывается отчество должностного лица регулируемой организации, ответственного за размещение данных, в соответствии с паспортными данными физического лица (при наличии).</v>
      </c>
    </row>
    <row s="8882" customFormat="1" customHeight="1" ht="11.25" hidden="1">
      <c r="A29" s="694"/>
      <c r="B29" s="739"/>
      <c r="C29" s="739"/>
      <c r="D29" s="1262" t="s">
        <v>396</v>
      </c>
      <c r="E29" s="1263" t="s">
        <v>397</v>
      </c>
      <c r="F29" s="1271"/>
      <c r="G29" s="1264"/>
    </row>
    <row s="8882" customFormat="1" customHeight="1" ht="11.25" hidden="1">
      <c r="A30" s="694"/>
      <c r="B30" s="739"/>
      <c r="C30" s="739"/>
      <c r="D30" s="1262" t="s">
        <v>398</v>
      </c>
      <c r="E30" s="1263" t="s">
        <v>399</v>
      </c>
      <c r="F30" s="1271"/>
      <c r="G30" s="1264"/>
    </row>
    <row s="8882" customFormat="1" customHeight="1" ht="11.25" hidden="1">
      <c r="A31" s="694"/>
      <c r="B31" s="739"/>
      <c r="C31" s="739"/>
      <c r="D31" s="1262" t="s">
        <v>400</v>
      </c>
      <c r="E31" s="1263" t="s">
        <v>401</v>
      </c>
      <c r="F31" s="3287"/>
      <c r="G31" s="1264"/>
    </row>
    <row customHeight="1" ht="22.5">
      <c r="A32" s="694" t="str">
        <f>IF(TEMPLATE_SPHERE="HEAT","6","5")</f>
        <v>6</v>
      </c>
      <c r="B32" s="739"/>
      <c r="C32" s="694"/>
      <c r="D32" s="677" t="str">
        <f>A32</f>
        <v>6</v>
      </c>
      <c r="E32" s="675" t="str">
        <f>"Фамилия, имя и отчество руководителя"&amp;IF(TEMPLATE_SPHERE="HEAT"," регулируемой организации, ЕТО, ТО ",IF(TEMPLATE_SPHERE&lt;&gt;"TKO"," регулируемой организации"," организации"))&amp;IF(TEMPLATE_SPHERE&lt;&gt;"TKO"," (индивидуального предпринимателя)","")&amp;":"</f>
        <v>Фамилия, имя и отчество руководителя регулируемой организации, ЕТО, ТО  (индивидуального предпринимателя):</v>
      </c>
      <c r="F32" s="680" t="s">
        <v>368</v>
      </c>
      <c r="G32" s="711"/>
      <c r="H32" s="712"/>
    </row>
    <row customHeight="1" ht="22.5">
      <c r="A33" s="694"/>
      <c r="B33" s="739"/>
      <c r="C33" s="694"/>
      <c r="D33" s="677" t="str">
        <f>D32&amp;".1"</f>
        <v>6.1</v>
      </c>
      <c r="E33" s="679" t="str">
        <f>"фамилия"&amp;IF(TEMPLATE_SPHERE&lt;&gt;"HEAT"," руководителя","")</f>
        <v>фамилия</v>
      </c>
      <c r="F33" s="678"/>
      <c r="G33" s="681" t="str">
        <f>"Указывается фамилия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фамилия руководителя регулируемой организации, ЕТО, ТО в соответствии с паспортными данными физического лица.</v>
      </c>
      <c r="H33" s="712"/>
    </row>
    <row customHeight="1" ht="22.5">
      <c r="A34" s="694"/>
      <c r="B34" s="739"/>
      <c r="C34" s="694"/>
      <c r="D34" s="677" t="str">
        <f>D32&amp;".2"</f>
        <v>6.2</v>
      </c>
      <c r="E34" s="679" t="str">
        <f>"имя"&amp;IF(TEMPLATE_SPHERE&lt;&gt;"HEAT"," руководителя","")</f>
        <v>имя</v>
      </c>
      <c r="F34" s="678"/>
      <c r="G34" s="681" t="str">
        <f>"Указывается имя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имя руководителя регулируемой организации, ЕТО, ТО в соответствии с паспортными данными физического лица.</v>
      </c>
      <c r="H34" s="712"/>
    </row>
    <row customHeight="1" ht="22.5">
      <c r="A35" s="694"/>
      <c r="B35" s="739"/>
      <c r="C35" s="694"/>
      <c r="D35" s="677" t="str">
        <f>D32&amp;".3"</f>
        <v>6.3</v>
      </c>
      <c r="E35" s="679" t="str">
        <f>"отчество"&amp;IF(TEMPLATE_SPHERE&lt;&gt;"HEAT"," руководителя","")</f>
        <v>отчество</v>
      </c>
      <c r="F35" s="935"/>
      <c r="G35" s="681" t="str">
        <f>"Указывается отчество руководителя"&amp;IF(TEMPLATE_SPHERE&lt;&gt;"TKO"," регулируемой организации"&amp;IF(TEMPLATE_SPHERE="HEAT",", ЕТО, ТО","")," организации")&amp;" в соответствии с паспортными данными физического лица (при наличии)."</f>
        <v>Указывается отчество руководителя регулируемой организации, ЕТО, ТО в соответствии с паспортными данными физического лица (при наличии).</v>
      </c>
      <c r="H35" s="712"/>
    </row>
    <row customHeight="1" ht="33.75">
      <c r="A36" s="694"/>
      <c r="B36" s="739"/>
      <c r="C36" s="694"/>
      <c r="D36" s="677">
        <f>D32+1</f>
        <v>7</v>
      </c>
      <c r="E36" s="675" t="str">
        <f>"Почтовый адрес органов управления"&amp;IF(TEMPLATE_SPHERE&lt;&gt;"TKO"," регулируемой","")&amp;" организации"&amp;IF(TEMPLATE_SPHERE="HEAT",", ЕТО, ТО","")</f>
        <v>Почтовый адрес органов управления регулируемой организации, ЕТО, ТО</v>
      </c>
      <c r="F36" s="678"/>
      <c r="G36" s="681" t="s">
        <v>402</v>
      </c>
      <c r="H36" s="712"/>
    </row>
    <row customHeight="1" ht="33.75">
      <c r="A37" s="694"/>
      <c r="B37" s="739"/>
      <c r="C37" s="694"/>
      <c r="D37" s="677">
        <f>D36+1</f>
        <v>8</v>
      </c>
      <c r="E37" s="675" t="str">
        <f>"Адрес места нахождения органов управления"&amp;IF(TEMPLATE_SPHERE&lt;&gt;"TKO"," регулируемой","")&amp;" организации"&amp;IF(TEMPLATE_SPHERE="HEAT",", ЕТО, ТО","")</f>
        <v>Адрес места нахождения органов управления регулируемой организации, ЕТО, ТО</v>
      </c>
      <c r="F37" s="678"/>
      <c r="G37" s="681" t="s">
        <v>402</v>
      </c>
      <c r="H37" s="712"/>
    </row>
    <row customHeight="1" ht="22.5">
      <c r="A38" s="694"/>
      <c r="B38" s="739"/>
      <c r="C38" s="694"/>
      <c r="D38" s="677">
        <f>D37+1</f>
        <v>9</v>
      </c>
      <c r="E38" s="674" t="str">
        <f>"Контактные телефоны "&amp;IF(TEMPLATE_SPHERE="TKO","","регулируемой ")&amp;"организации"&amp;IF(TEMPLATE_SPHERE="HEAT",", ЕТО, ТО",IF(TEMPLATE_SPHERE="TKO"," (индивидуального предпринимателя)",""))</f>
        <v>Контактные телефоны регулируемой организации, ЕТО, ТО</v>
      </c>
      <c r="F38" s="680" t="s">
        <v>368</v>
      </c>
      <c r="G38" s="2264" t="str">
        <f>"Указывается номер контактного телефона"&amp;IF(TEMPLATE_SPHERE&lt;&gt;"TKO"," регулируемой","")&amp;" организации.
В случае наличия нескольких номеров телефонов, информация по каждому из них указывается в отдельной строке."</f>
        <v>Указывается номер контактного телефона регулируемой организации.
В случае наличия нескольких номеров телефонов, информация по каждому из них указывается в отдельной строке.</v>
      </c>
      <c r="H38" s="712"/>
    </row>
    <row customHeight="1" ht="22.5" hidden="1">
      <c r="A39" s="694"/>
      <c r="B39" s="739"/>
      <c r="C39" s="694"/>
      <c r="D39" s="677" t="str">
        <f>D38&amp;".0"</f>
        <v>9.0</v>
      </c>
      <c r="E39" s="1918"/>
      <c r="F39" s="1128"/>
      <c r="G39" s="2265"/>
      <c r="H39" s="712"/>
    </row>
    <row customHeight="1" ht="22.5">
      <c r="A40" s="694"/>
      <c r="B40" s="694"/>
      <c r="C40" s="2001"/>
      <c r="D40" s="677" t="str">
        <f>D38&amp;".1"</f>
        <v>9.1</v>
      </c>
      <c r="E40" s="1106"/>
      <c r="F40" s="1108"/>
      <c r="G40" s="2265"/>
      <c r="H40" s="712"/>
    </row>
    <row customHeight="1" ht="15">
      <c r="A41" s="694"/>
      <c r="B41" s="739"/>
      <c r="C41" s="694"/>
      <c r="D41" s="704"/>
      <c r="E41" s="651" t="s">
        <v>403</v>
      </c>
      <c r="F41" s="706"/>
      <c r="G41" s="2266"/>
      <c r="H41" s="713"/>
    </row>
    <row customHeight="1" ht="25.5">
      <c r="A42" s="694"/>
      <c r="B42" s="739"/>
      <c r="C42" s="694"/>
      <c r="D42" s="677">
        <f>D38+1</f>
        <v>10</v>
      </c>
      <c r="E42" s="675" t="str">
        <f>IF(TEMPLATE_SPHERE="TKO","Адрес официального сайта организации в сети «Интернет»","Официальный сайт регулируемой организации"&amp;IF(TEMPLATE_SPHERE="HEAT",", ЕТО, ТО","")&amp;" в сети «Интернет»")</f>
        <v>Официальный сайт регулируемой организации, ЕТО, ТО в сети «Интернет»</v>
      </c>
      <c r="F42" s="3301"/>
      <c r="G42" s="681" t="str">
        <f>"Указывается адрес официального сайта"&amp;IF(TEMPLATE_SPHERE&lt;&gt;"TKO"," регулируемой","")&amp;" организации"&amp;" в сети «Интернет». В случае отсутствия официального сайта"&amp;IF(TEMPLATE_SPHERE&lt;&gt;"TKO"," регулируемой","")&amp;" организации в сети «Интернет» указывается «Отсутствует»."</f>
        <v>Указывается адрес официального сайта регулируемой организации в сети «Интернет». В случае отсутствия официального сайта регулируемой организации в сети «Интернет» указывается «Отсутствует».</v>
      </c>
      <c r="H42" s="712"/>
    </row>
    <row customHeight="1" ht="22.5">
      <c r="A43" s="694"/>
      <c r="B43" s="739"/>
      <c r="C43" s="694"/>
      <c r="D43" s="677">
        <f>D42+1</f>
        <v>11</v>
      </c>
      <c r="E43" s="675" t="str">
        <f>"Адрес электронной почты "&amp;IF(TEMPLATE_SPHERE="TKO","","регулируемой ")&amp;"организации"&amp;IF(TEMPLATE_SPHERE="HEAT",", ЕТО, ТО",IF(TEMPLATE_SPHERE="TKO"," (индивидуального предпринимателя)",""))</f>
        <v>Адрес электронной почты регулируемой организации, ЕТО, ТО</v>
      </c>
      <c r="F43" s="3302"/>
      <c r="G43" s="711" t="s">
        <v>404</v>
      </c>
      <c r="H43" s="712"/>
    </row>
    <row customHeight="1" ht="22.5">
      <c r="A44" s="694"/>
      <c r="B44" s="739"/>
      <c r="C44" s="694"/>
      <c r="D44" s="677">
        <f>D43+1</f>
        <v>12</v>
      </c>
      <c r="E44" s="675" t="s">
        <v>405</v>
      </c>
      <c r="F44" s="680" t="s">
        <v>368</v>
      </c>
      <c r="G44" s="674" t="str">
        <f>IF(TEMPLATE_SPHERE="TKO","Указывается режим работы организации.","")</f>
        <v/>
      </c>
      <c r="H44" s="712"/>
    </row>
    <row customHeight="1" ht="22.5">
      <c r="A45" s="694"/>
      <c r="B45" s="739"/>
      <c r="C45" s="694"/>
      <c r="D45" s="677" t="str">
        <f>D44&amp;".1"</f>
        <v>12.1</v>
      </c>
      <c r="E45" s="679" t="str">
        <f>"режим работы регулируемой организации"&amp;IF(TEMPLATE_SPHERE="HEAT",", ЕТО, ТО","")</f>
        <v>режим работы регулируемой организации, ЕТО, ТО</v>
      </c>
      <c r="F45" s="1997"/>
      <c r="G45" s="674" t="s">
        <v>406</v>
      </c>
      <c r="H45" s="712"/>
    </row>
    <row customHeight="1" ht="22.5">
      <c r="A46" s="2253"/>
      <c r="B46" s="739"/>
      <c r="C46" s="729"/>
      <c r="D46" s="677" t="str">
        <f>D44&amp;".2"</f>
        <v>12.2</v>
      </c>
      <c r="E46" s="679" t="s">
        <v>407</v>
      </c>
      <c r="F46" s="727"/>
      <c r="G46" s="674" t="s">
        <v>408</v>
      </c>
      <c r="H46" s="712"/>
    </row>
    <row customHeight="1" ht="22.5">
      <c r="A47" s="2253"/>
      <c r="B47" s="739"/>
      <c r="C47" s="729"/>
      <c r="D47" s="677" t="str">
        <f>D44&amp;".3"</f>
        <v>12.3</v>
      </c>
      <c r="E47" s="679" t="s">
        <v>409</v>
      </c>
      <c r="F47" s="727"/>
      <c r="G47" s="674" t="s">
        <v>410</v>
      </c>
      <c r="H47" s="712"/>
    </row>
    <row customHeight="1" ht="22.5">
      <c r="A48" s="2253"/>
      <c r="B48" s="739"/>
      <c r="C48" s="729"/>
      <c r="D48" s="677" t="str">
        <f>IF(TEMPLATE_SPHERE="TKO",D44&amp;".0",D44&amp;".4")</f>
        <v>12.4</v>
      </c>
      <c r="E48" s="673" t="s">
        <v>411</v>
      </c>
      <c r="F48" s="1998"/>
      <c r="G48" s="2102" t="s">
        <v>412</v>
      </c>
      <c r="H48" s="712"/>
    </row>
    <row customHeight="1" ht="22.5">
      <c r="A49" s="694"/>
      <c r="B49" s="739"/>
      <c r="C49" s="694"/>
      <c r="D49" s="704"/>
      <c r="E49" s="651" t="s">
        <v>413</v>
      </c>
      <c r="F49" s="705"/>
      <c r="G49" s="2102" t="s">
        <v>414</v>
      </c>
      <c r="H49" s="713"/>
    </row>
    <row customHeight="1" ht="22.5">
      <c r="A50" s="1104"/>
      <c r="B50" s="739"/>
      <c r="C50" s="729"/>
      <c r="D50" s="677">
        <f>D44+1</f>
        <v>13</v>
      </c>
      <c r="E50" s="765" t="s">
        <v>415</v>
      </c>
      <c r="F50" s="727"/>
      <c r="G50" s="2002" t="str">
        <f>"Указывается наличие «да» или отсутствие «нет» утвержденной в установленном порядке инвестиционной программы"&amp;IF(TEMPLATE_SPHERE="HEAT","В соответствии с пунктом 1(1) Правил согласования и утверждения инвестиционных программ организаций, осуществляющих регулируемые виды деятельности в сфере теплоснабжения, "&amp;"а также требований к составу и содержанию таких программ (за исключением таких программ, утверждаемых "&amp;"в соответствии с законодательством российской федерации об электроэнергетике), утвержденных постановлением Правительства Российской Федерации от 05.05.2014 № 410, "&amp;"в ценовых зонах теплоснабжения инвестиционная программа в отношении деятельности по подключению (технологическому присоединению) к системе теплоснабжения не разрабатывается и не утверждается.","")</f>
        <v>Указывается наличие «да» или отсутствие «нет» утвержденной в установленном порядке инвестиционной программыВ соответствии с пунктом 1(1) Правил согласования и утверждения инвестиционных программ организаций, осуществляющих регулируемые виды деятельности в сфере теплоснабжения, а также требований к составу и содержанию таких программ (за исключением таких программ, утверждаемых в соответствии с законодательством российской федерации об электроэнергетике), утвержденных постановлением Правительства Российской Федерации от 05.05.2014 № 410, в ценовых зонах теплоснабжения инвестиционная программа в отношении деятельности по подключению (технологическому присоединению) к системе теплоснабжения не разрабатывается и не утверждается.</v>
      </c>
      <c r="H50" s="712"/>
    </row>
    <row customHeight="1" ht="11.25">
      <c r="A51" s="694"/>
      <c r="B51" s="739"/>
      <c r="C51" s="694"/>
    </row>
    <row s="8916" customFormat="1" customHeight="1" ht="30">
      <c r="A52" s="2000"/>
      <c r="B52" s="740"/>
      <c r="C52" s="2254"/>
      <c r="D52" s="2258" t="str">
        <f>"В случае если регулируемая организация"&amp;IF(TEMPLATE_SPHERE="HEAT",", единая теплоснабжающая организация в ценовых зонах теплоснабжения, теплоснабжающая организация в ценовых зонах теплоснабжения и теплосетевая организация в ценовых зонах теплоснабжения","")&amp;" осуществляет несколько видов деятельности в сфере "&amp;TEMPLATE_SPHERE_RUS&amp;", информация о которых подлежит раскрытию в соответствии со Стандартами раскрытия информации в сфере "&amp;IF(TEMPLATE_SPHERE="HEAT","теплоснабжения","водоснабжения и водоотведения")&amp;", утвержденными постановлением Правительства Российской Федерации от 26.01.2023 № "&amp;IF(TEMPLATE_SPHERE="HEAT","110",IF(TEMPLATE_SPHERE="TKO","109 ""Об утверждении стандартов раскрытия информации в области обращения с твердыми коммунальными отходами""","108"))&amp;", информация по каждому виду деятельности раскрывается отдельно."</f>
        <v>В случае если регулируемая организация, единая теплоснабжающая организация в ценовых зонах теплоснабжения, теплоснабжающая организация в ценовых зонах теплоснабжения и теплосетевая организация в ценовых зонах теплоснабжения осуществляет несколько видов деятельности в сфере теплоснабжения, информация о которых подлежит раскрытию в соответствии со Стандартами раскрытия информации в сфере теплоснабжения, утвержденными постановлением Правительства Российской Федерации от 26.01.2023 № 110, информация по каждому виду деятельности раскрывается отдельно.</v>
      </c>
      <c r="E52" s="2258"/>
      <c r="F52" s="2258"/>
      <c r="G52" s="2258"/>
      <c r="H52" s="691"/>
      <c r="I52" s="691"/>
    </row>
    <row s="8916" customFormat="1" customHeight="1" ht="39.75">
      <c r="A53" s="694"/>
      <c r="B53" s="739"/>
      <c r="C53" s="2254"/>
      <c r="D53" s="2258" t="str">
        <f>IF(ORG_INFO_P_NOTE_MAIN=0,"",ORG_INFO_P_NOTE_MAIN)</f>
        <v>В случае если регулируемыми организациями,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оказываются услуги по теплоснабжению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v>
      </c>
      <c r="E53" s="2258"/>
      <c r="F53" s="2258"/>
      <c r="G53" s="2258"/>
    </row>
    <row customHeight="1" ht="11.25">
      <c r="D54" s="695"/>
      <c r="E54" s="696"/>
      <c r="F54" s="696"/>
      <c r="G54" s="696"/>
    </row>
    <row customHeight="1" ht="27">
      <c r="D55" s="698"/>
      <c r="E55" s="695"/>
      <c r="F55" s="707"/>
      <c r="G55" s="707"/>
    </row>
    <row customHeight="1" ht="11.25">
      <c r="D56" s="695"/>
      <c r="E56" s="695"/>
      <c r="F56" s="696"/>
      <c r="G56" s="696"/>
    </row>
    <row customHeight="1" ht="39">
      <c r="D57" s="699"/>
      <c r="E57" s="708"/>
      <c r="F57" s="708"/>
      <c r="G57" s="708"/>
    </row>
    <row customHeight="1" ht="27">
      <c r="D58" s="699"/>
      <c r="E58" s="708"/>
      <c r="F58" s="708"/>
      <c r="G58" s="708"/>
    </row>
  </sheetData>
  <sheetProtection formatColumns="0" formatRows="0" sort="0" autoFilter="0" insertRows="0" insertColumns="1" deleteRows="0" deleteColumns="0"/>
  <mergeCells count="12">
    <mergeCell ref="D4:F4"/>
    <mergeCell ref="A46:A48"/>
    <mergeCell ref="C52:C53"/>
    <mergeCell ref="D8:F8"/>
    <mergeCell ref="A19:A23"/>
    <mergeCell ref="D52:G52"/>
    <mergeCell ref="D53:G53"/>
    <mergeCell ref="E7:F7"/>
    <mergeCell ref="G8:G9"/>
    <mergeCell ref="C19:C23"/>
    <mergeCell ref="D5:F5"/>
    <mergeCell ref="G38:G41"/>
  </mergeCells>
  <dataValidations count="3">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50 F45:F48">
      <formula1>"a"</formula1>
    </dataValidation>
    <dataValidation type="textLength" operator="lessThanOrEqual" allowBlank="1" showInputMessage="1" showErrorMessage="1" errorTitle="Ошибка" error="Допускается ввод не более 900 символов!" sqref="F13 F42:F43 F26:F31 F16 F22:F23 F18 F20 F33:F37 E39:F40">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1 F17"/>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762AD15-F971-1F24-3DB3-7953F86D3AEC}" mc:Ignorable="x14ac xr xr2 xr3">
  <sheetPr>
    <tabColor theme="3" tint="0.6"/>
  </sheetPr>
  <dimension ref="A1:AS17"/>
  <sheetViews>
    <sheetView topLeftCell="C3" showGridLines="0" zoomScale="90" workbookViewId="0">
      <selection activeCell="A1" sqref="A1"/>
    </sheetView>
  </sheetViews>
  <sheetFormatPr defaultColWidth="10.57421875" customHeight="1" defaultRowHeight="14.25"/>
  <cols>
    <col min="1" max="1" style="11248" width="9.140625" hidden="1" customWidth="1"/>
    <col min="2" max="2" style="11126" width="9.140625" hidden="1" customWidth="1"/>
    <col min="3" max="3" style="11307" width="3.7109375" customWidth="1"/>
    <col min="4" max="4" style="11126" width="5.57421875" customWidth="1"/>
    <col min="5" max="5" style="11126" width="48.421875" customWidth="1"/>
    <col min="6" max="6" style="11126" width="38.140625" customWidth="1"/>
    <col min="7" max="7" style="11126" width="1.7109375" hidden="1" customWidth="1"/>
    <col min="8" max="11" style="11126" width="19.8515625" customWidth="1"/>
    <col min="12" max="12" style="11126" width="9.7109375" customWidth="1"/>
    <col min="13" max="18" style="11126" width="19.8515625" customWidth="1"/>
    <col min="19" max="19" style="11126" width="1.7109375" hidden="1" customWidth="1"/>
    <col min="20" max="22" style="11126" width="19.8515625" hidden="1" customWidth="1"/>
    <col min="23" max="23" style="11126" width="1.7109375" hidden="1" customWidth="1"/>
    <col min="24" max="26" style="11126" width="19.8515625" hidden="1" customWidth="1"/>
    <col min="27" max="27" style="11126" width="1.7109375" hidden="1" customWidth="1"/>
    <col min="28" max="29" style="11126" width="19.8515625" hidden="1" customWidth="1"/>
    <col min="30" max="30" style="11126" width="1.7109375" hidden="1" customWidth="1"/>
    <col min="31" max="31" style="11126" width="103.7109375" customWidth="1"/>
    <col min="32" max="34" style="11126" width="103.7109375" hidden="1" customWidth="1"/>
    <col min="35" max="35" style="9038" width="3.7109375" customWidth="1"/>
    <col min="36" max="38" style="10863" width="10.57421875"/>
    <col min="39" max="39" style="10863" width="13.7109375" hidden="1" customWidth="1"/>
    <col min="40" max="40" style="10863" width="15.421875" customWidth="1"/>
    <col min="41" max="41" style="10863" width="16.28125" customWidth="1"/>
    <col min="42" max="45" style="10863" width="10.57421875"/>
  </cols>
  <sheetData>
    <row customHeight="1" ht="14.25" hidden="1">
      <c r="E1" s="648"/>
      <c r="F1" s="648"/>
      <c r="G1" s="648"/>
      <c r="H1" s="2270" t="s">
        <v>416</v>
      </c>
      <c r="I1" s="2270"/>
      <c r="J1" s="2270"/>
      <c r="K1" s="2270"/>
      <c r="L1" s="2270"/>
      <c r="M1" s="2270"/>
      <c r="N1" s="2270"/>
      <c r="O1" s="2270"/>
      <c r="P1" s="2270"/>
      <c r="Q1" s="2270"/>
      <c r="R1" s="2270"/>
      <c r="T1" s="2270" t="s">
        <v>417</v>
      </c>
      <c r="U1" s="2270"/>
      <c r="V1" s="2270"/>
      <c r="X1" s="2270" t="s">
        <v>418</v>
      </c>
      <c r="Y1" s="2270"/>
      <c r="Z1" s="2270"/>
      <c r="AB1" s="2270" t="s">
        <v>419</v>
      </c>
      <c r="AC1" s="2270"/>
    </row>
    <row customHeight="1" ht="14.25" hidden="1"/>
    <row s="9013" customFormat="1" customHeight="1" ht="6">
      <c r="C3" s="938"/>
      <c r="D3" s="939"/>
      <c r="E3" s="939"/>
      <c r="F3" s="939"/>
      <c r="G3" s="939"/>
      <c r="H3" s="939" t="s">
        <v>420</v>
      </c>
      <c r="I3" s="939"/>
      <c r="J3" s="939"/>
      <c r="K3" s="939"/>
      <c r="L3" s="939"/>
      <c r="M3" s="939"/>
      <c r="N3" s="939"/>
      <c r="O3" s="939"/>
      <c r="P3" s="939"/>
      <c r="Q3" s="939"/>
      <c r="R3" s="939"/>
      <c r="S3" s="939"/>
      <c r="T3" s="939"/>
      <c r="U3" s="939"/>
      <c r="V3" s="939"/>
      <c r="W3" s="939"/>
      <c r="X3" s="939"/>
      <c r="Y3" s="939"/>
      <c r="Z3" s="939"/>
      <c r="AA3" s="939"/>
      <c r="AB3" s="939"/>
      <c r="AC3" s="939"/>
      <c r="AD3" s="939"/>
      <c r="AE3" s="939"/>
      <c r="AF3" s="939"/>
      <c r="AG3" s="939"/>
      <c r="AH3" s="939"/>
      <c r="AJ3" s="748"/>
      <c r="AK3" s="748"/>
      <c r="AL3" s="748"/>
      <c r="AM3" s="748"/>
      <c r="AN3" s="748"/>
      <c r="AO3" s="748"/>
      <c r="AP3" s="748"/>
      <c r="AQ3" s="748"/>
      <c r="AR3" s="748"/>
      <c r="AS3" s="748"/>
    </row>
    <row customHeight="1" ht="24">
      <c r="C4" s="687"/>
      <c r="D4" s="2196" t="str">
        <f>"Форма 2. Общая информация об объектах "&amp;TEMPLATE_SPHERE_RUS&amp;" регулируемой организации"&amp;IF(TEMPLATE_SPHERE="HEAT",", единых теплоснабжающих организациях в ценовых зонах теплоснабжения, теплоснабжающих организациях в ценовых зонах теплоснабжения и теплосетевых организациях в ценовых зонах теплоснабжения","")</f>
        <v>Форма 2. Общая информация об объектах теплоснабжения регулируемой организации, единых теплоснабжающих организациях в ценовых зонах теплоснабжения, теплоснабжающих организациях в ценовых зонах теплоснабжения и теплосетевых организациях в ценовых зонах теплоснабжения</v>
      </c>
      <c r="E4" s="2197"/>
      <c r="F4" s="2197"/>
      <c r="G4" s="2197"/>
      <c r="H4" s="2197"/>
      <c r="I4" s="2197"/>
      <c r="J4" s="2197"/>
      <c r="K4" s="2197"/>
      <c r="L4" s="2197"/>
      <c r="M4" s="2197"/>
      <c r="N4" s="2197"/>
      <c r="O4" s="2197"/>
      <c r="P4" s="2197"/>
      <c r="Q4" s="2197"/>
      <c r="R4" s="2198"/>
      <c r="S4" s="1099"/>
      <c r="T4" s="936"/>
      <c r="U4" s="936"/>
      <c r="V4" s="936"/>
      <c r="W4" s="936"/>
      <c r="X4" s="936"/>
      <c r="Y4" s="936"/>
      <c r="Z4" s="936"/>
      <c r="AA4" s="936"/>
      <c r="AB4" s="936"/>
      <c r="AC4" s="936"/>
      <c r="AD4" s="936"/>
      <c r="AE4" s="728"/>
      <c r="AF4" s="728"/>
      <c r="AG4" s="728"/>
      <c r="AH4" s="728"/>
      <c r="AI4" s="725"/>
    </row>
    <row s="11126" customFormat="1" customHeight="1" ht="17.25">
      <c r="A5" s="998"/>
      <c r="C5" s="1066"/>
      <c r="D5" s="2267" t="str">
        <f>IF(org=0,"Не определено",org)</f>
        <v>ООО "СамРЭК-Тепло Жигулевск"</v>
      </c>
      <c r="E5" s="2268"/>
      <c r="F5" s="2268"/>
      <c r="G5" s="2268"/>
      <c r="H5" s="2268"/>
      <c r="I5" s="2268"/>
      <c r="J5" s="2268"/>
      <c r="K5" s="2268"/>
      <c r="L5" s="2268"/>
      <c r="M5" s="2268"/>
      <c r="N5" s="2268"/>
      <c r="O5" s="2268"/>
      <c r="P5" s="2268"/>
      <c r="Q5" s="2268"/>
      <c r="R5" s="2269"/>
      <c r="S5" s="1099"/>
      <c r="T5" s="936"/>
      <c r="U5" s="936"/>
      <c r="V5" s="936"/>
      <c r="W5" s="936"/>
      <c r="X5" s="936"/>
      <c r="Y5" s="936"/>
      <c r="Z5" s="936"/>
      <c r="AA5" s="936"/>
      <c r="AB5" s="936"/>
      <c r="AC5" s="936"/>
      <c r="AD5" s="936"/>
      <c r="AE5" s="728"/>
      <c r="AF5" s="728"/>
      <c r="AG5" s="728"/>
      <c r="AH5" s="728"/>
      <c r="AI5" s="725"/>
      <c r="AJ5" s="748"/>
      <c r="AK5" s="748"/>
      <c r="AL5" s="748"/>
      <c r="AM5" s="748"/>
      <c r="AN5" s="748"/>
      <c r="AO5" s="748"/>
      <c r="AP5" s="748"/>
      <c r="AQ5" s="748"/>
      <c r="AR5" s="748"/>
      <c r="AS5" s="748"/>
    </row>
    <row s="9070" customFormat="1" customHeight="1" ht="11.25">
      <c r="A6" s="716"/>
      <c r="C6" s="723"/>
      <c r="D6" s="722"/>
      <c r="E6" s="722"/>
      <c r="F6" s="722"/>
      <c r="G6" s="722"/>
      <c r="H6" s="722"/>
      <c r="I6" s="722"/>
      <c r="J6" s="722"/>
      <c r="K6" s="722"/>
      <c r="L6" s="722"/>
      <c r="M6" s="722"/>
      <c r="N6" s="722"/>
      <c r="O6" s="722"/>
      <c r="P6" s="722"/>
      <c r="Q6" s="722"/>
      <c r="R6" s="991"/>
      <c r="S6" s="991"/>
      <c r="T6" s="722"/>
      <c r="U6" s="722"/>
      <c r="V6" s="949"/>
      <c r="W6" s="949"/>
      <c r="X6" s="722"/>
      <c r="Y6" s="722"/>
      <c r="Z6" s="949"/>
      <c r="AA6" s="949"/>
      <c r="AB6" s="722"/>
      <c r="AC6" s="949"/>
      <c r="AD6" s="949"/>
      <c r="AE6" s="722"/>
      <c r="AF6" s="722"/>
      <c r="AG6" s="722"/>
      <c r="AH6" s="722"/>
      <c r="AJ6" s="726"/>
      <c r="AK6" s="726"/>
      <c r="AL6" s="726"/>
      <c r="AM6" s="726"/>
      <c r="AN6" s="726"/>
      <c r="AO6" s="726"/>
      <c r="AP6" s="726"/>
      <c r="AQ6" s="726"/>
      <c r="AR6" s="726"/>
      <c r="AS6" s="726"/>
    </row>
    <row customHeight="1" ht="14.25">
      <c r="C7" s="687"/>
      <c r="D7" s="2271" t="s">
        <v>362</v>
      </c>
      <c r="E7" s="2272"/>
      <c r="F7" s="2272"/>
      <c r="G7" s="2272"/>
      <c r="H7" s="2272"/>
      <c r="I7" s="2272"/>
      <c r="J7" s="2272"/>
      <c r="K7" s="2272"/>
      <c r="L7" s="2272"/>
      <c r="M7" s="2272"/>
      <c r="N7" s="2272"/>
      <c r="O7" s="2272"/>
      <c r="P7" s="2272"/>
      <c r="Q7" s="2272"/>
      <c r="R7" s="2272"/>
      <c r="S7" s="2272"/>
      <c r="T7" s="2272"/>
      <c r="U7" s="2272"/>
      <c r="V7" s="2272"/>
      <c r="W7" s="2272"/>
      <c r="X7" s="2272"/>
      <c r="Y7" s="2272"/>
      <c r="Z7" s="2272"/>
      <c r="AA7" s="2272"/>
      <c r="AB7" s="2272"/>
      <c r="AC7" s="2272"/>
      <c r="AD7" s="2273"/>
      <c r="AE7" s="2276" t="s">
        <v>363</v>
      </c>
      <c r="AF7" s="2276" t="s">
        <v>363</v>
      </c>
      <c r="AG7" s="2276" t="s">
        <v>363</v>
      </c>
      <c r="AH7" s="2276" t="s">
        <v>363</v>
      </c>
    </row>
    <row customHeight="1" ht="25.5">
      <c r="C8" s="687"/>
      <c r="D8" s="2277" t="s">
        <v>88</v>
      </c>
      <c r="E8" s="2278" t="str">
        <f>"Наименование "&amp;IF(TEMPLATE_SPHERE&lt;&gt;"HEAT","централизованной ","")&amp;"системы "&amp;TEMPLATE_SPHERE_RUS</f>
        <v>Наименование системы теплоснабжения</v>
      </c>
      <c r="F8" s="2276" t="str">
        <f>IF(TEMPLATE_SPHERE&lt;&gt;"HEAT","Регулируемый вид деятельности","Вид регулируемой деятельности")</f>
        <v>Вид регулируемой деятельности</v>
      </c>
      <c r="G8" s="1073"/>
      <c r="H8" s="2279" t="s">
        <v>421</v>
      </c>
      <c r="I8" s="2281" t="s">
        <v>422</v>
      </c>
      <c r="J8" s="2278" t="s">
        <v>423</v>
      </c>
      <c r="K8" s="2278"/>
      <c r="L8" s="2278"/>
      <c r="M8" s="2271"/>
      <c r="N8" s="2278" t="s">
        <v>424</v>
      </c>
      <c r="O8" s="2278"/>
      <c r="P8" s="2278" t="s">
        <v>425</v>
      </c>
      <c r="Q8" s="2278"/>
      <c r="R8" s="2285" t="s">
        <v>426</v>
      </c>
      <c r="S8" s="1068"/>
      <c r="T8" s="2283" t="s">
        <v>427</v>
      </c>
      <c r="U8" s="2283" t="s">
        <v>428</v>
      </c>
      <c r="V8" s="2283" t="s">
        <v>429</v>
      </c>
      <c r="W8" s="1070"/>
      <c r="X8" s="2283" t="s">
        <v>430</v>
      </c>
      <c r="Y8" s="2283" t="s">
        <v>431</v>
      </c>
      <c r="Z8" s="2283" t="s">
        <v>432</v>
      </c>
      <c r="AA8" s="1070"/>
      <c r="AB8" s="2283" t="s">
        <v>433</v>
      </c>
      <c r="AC8" s="2283" t="s">
        <v>426</v>
      </c>
      <c r="AD8" s="1070"/>
      <c r="AE8" s="2276"/>
      <c r="AF8" s="2276"/>
      <c r="AG8" s="2276"/>
      <c r="AH8" s="2276"/>
    </row>
    <row customHeight="1" ht="33.75">
      <c r="C9" s="687"/>
      <c r="D9" s="2277"/>
      <c r="E9" s="2278"/>
      <c r="F9" s="2276"/>
      <c r="G9" s="1074"/>
      <c r="H9" s="2280"/>
      <c r="I9" s="2282"/>
      <c r="J9" s="661" t="s">
        <v>434</v>
      </c>
      <c r="K9" s="661" t="s">
        <v>435</v>
      </c>
      <c r="L9" s="661" t="s">
        <v>436</v>
      </c>
      <c r="M9" s="667" t="s">
        <v>437</v>
      </c>
      <c r="N9" s="661" t="s">
        <v>438</v>
      </c>
      <c r="O9" s="661" t="s">
        <v>437</v>
      </c>
      <c r="P9" s="661" t="s">
        <v>439</v>
      </c>
      <c r="Q9" s="661" t="s">
        <v>437</v>
      </c>
      <c r="R9" s="2286"/>
      <c r="S9" s="1069"/>
      <c r="T9" s="2284"/>
      <c r="U9" s="2284"/>
      <c r="V9" s="2284"/>
      <c r="W9" s="1071"/>
      <c r="X9" s="2284"/>
      <c r="Y9" s="2284"/>
      <c r="Z9" s="2284"/>
      <c r="AA9" s="1071"/>
      <c r="AB9" s="2284"/>
      <c r="AC9" s="2284"/>
      <c r="AD9" s="1071"/>
      <c r="AE9" s="2276"/>
      <c r="AF9" s="2276"/>
      <c r="AG9" s="2276"/>
      <c r="AH9" s="2276"/>
    </row>
    <row customHeight="1" ht="12" hidden="1">
      <c r="C10" s="724"/>
      <c r="D10" s="685"/>
      <c r="E10" s="685"/>
      <c r="F10" s="685"/>
      <c r="G10" s="685"/>
      <c r="H10" s="685"/>
      <c r="I10" s="685"/>
      <c r="J10" s="685"/>
      <c r="K10" s="685"/>
      <c r="L10" s="685"/>
      <c r="M10" s="685"/>
      <c r="N10" s="685"/>
      <c r="O10" s="685"/>
      <c r="P10" s="685"/>
      <c r="Q10" s="685"/>
      <c r="R10" s="685"/>
      <c r="S10" s="685"/>
      <c r="T10" s="685"/>
      <c r="U10" s="685"/>
      <c r="V10" s="685"/>
      <c r="W10" s="685"/>
      <c r="X10" s="685"/>
      <c r="Y10" s="685"/>
      <c r="Z10" s="685"/>
      <c r="AA10" s="685"/>
      <c r="AB10" s="685"/>
      <c r="AC10" s="685"/>
      <c r="AD10" s="685"/>
      <c r="AE10" s="685"/>
      <c r="AF10" s="685"/>
      <c r="AG10" s="685"/>
      <c r="AH10" s="685"/>
      <c r="AI10" s="684"/>
      <c r="AP10" s="737"/>
      <c r="AQ10" s="737"/>
    </row>
    <row s="10822" customFormat="1" customHeight="1" ht="11.25" hidden="1">
      <c r="C11" s="735"/>
      <c r="D11" s="736" t="s">
        <v>440</v>
      </c>
      <c r="E11" s="736"/>
      <c r="F11" s="736"/>
      <c r="G11" s="736"/>
      <c r="H11" s="734"/>
      <c r="I11" s="734"/>
      <c r="J11" s="734"/>
      <c r="K11" s="734"/>
      <c r="L11" s="734"/>
      <c r="M11" s="734"/>
      <c r="N11" s="734"/>
      <c r="O11" s="734"/>
      <c r="P11" s="734"/>
      <c r="Q11" s="734"/>
      <c r="R11" s="734"/>
      <c r="S11" s="734"/>
      <c r="T11" s="734"/>
      <c r="U11" s="734"/>
      <c r="V11" s="734"/>
      <c r="W11" s="734"/>
      <c r="X11" s="734"/>
      <c r="Y11" s="734"/>
      <c r="Z11" s="734"/>
      <c r="AA11" s="734"/>
      <c r="AB11" s="734"/>
      <c r="AC11" s="734"/>
      <c r="AD11" s="734"/>
      <c r="AE11" s="672"/>
      <c r="AF11" s="672"/>
      <c r="AG11" s="672"/>
      <c r="AH11" s="672"/>
      <c r="AJ11" s="726"/>
      <c r="AK11" s="726"/>
      <c r="AL11" s="726"/>
      <c r="AM11" s="726"/>
      <c r="AN11" s="726"/>
      <c r="AO11" s="726"/>
      <c r="AP11" s="726"/>
      <c r="AQ11" s="726"/>
      <c r="AR11" s="726"/>
      <c r="AS11" s="726"/>
    </row>
    <row customHeight="1" ht="14.25">
      <c r="A12" s="684"/>
      <c r="C12" s="687"/>
      <c r="D12" s="671" t="s">
        <v>109</v>
      </c>
      <c r="E12" s="1130" t="s">
        <v>17</v>
      </c>
      <c r="F12" s="1101"/>
      <c r="G12" s="1102"/>
      <c r="H12" s="670"/>
      <c r="I12" s="670"/>
      <c r="J12" s="670"/>
      <c r="K12" s="669"/>
      <c r="L12" s="668"/>
      <c r="M12" s="669"/>
      <c r="N12" s="670"/>
      <c r="O12" s="669"/>
      <c r="P12" s="670"/>
      <c r="Q12" s="669"/>
      <c r="R12" s="670"/>
      <c r="S12" s="1100"/>
      <c r="T12" s="670"/>
      <c r="U12" s="670"/>
      <c r="V12" s="670"/>
      <c r="W12" s="1071"/>
      <c r="X12" s="670"/>
      <c r="Y12" s="670"/>
      <c r="Z12" s="670"/>
      <c r="AA12" s="1071"/>
      <c r="AB12" s="670"/>
      <c r="AC12" s="670"/>
      <c r="AD12" s="1071"/>
      <c r="AE12" s="2274" t="s">
        <v>441</v>
      </c>
      <c r="AF12" s="2274" t="s">
        <v>442</v>
      </c>
      <c r="AG12" s="2274" t="s">
        <v>443</v>
      </c>
      <c r="AH12" s="2274" t="s">
        <v>444</v>
      </c>
      <c r="AI12" s="684"/>
      <c r="AM12" s="748"/>
      <c r="AP12" s="737" t="s">
        <v>445</v>
      </c>
      <c r="AQ12" s="737" t="s">
        <v>445</v>
      </c>
    </row>
    <row customHeight="1" ht="17.25">
      <c r="A13" s="684"/>
      <c r="C13" s="687"/>
      <c r="D13" s="641"/>
      <c r="E13" s="1116" t="str">
        <f>IF(TITLE_DIFFERENTIATION_TYPE="нет","","Добавить систему")</f>
        <v/>
      </c>
      <c r="F13" s="1116" t="str">
        <f>IF(TITLE_DIFFERENTIATION_TYPE="нет","Добавить вид деятельности","")</f>
        <v>Добавить вид деятельности</v>
      </c>
      <c r="G13" s="525"/>
      <c r="H13" s="642"/>
      <c r="I13" s="642"/>
      <c r="J13" s="642"/>
      <c r="K13" s="642"/>
      <c r="L13" s="642"/>
      <c r="M13" s="642"/>
      <c r="N13" s="642"/>
      <c r="O13" s="642"/>
      <c r="P13" s="642"/>
      <c r="Q13" s="642"/>
      <c r="R13" s="642"/>
      <c r="S13" s="642"/>
      <c r="T13" s="642"/>
      <c r="U13" s="642"/>
      <c r="V13" s="642"/>
      <c r="W13" s="642"/>
      <c r="X13" s="642"/>
      <c r="Y13" s="642"/>
      <c r="Z13" s="642"/>
      <c r="AA13" s="642"/>
      <c r="AB13" s="642"/>
      <c r="AC13" s="642"/>
      <c r="AD13" s="1103"/>
      <c r="AE13" s="2275"/>
      <c r="AF13" s="2275"/>
      <c r="AG13" s="2275"/>
      <c r="AH13" s="2275"/>
      <c r="AI13" s="684"/>
    </row>
    <row customHeight="1" ht="14.25">
      <c r="AI14" s="684"/>
    </row>
    <row customHeight="1" ht="14.25">
      <c r="E15" s="997"/>
      <c r="L15" s="997"/>
    </row>
    <row customHeight="1" ht="14.25">
      <c r="L16" s="997"/>
    </row>
    <row customHeight="1" ht="14.25">
      <c r="L17" s="997"/>
    </row>
  </sheetData>
  <sheetProtection formatColumns="0" formatRows="0" autoFilter="0" sort="0" insertRows="0" insertColumns="1" deleteRows="0" deleteColumns="0"/>
  <mergeCells count="32">
    <mergeCell ref="J8:M8"/>
    <mergeCell ref="N8:O8"/>
    <mergeCell ref="AB8:AB9"/>
    <mergeCell ref="AC8:AC9"/>
    <mergeCell ref="T8:T9"/>
    <mergeCell ref="U8:U9"/>
    <mergeCell ref="V8:V9"/>
    <mergeCell ref="P8:Q8"/>
    <mergeCell ref="R8:R9"/>
    <mergeCell ref="X8:X9"/>
    <mergeCell ref="Y8:Y9"/>
    <mergeCell ref="Z8:Z9"/>
    <mergeCell ref="D8:D9"/>
    <mergeCell ref="E8:E9"/>
    <mergeCell ref="F8:F9"/>
    <mergeCell ref="H8:H9"/>
    <mergeCell ref="I8:I9"/>
    <mergeCell ref="AE12:AE13"/>
    <mergeCell ref="AG7:AG9"/>
    <mergeCell ref="AG12:AG13"/>
    <mergeCell ref="AH7:AH9"/>
    <mergeCell ref="AH12:AH13"/>
    <mergeCell ref="AF12:AF13"/>
    <mergeCell ref="AF7:AF9"/>
    <mergeCell ref="AE7:AE9"/>
    <mergeCell ref="D5:R5"/>
    <mergeCell ref="H1:R1"/>
    <mergeCell ref="D7:AD7"/>
    <mergeCell ref="X1:Z1"/>
    <mergeCell ref="T1:V1"/>
    <mergeCell ref="AB1:AC1"/>
    <mergeCell ref="D4:R4"/>
  </mergeCells>
  <dataValidations count="6">
    <dataValidation allowBlank="1" showErrorMessage="1" errorTitle="Ошибка" error="Допускается ввод только неотрицательных чисел!" sqref="E11:G11"/>
    <dataValidation type="decimal" allowBlank="1" showErrorMessage="1" errorTitle="Ошибка" error="Допускается ввод только неотрицательных чисел!" sqref="H11:AD11 O12 Q12 K12 M12">
      <formula1>0</formula1>
      <formula2>9.99999999999999E+23</formula2>
    </dataValidation>
    <dataValidation type="textLength" operator="lessThanOrEqual" allowBlank="1" showInputMessage="1" showErrorMessage="1" errorTitle="Ошибка" error="Допускается ввод не более 900 символов!" sqref="E12">
      <formula1>900</formula1>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12"/>
    <dataValidation type="whole" allowBlank="1" showErrorMessage="1" errorTitle="Ошибка" error="Допускается ввод только неотрицательных целых чисел!" sqref="N12 P12 H12:J12 AB12:AC12 R12:V12 X12:Z12">
      <formula1>0</formula1>
      <formula2>9.99999999999999E+23</formula2>
    </dataValidation>
    <dataValidation type="list" allowBlank="1" showInputMessage="1" showErrorMessage="1" errorTitle="Ошибка" error="Выберите значение из списка" prompt="Выберите значение из списка" sqref="L12">
      <formula1>kind_of_power_te_unit</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50F7DF3-1B42-F6CA-AD22-82F1E3EE10F2}" mc:Ignorable="x14ac xr xr2 xr3">
  <sheetPr>
    <tabColor theme="3" tint="0.6"/>
  </sheetPr>
  <dimension ref="A1:U17"/>
  <sheetViews>
    <sheetView topLeftCell="C5" showGridLines="0" zoomScale="90" workbookViewId="0">
      <selection activeCell="A1" sqref="A1"/>
    </sheetView>
  </sheetViews>
  <sheetFormatPr defaultColWidth="10.57421875" customHeight="1" defaultRowHeight="14.25"/>
  <cols>
    <col min="1" max="1" style="11248" width="9.140625" hidden="1" customWidth="1"/>
    <col min="2" max="2" style="11126" width="9.140625" hidden="1" customWidth="1"/>
    <col min="3" max="3" style="11307" width="3.7109375" customWidth="1"/>
    <col min="4" max="4" style="11126" width="5.57421875" customWidth="1"/>
    <col min="5" max="5" style="11126" width="38.140625" customWidth="1"/>
    <col min="6" max="7" style="11126" width="3.7109375" customWidth="1"/>
    <col min="8" max="8" style="11126" width="38.28125" customWidth="1"/>
    <col min="9" max="9" style="11126" width="35.7109375" customWidth="1"/>
    <col min="10" max="10" style="11126" width="103.7109375" customWidth="1"/>
    <col min="11" max="11" style="9038" width="3.7109375" customWidth="1"/>
    <col min="12" max="14" style="10863" width="10.57421875"/>
    <col min="15" max="15" style="10863" width="13.7109375" customWidth="1"/>
    <col min="16" max="16" style="10863" width="15.421875" customWidth="1"/>
    <col min="17" max="17" style="10863" width="16.28125" customWidth="1"/>
    <col min="18" max="21" style="10863" width="10.57421875"/>
  </cols>
  <sheetData>
    <row customHeight="1" ht="14.25" hidden="1">
      <c r="E1" s="648"/>
      <c r="F1" s="648"/>
      <c r="G1" s="648"/>
      <c r="H1" s="2270" t="s">
        <v>416</v>
      </c>
      <c r="I1" s="2270"/>
    </row>
    <row s="11126" customFormat="1" customHeight="1" ht="14.25" hidden="1">
      <c r="C2" s="1932"/>
      <c r="D2" s="2296" t="s">
        <v>109</v>
      </c>
      <c r="E2" s="2298"/>
      <c r="F2" s="1938"/>
      <c r="G2" s="1933" t="s">
        <v>109</v>
      </c>
      <c r="H2" s="1936"/>
      <c r="I2" s="1934"/>
      <c r="L2" s="1935"/>
      <c r="M2" s="1935"/>
      <c r="N2" s="1935"/>
      <c r="O2" s="1935" t="s">
        <v>446</v>
      </c>
      <c r="P2" s="1935"/>
      <c r="Q2" s="1935"/>
      <c r="R2" s="1937" t="s">
        <v>445</v>
      </c>
      <c r="S2" s="1937" t="s">
        <v>445</v>
      </c>
      <c r="T2" s="1935"/>
      <c r="U2" s="1935"/>
    </row>
    <row s="11126" customFormat="1" customHeight="1" ht="14.25" hidden="1">
      <c r="C3" s="1932"/>
      <c r="D3" s="2297"/>
      <c r="E3" s="2299"/>
      <c r="F3" s="641"/>
      <c r="G3" s="1116"/>
      <c r="H3" s="1116" t="s">
        <v>447</v>
      </c>
      <c r="I3" s="525"/>
      <c r="L3" s="1935"/>
      <c r="M3" s="1935"/>
      <c r="N3" s="1935"/>
      <c r="O3" s="1935"/>
      <c r="P3" s="1935"/>
      <c r="Q3" s="1935"/>
      <c r="R3" s="1937"/>
      <c r="S3" s="1937"/>
      <c r="T3" s="1935"/>
      <c r="U3" s="1935"/>
    </row>
    <row customHeight="1" ht="14.25" hidden="1"/>
    <row s="9013" customFormat="1" customHeight="1" ht="6">
      <c r="C5" s="938"/>
      <c r="D5" s="939"/>
      <c r="E5" s="939"/>
      <c r="F5" s="939"/>
      <c r="G5" s="939"/>
      <c r="H5" s="939" t="s">
        <v>420</v>
      </c>
      <c r="I5" s="939"/>
      <c r="J5" s="939"/>
      <c r="L5" s="1927"/>
      <c r="M5" s="1927"/>
      <c r="N5" s="1927"/>
      <c r="O5" s="1927"/>
      <c r="P5" s="1927"/>
      <c r="Q5" s="1927"/>
      <c r="R5" s="1927"/>
      <c r="S5" s="1927"/>
      <c r="T5" s="1927"/>
      <c r="U5" s="1927"/>
    </row>
    <row customHeight="1" ht="17.25">
      <c r="C6" s="1816"/>
      <c r="D6" s="2196" t="s">
        <v>448</v>
      </c>
      <c r="E6" s="2197"/>
      <c r="F6" s="2197"/>
      <c r="G6" s="2197"/>
      <c r="H6" s="2197"/>
      <c r="I6" s="2197"/>
      <c r="J6" s="728"/>
      <c r="K6" s="1928"/>
    </row>
    <row customHeight="1" ht="17.25">
      <c r="C7" s="1816"/>
      <c r="D7" s="2267" t="str">
        <f>IF(org=0,"Не определено",org)</f>
        <v>ООО "СамРЭК-Тепло Жигулевск"</v>
      </c>
      <c r="E7" s="2268"/>
      <c r="F7" s="2268"/>
      <c r="G7" s="2268"/>
      <c r="H7" s="2268"/>
      <c r="I7" s="2268"/>
      <c r="J7" s="728"/>
      <c r="K7" s="1928"/>
    </row>
    <row s="9070" customFormat="1" customHeight="1" ht="6">
      <c r="A8" s="1924"/>
      <c r="C8" s="723"/>
      <c r="D8" s="722"/>
      <c r="E8" s="722"/>
      <c r="F8" s="722"/>
      <c r="G8" s="722"/>
      <c r="H8" s="722"/>
      <c r="I8" s="722"/>
      <c r="J8" s="722"/>
      <c r="L8" s="1927"/>
      <c r="M8" s="1927"/>
      <c r="N8" s="1927"/>
      <c r="O8" s="1927"/>
      <c r="P8" s="1927"/>
      <c r="Q8" s="1927"/>
      <c r="R8" s="1927"/>
      <c r="S8" s="1927"/>
      <c r="T8" s="1927"/>
      <c r="U8" s="1927"/>
    </row>
    <row s="9070" customFormat="1" customHeight="1" ht="6">
      <c r="A9" s="1924"/>
      <c r="C9" s="723"/>
      <c r="D9" s="722"/>
      <c r="E9" s="722"/>
      <c r="F9" s="722"/>
      <c r="G9" s="722"/>
      <c r="H9" s="722"/>
      <c r="I9" s="722"/>
      <c r="J9" s="722"/>
      <c r="L9" s="1935"/>
      <c r="M9" s="1935"/>
      <c r="N9" s="1935"/>
      <c r="O9" s="1935"/>
      <c r="P9" s="1935"/>
      <c r="Q9" s="1935"/>
      <c r="R9" s="1935"/>
      <c r="S9" s="1935"/>
      <c r="T9" s="1935"/>
      <c r="U9" s="1935"/>
    </row>
    <row customHeight="1" ht="14.25">
      <c r="C10" s="1816"/>
      <c r="D10" s="2271" t="s">
        <v>362</v>
      </c>
      <c r="E10" s="2272"/>
      <c r="F10" s="2272"/>
      <c r="G10" s="2272"/>
      <c r="H10" s="2272"/>
      <c r="I10" s="2272"/>
      <c r="J10" s="2276" t="s">
        <v>363</v>
      </c>
    </row>
    <row customHeight="1" ht="25.5">
      <c r="C11" s="1816"/>
      <c r="D11" s="2277" t="s">
        <v>88</v>
      </c>
      <c r="E11" s="2276" t="str">
        <f>IF(TEMPLATE_SPHERE&lt;&gt;"HEAT","Регулируемый вид деятельности","Вид регулируемой деятельности")</f>
        <v>Вид регулируемой деятельности</v>
      </c>
      <c r="F11" s="2290" t="s">
        <v>88</v>
      </c>
      <c r="G11" s="2291"/>
      <c r="H11" s="2294" t="s">
        <v>449</v>
      </c>
      <c r="I11" s="2294" t="s">
        <v>450</v>
      </c>
      <c r="J11" s="2276"/>
    </row>
    <row customHeight="1" ht="14.25">
      <c r="C12" s="1816"/>
      <c r="D12" s="2277"/>
      <c r="E12" s="2276"/>
      <c r="F12" s="2292"/>
      <c r="G12" s="2293"/>
      <c r="H12" s="2295"/>
      <c r="I12" s="2295"/>
      <c r="J12" s="2276"/>
    </row>
    <row s="10822" customFormat="1" customHeight="1" ht="11.25">
      <c r="C13" s="735"/>
      <c r="D13" s="736" t="s">
        <v>440</v>
      </c>
      <c r="E13" s="736"/>
      <c r="F13" s="736"/>
      <c r="G13" s="736"/>
      <c r="H13" s="734"/>
      <c r="I13" s="734"/>
      <c r="J13" s="672"/>
      <c r="L13" s="1927"/>
      <c r="M13" s="1927"/>
      <c r="N13" s="1927"/>
      <c r="O13" s="1927"/>
      <c r="P13" s="1927"/>
      <c r="Q13" s="1927"/>
      <c r="R13" s="1927"/>
      <c r="S13" s="1927"/>
      <c r="T13" s="1927"/>
      <c r="U13" s="1927"/>
    </row>
    <row customHeight="1" ht="14.25">
      <c r="A14" s="1920"/>
      <c r="C14" s="1816"/>
      <c r="D14" s="2296" t="s">
        <v>109</v>
      </c>
      <c r="E14" s="2298"/>
      <c r="F14" s="1930"/>
      <c r="G14" s="1929" t="s">
        <v>109</v>
      </c>
      <c r="H14" s="1936"/>
      <c r="I14" s="1934"/>
      <c r="J14" s="2287" t="s">
        <v>451</v>
      </c>
      <c r="K14" s="1920"/>
      <c r="R14" s="737" t="s">
        <v>445</v>
      </c>
      <c r="S14" s="737" t="s">
        <v>445</v>
      </c>
    </row>
    <row customHeight="1" ht="14.25">
      <c r="A15" s="1920"/>
      <c r="C15" s="1816"/>
      <c r="D15" s="2297"/>
      <c r="E15" s="2299"/>
      <c r="F15" s="641"/>
      <c r="G15" s="1116"/>
      <c r="H15" s="1116" t="s">
        <v>447</v>
      </c>
      <c r="I15" s="525"/>
      <c r="J15" s="2288"/>
      <c r="K15" s="1920"/>
      <c r="R15" s="737"/>
      <c r="S15" s="737"/>
    </row>
    <row customHeight="1" ht="14.25">
      <c r="A16" s="1920"/>
      <c r="C16" s="1816"/>
      <c r="D16" s="641"/>
      <c r="E16" s="1116" t="s">
        <v>198</v>
      </c>
      <c r="F16" s="525"/>
      <c r="G16" s="525"/>
      <c r="H16" s="642"/>
      <c r="I16" s="642"/>
      <c r="J16" s="2289"/>
      <c r="K16" s="1920"/>
    </row>
    <row customHeight="1" ht="14.25">
      <c r="K17" s="1920"/>
    </row>
  </sheetData>
  <sheetProtection formatColumns="0" formatRows="0" autoFilter="0" sort="0" insertRows="0" insertColumns="1" deleteRows="0" deleteColumns="0"/>
  <mergeCells count="15">
    <mergeCell ref="H1:I1"/>
    <mergeCell ref="D6:I6"/>
    <mergeCell ref="D7:I7"/>
    <mergeCell ref="D2:D3"/>
    <mergeCell ref="E2:E3"/>
    <mergeCell ref="J14:J16"/>
    <mergeCell ref="D10:I10"/>
    <mergeCell ref="J10:J12"/>
    <mergeCell ref="D11:D12"/>
    <mergeCell ref="E11:E12"/>
    <mergeCell ref="F11:G12"/>
    <mergeCell ref="H11:H12"/>
    <mergeCell ref="I11:I12"/>
    <mergeCell ref="D14:D15"/>
    <mergeCell ref="E14:E15"/>
  </mergeCells>
  <dataValidations count="4">
    <dataValidation type="whole" allowBlank="1" showErrorMessage="1" errorTitle="Ошибка" error="Допускается ввод только неотрицательных целых чисел!" sqref="H14:I14 H2:I2">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E14 E2"/>
    <dataValidation type="decimal" allowBlank="1" showErrorMessage="1" errorTitle="Ошибка" error="Допускается ввод только неотрицательных чисел!" sqref="H13:I13">
      <formula1>0</formula1>
      <formula2>9.99999999999999E+23</formula2>
    </dataValidation>
    <dataValidation allowBlank="1" showErrorMessage="1" errorTitle="Ошибка" error="Допускается ввод только неотрицательных чисел!" sqref="E13:G1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2976DB5-7DE2-8238-64B7-F52B8CB79AE2}" mc:Ignorable="x14ac xr xr2 xr3">
  <sheetPr>
    <tabColor theme="3" tint="0.6"/>
  </sheetPr>
  <dimension ref="A1:V18"/>
  <sheetViews>
    <sheetView topLeftCell="D3" showGridLines="0" zoomScale="90" workbookViewId="0">
      <selection activeCell="A1" sqref="A1"/>
    </sheetView>
  </sheetViews>
  <sheetFormatPr defaultColWidth="10.57421875" customHeight="1" defaultRowHeight="14.25"/>
  <cols>
    <col min="1" max="1" style="11248" width="9.140625" hidden="1" customWidth="1"/>
    <col min="2" max="3" style="11126" width="9.140625" hidden="1" customWidth="1"/>
    <col min="4" max="4" style="11307" width="3.7109375" customWidth="1"/>
    <col min="5" max="5" style="11126" width="6.28125" customWidth="1"/>
    <col min="6" max="6" style="11126" width="1.7109375" hidden="1" customWidth="1"/>
    <col min="7" max="8" style="11126" width="30.7109375" customWidth="1"/>
    <col min="9" max="9" style="11126" width="9.00390625" customWidth="1"/>
    <col min="10" max="10" style="11126" width="12.140625" customWidth="1"/>
    <col min="11" max="11" style="11126" width="46.7109375" customWidth="1"/>
    <col min="12" max="12" style="11126" width="100.28125" customWidth="1"/>
    <col min="13" max="13" style="9038" width="7.57421875" customWidth="1"/>
    <col min="14" max="22" style="11126" width="10.57421875"/>
  </cols>
  <sheetData>
    <row s="10863" customFormat="1" customHeight="1" ht="5.25" hidden="1">
      <c r="C1" s="748"/>
      <c r="D1" s="731"/>
      <c r="F1" s="748"/>
      <c r="G1" s="726" t="s">
        <v>83</v>
      </c>
      <c r="H1" s="726" t="s">
        <v>84</v>
      </c>
      <c r="I1" s="726" t="s">
        <v>85</v>
      </c>
      <c r="P1" s="726" t="s">
        <v>83</v>
      </c>
      <c r="Q1" s="726" t="s">
        <v>84</v>
      </c>
      <c r="R1" s="726" t="s">
        <v>85</v>
      </c>
    </row>
    <row s="10863" customFormat="1" customHeight="1" ht="5.25" hidden="1">
      <c r="C2" s="748"/>
      <c r="D2" s="731"/>
      <c r="F2" s="748"/>
    </row>
    <row s="9070" customFormat="1" customHeight="1" ht="6">
      <c r="A3" s="716"/>
      <c r="D3" s="723"/>
      <c r="E3" s="718"/>
      <c r="F3" s="718"/>
      <c r="G3" s="718"/>
      <c r="H3" s="718"/>
      <c r="I3" s="719"/>
      <c r="J3" s="720"/>
      <c r="K3" s="720"/>
      <c r="L3" s="720"/>
    </row>
    <row customHeight="1" ht="22.5">
      <c r="D4" s="687"/>
      <c r="E4" s="2196" t="s">
        <v>452</v>
      </c>
      <c r="F4" s="2196"/>
      <c r="G4" s="2197"/>
      <c r="H4" s="2197"/>
      <c r="I4" s="2198"/>
      <c r="J4" s="728"/>
      <c r="K4" s="690"/>
      <c r="L4" s="690"/>
    </row>
    <row s="11126" customFormat="1" customHeight="1" ht="17.25">
      <c r="A5" s="998"/>
      <c r="D5" s="1066"/>
      <c r="E5" s="2267" t="str">
        <f>IF(org=0,"Не определено",org)</f>
        <v>ООО "СамРЭК-Тепло Жигулевск"</v>
      </c>
      <c r="F5" s="2267"/>
      <c r="G5" s="2268"/>
      <c r="H5" s="2268"/>
      <c r="I5" s="2269"/>
      <c r="J5" s="728"/>
      <c r="K5" s="690"/>
      <c r="L5" s="690"/>
      <c r="M5" s="744"/>
    </row>
    <row s="9070" customFormat="1" customHeight="1" ht="11.25">
      <c r="A6" s="716"/>
      <c r="D6" s="723"/>
      <c r="E6" s="718"/>
      <c r="F6" s="718"/>
      <c r="G6" s="721"/>
      <c r="H6" s="721"/>
      <c r="I6" s="722"/>
      <c r="J6" s="722"/>
      <c r="K6" s="991"/>
      <c r="L6" s="722"/>
    </row>
    <row customHeight="1" ht="14.25">
      <c r="D7" s="687"/>
      <c r="E7" s="2300" t="s">
        <v>362</v>
      </c>
      <c r="F7" s="2300"/>
      <c r="G7" s="2301"/>
      <c r="H7" s="2301"/>
      <c r="I7" s="2301"/>
      <c r="J7" s="2301"/>
      <c r="K7" s="2301"/>
      <c r="L7" s="2276" t="s">
        <v>363</v>
      </c>
    </row>
    <row customHeight="1" ht="45">
      <c r="D8" s="687"/>
      <c r="E8" s="710" t="s">
        <v>88</v>
      </c>
      <c r="F8" s="1067"/>
      <c r="G8" s="702" t="s">
        <v>86</v>
      </c>
      <c r="H8" s="702" t="s">
        <v>87</v>
      </c>
      <c r="I8" s="650" t="s">
        <v>85</v>
      </c>
      <c r="J8" s="650" t="s">
        <v>453</v>
      </c>
      <c r="K8" s="650" t="s">
        <v>454</v>
      </c>
      <c r="L8" s="2276"/>
    </row>
    <row customHeight="1" ht="12" hidden="1">
      <c r="D9" s="724"/>
      <c r="E9" s="730"/>
      <c r="F9" s="1075"/>
      <c r="G9" s="730"/>
      <c r="H9" s="730"/>
      <c r="I9" s="730"/>
      <c r="J9" s="730"/>
      <c r="K9" s="730"/>
      <c r="L9" s="730"/>
      <c r="M9" s="684"/>
    </row>
    <row customHeight="1" ht="14.25" hidden="1">
      <c r="A10" s="742"/>
      <c r="B10" s="742"/>
      <c r="D10" s="743"/>
      <c r="E10" s="749">
        <v>0</v>
      </c>
      <c r="F10" s="1064"/>
      <c r="G10" s="745"/>
      <c r="H10" s="745"/>
      <c r="I10" s="745"/>
      <c r="J10" s="745"/>
      <c r="K10" s="745"/>
      <c r="L10" s="2274" t="s">
        <v>455</v>
      </c>
      <c r="M10" s="744"/>
      <c r="N10" s="742"/>
      <c r="O10" s="742"/>
      <c r="P10" s="742"/>
      <c r="Q10" s="742"/>
      <c r="R10" s="742"/>
      <c r="S10" s="742"/>
      <c r="T10" s="742"/>
      <c r="U10" s="742"/>
      <c r="V10" s="742"/>
    </row>
    <row customHeight="1" ht="15" hidden="1">
      <c r="A11" s="2134"/>
      <c r="B11" s="741"/>
      <c r="C11" s="741"/>
      <c r="D11" s="1112"/>
      <c r="E11" s="750"/>
      <c r="F11" s="750"/>
      <c r="G11" s="750"/>
      <c r="H11" s="750"/>
      <c r="I11" s="751"/>
      <c r="J11" s="752"/>
      <c r="K11" s="950"/>
      <c r="L11" s="2302"/>
      <c r="M11" s="748"/>
      <c r="N11" s="748"/>
      <c r="O11" s="748"/>
      <c r="P11" s="753"/>
      <c r="Q11" s="753"/>
      <c r="R11" s="754"/>
      <c r="S11" s="748"/>
      <c r="T11" s="748"/>
      <c r="U11" s="748"/>
      <c r="V11" s="748"/>
    </row>
    <row s="9070" customFormat="1" customHeight="1" ht="14.25">
      <c r="A12" s="2134"/>
      <c r="B12" s="741"/>
      <c r="C12" s="741"/>
      <c r="D12" s="1113"/>
      <c r="E12" s="1067">
        <v>1</v>
      </c>
      <c r="F12" s="1111">
        <v>23</v>
      </c>
      <c r="G12" s="1110"/>
      <c r="H12" s="1033"/>
      <c r="I12" s="1031"/>
      <c r="J12" s="757" t="s">
        <v>67</v>
      </c>
      <c r="K12" s="1425" t="s">
        <v>17</v>
      </c>
      <c r="L12" s="2302"/>
      <c r="M12" s="748"/>
      <c r="N12" s="748"/>
      <c r="O12" s="748"/>
      <c r="P12" s="753" t="s">
        <v>456</v>
      </c>
      <c r="Q12" s="753" t="s">
        <v>457</v>
      </c>
      <c r="R12" s="754" t="s">
        <v>458</v>
      </c>
      <c r="S12" s="748" t="s">
        <v>459</v>
      </c>
      <c r="T12" s="748"/>
      <c r="U12" s="748"/>
      <c r="V12" s="748"/>
    </row>
    <row customHeight="1" ht="15">
      <c r="A13" s="2134"/>
      <c r="B13" s="742"/>
      <c r="D13" s="743"/>
      <c r="E13" s="641"/>
      <c r="F13" s="766"/>
      <c r="G13" s="652" t="s">
        <v>102</v>
      </c>
      <c r="H13" s="640"/>
      <c r="I13" s="640"/>
      <c r="J13" s="640"/>
      <c r="K13" s="639"/>
      <c r="L13" s="2275"/>
      <c r="M13" s="746"/>
      <c r="N13" s="742"/>
      <c r="O13" s="742"/>
      <c r="P13" s="742"/>
      <c r="Q13" s="742"/>
      <c r="R13" s="742"/>
      <c r="S13" s="742"/>
      <c r="T13" s="742"/>
      <c r="U13" s="742"/>
      <c r="V13" s="742"/>
    </row>
    <row customHeight="1" ht="11.25">
      <c r="A14" s="716"/>
      <c r="B14" s="717"/>
      <c r="C14" s="717"/>
      <c r="D14" s="732"/>
      <c r="E14" s="717"/>
      <c r="F14" s="717"/>
      <c r="G14" s="717"/>
      <c r="H14" s="717"/>
      <c r="I14" s="717"/>
      <c r="J14" s="717"/>
      <c r="K14" s="717"/>
      <c r="L14" s="717"/>
      <c r="M14" s="717"/>
      <c r="N14" s="717"/>
      <c r="O14" s="717"/>
      <c r="P14" s="717"/>
      <c r="Q14" s="717"/>
      <c r="R14" s="717"/>
      <c r="S14" s="717"/>
      <c r="T14" s="717"/>
      <c r="U14" s="717"/>
      <c r="V14" s="717"/>
    </row>
    <row customHeight="1" ht="14.25">
      <c r="D15" s="703"/>
      <c r="E15" s="557"/>
      <c r="F15" s="557"/>
      <c r="G15" s="901" t="str">
        <f>"&lt;1&gt; Указывается информация по муниципальным районам и муниципальным образованиям, на территории которых регулируемая организация осуществляет "&amp;IF(TEMPLATE_SPHERE&lt;&gt;"TKO","регулируемый вид деятельности в сфере "&amp;TEMPLATE_SPHERE_RUS&amp;".","деятельность в области обращения с "&amp;TEMPLATE_SPHERE_RUS_2&amp;".")</f>
        <v>&lt;1&gt; Указывается информация по муниципальным районам и муниципальным образованиям, на территории которых регулируемая организация осуществляет регулируемый вид деятельности в сфере теплоснабжения.</v>
      </c>
      <c r="H15" s="703"/>
      <c r="I15" s="703"/>
      <c r="J15" s="703"/>
      <c r="K15" s="703"/>
      <c r="L15" s="703"/>
    </row>
    <row r="18" customHeight="1" ht="14.25">
      <c r="G18" s="742"/>
    </row>
  </sheetData>
  <sheetProtection formatColumns="0" formatRows="0" autoFilter="0" sort="0" insertRows="0" insertColumns="1" deleteRows="0" deleteColumns="0"/>
  <mergeCells count="6">
    <mergeCell ref="A11:A13"/>
    <mergeCell ref="E4:I4"/>
    <mergeCell ref="E7:K7"/>
    <mergeCell ref="L7:L8"/>
    <mergeCell ref="L10:L13"/>
    <mergeCell ref="E5:I5"/>
  </mergeCells>
  <dataValidations count="3">
    <dataValidation type="decimal" allowBlank="1" showErrorMessage="1" errorTitle="Ошибка" error="Допускается ввод только неотрицательных чисел!" sqref="G10:K10">
      <formula1>0</formula1>
      <formula2>9.99999999999999E+23</formula2>
    </dataValidation>
    <dataValidation allowBlank="1" showInputMessage="1" showErrorMessage="1" prompt="Изменение значения по двойному щелчоку левой кнопки мыши" sqref="J1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K12">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11DC114-7D2E-31AC-FD57-1AB66DDFD394}" mc:Ignorable="x14ac xr xr2 xr3">
  <sheetPr>
    <tabColor rgb="FFFFCC99"/>
  </sheetPr>
  <dimension ref="A1:H34"/>
  <sheetViews>
    <sheetView topLeftCell="A1" showGridLines="0" workbookViewId="0">
      <selection activeCell="A1" sqref="A1"/>
    </sheetView>
  </sheetViews>
  <sheetFormatPr defaultColWidth="43.140625" customHeight="1" defaultRowHeight="9"/>
  <cols>
    <col min="1" max="3" style="9083" width="43.140625"/>
    <col min="4" max="5" style="9083" width="36.421875" customWidth="1"/>
    <col min="6" max="8" style="9084" width="36.421875" customWidth="1"/>
  </cols>
  <sheetData>
    <row customHeight="1" ht="9">
      <c r="A1" s="1092" t="s">
        <v>460</v>
      </c>
      <c r="B1" s="1092"/>
      <c r="C1" s="1238" t="s">
        <v>461</v>
      </c>
      <c r="D1" s="1236" t="s">
        <v>462</v>
      </c>
      <c r="E1" s="1236" t="s">
        <v>463</v>
      </c>
      <c r="F1" s="1236" t="s">
        <v>464</v>
      </c>
      <c r="G1" s="1236" t="s">
        <v>465</v>
      </c>
      <c r="H1" s="1236" t="s">
        <v>466</v>
      </c>
    </row>
    <row customHeight="1" ht="9">
      <c r="A2" s="1239" t="s">
        <v>467</v>
      </c>
      <c r="B2" s="1239"/>
      <c r="C2" s="1240" t="str">
        <f>INDEX(TEMPLATE_NUMBER_FORM_LIST,MATCH(TEMPLATE_SPHERE,TEMPLATE_SPHERE_LIST,0))</f>
        <v>16</v>
      </c>
      <c r="D2" s="1239" t="s">
        <v>157</v>
      </c>
      <c r="E2" s="1239" t="s">
        <v>139</v>
      </c>
      <c r="F2" s="1241" t="s">
        <v>139</v>
      </c>
      <c r="G2" s="1239" t="s">
        <v>139</v>
      </c>
      <c r="H2" s="1242"/>
    </row>
    <row customHeight="1" ht="63">
      <c r="A3" s="1092"/>
      <c r="B3" s="1092" t="s">
        <v>109</v>
      </c>
      <c r="C3" s="1240" t="str">
        <f>IF(TEMPLATE_SPHERE="HEAT",D3,IF(TEMPLATE_SPHERE="TKO",H3,E3))</f>
        <v>Форма 16. Информация о наличии (об отсутствии) технической возможности подключения (технологического присоединения) к системе теплоснабжения, а также о принятии и ходе рассмотрения заявок на заключение договора о подключении (технологическом присоединении) к системе теплоснабжения</v>
      </c>
      <c r="D3" s="1240" t="s">
        <v>468</v>
      </c>
      <c r="E3" s="1240" t="str">
        <f>"Форма 10. Информация о наличии (об отсутствии) технической возможности подключения (технологического присоединения) к централизованной системе  "&amp;TEMPLATE_SPHERE_RUS&amp;", а также о принятии и рассмотрении заявлений о заключении договоров о подключении (технологическом присоединении) к централизованной системе  "&amp;TEMPLATE_SPHERE_RUS</f>
        <v>Форма 10. Информация о наличии (об отсутствии) технической возможности подключения (технологического присоединения) к централизованной системе  теплоснабжения,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теплоснабжения</v>
      </c>
      <c r="F3" s="1241"/>
      <c r="G3" s="1242"/>
      <c r="H3" s="1092"/>
    </row>
    <row customHeight="1" ht="54">
      <c r="A4" s="1092" t="s">
        <v>469</v>
      </c>
      <c r="B4" s="1092" t="s">
        <v>110</v>
      </c>
      <c r="C4" s="1240" t="str">
        <f>IF(TEMPLATE_SPHERE="HEAT",D4,IF(TEMPLATE_SPHERE="TKO",H4,E4))</f>
        <v>Форма 1. Информация о регулируемой организации, единых теплоснабжающих организациях в ценовых зонах теплоснабжения, теплоснабжающих организациях в ценовых зонах теплоснабжения и теплосетевых организациях в ценовых зонах теплоснабжения (общая информация)</v>
      </c>
      <c r="D4" s="1239" t="s">
        <v>470</v>
      </c>
      <c r="E4" s="1240" t="str">
        <f>"Форма 1. Информация о регулируемой организации, осуществляющей "&amp;TEMPLATE_SPHERE_RUS_2&amp;"
(далее – регулируемая организация) (общая информация)"</f>
        <v>Форма 1. Информация о регулируемой организации, осуществляющей теплоснабжение
(далее – регулируемая организация) (общая информация)</v>
      </c>
      <c r="F4" s="1239"/>
      <c r="G4" s="1239"/>
      <c r="H4" s="1092" t="s">
        <v>471</v>
      </c>
    </row>
    <row customHeight="1" ht="171">
      <c r="A5" s="1092" t="s">
        <v>472</v>
      </c>
      <c r="B5" s="1092" t="s">
        <v>90</v>
      </c>
      <c r="C5" s="1240" t="str">
        <f>IF(TEMPLATE_SPHERE="HEAT",D5,IF(TEMPLATE_SPHERE="TKO",H5,E5))</f>
        <v>Форма 17. Информация об условиях, на которых осуществляется поставка товаров (оказание услуг) в сфере теплоснабжения, цены (тарифы) на которые подлежат регулированию, и (или) условиях договоров о подключении (технологическом присоединении) к системе теплоснабжения содержит сведения об условиях публичных договоров регулируемых организаций, а также сведения о договорах, заключенных в соответствии с частями 2.1 и 2.2 статьи 8 Федерального закона "О теплоснабжении", Информация об условиях, на которых осуществляется поставка товаров (оказание услуг) по ценам, определяемым по соглашению сторон в соответствии с Федеральным законом "О теплоснабжении", и (или) условиях договоров о подключении (технологическом присоединении) к системе теплоснабжения включает сведения об условиях публичных договоров, заключаемых единой теплоснабжающей организацией в ценовых зонах теплоснабжения</v>
      </c>
      <c r="D5" s="1092" t="s">
        <v>473</v>
      </c>
      <c r="E5" s="1095" t="str">
        <f>"Форма 11.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"&amp;TEMPLATE_SPHERE_RUS</f>
        <v>Форма 11.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теплоснабжения</v>
      </c>
      <c r="F5" s="1242"/>
      <c r="G5" s="1242"/>
      <c r="H5" s="1092" t="s">
        <v>474</v>
      </c>
    </row>
    <row customHeight="1" ht="90">
      <c r="A6" s="1092" t="s">
        <v>475</v>
      </c>
      <c r="B6" s="1092" t="s">
        <v>91</v>
      </c>
      <c r="C6" s="1240" t="str">
        <f>IF(TEMPLATE_SPHERE="HEAT",D6,E6)</f>
        <v>Форма 8. Информация о товарах (об услугах), поставляемых (оказываемых) единой теплоснабжающей организацией в ценовых зонах теплоснабжения по регулируемым ценам (тарифам) в сфере теплоснабжения, информация о товарах (об услугах), поставляемых (оказываемых) теплоснабжающей организацией в ценовых зонах теплоснабжения и теплосетевой организацией в ценовых зонах теплоснабжения по регулируемым ценам (тарифам) в сфере теплоснабжения</v>
      </c>
      <c r="D6" s="1092" t="s">
        <v>476</v>
      </c>
      <c r="E6" s="1095" t="str">
        <f>"Форма 5.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 в сфере "&amp;TEMPLATE_SPHERE_RUS&amp;")"</f>
        <v>Форма 5.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 в сфере теплоснабжения)</v>
      </c>
      <c r="F6" s="1092"/>
      <c r="G6" s="1092"/>
      <c r="H6" s="1242"/>
    </row>
    <row customHeight="1" ht="45">
      <c r="A7" s="1092" t="s">
        <v>477</v>
      </c>
      <c r="B7" s="1092" t="s">
        <v>111</v>
      </c>
      <c r="C7" s="1240" t="str">
        <f>IF(TEMPLATE_SPHERE="HEAT",D7,E7)</f>
        <v>Форма 11. Информация о расходах на капитальный и текущий ремонт основных средств</v>
      </c>
      <c r="D7" s="1092" t="s">
        <v>478</v>
      </c>
      <c r="E7" s="1092" t="s">
        <v>479</v>
      </c>
      <c r="F7" s="1242"/>
      <c r="G7" s="1242"/>
      <c r="H7" s="1242"/>
    </row>
    <row customHeight="1" ht="108">
      <c r="A8" s="1092" t="s">
        <v>480</v>
      </c>
      <c r="B8" s="1092" t="s">
        <v>92</v>
      </c>
      <c r="C8" s="1240" t="str">
        <f>IF(TEMPLATE_SPHERE="HEAT",D8,E8)</f>
        <v>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v>
      </c>
      <c r="D8" s="1092" t="s">
        <v>481</v>
      </c>
      <c r="E8" s="1092" t="s">
        <v>482</v>
      </c>
      <c r="F8" s="1242"/>
      <c r="G8" s="1242"/>
      <c r="H8" s="1242"/>
    </row>
    <row customHeight="1" ht="99">
      <c r="A9" s="1092" t="s">
        <v>483</v>
      </c>
      <c r="B9" s="1092"/>
      <c r="C9" s="1092" t="s">
        <v>484</v>
      </c>
      <c r="D9" s="1092"/>
      <c r="E9" s="1092"/>
      <c r="F9" s="1242"/>
      <c r="G9" s="1242"/>
      <c r="H9" s="1242"/>
    </row>
    <row customHeight="1" ht="117">
      <c r="A10" s="1092" t="s">
        <v>485</v>
      </c>
      <c r="B10" s="1092"/>
      <c r="C10" s="1092" t="s">
        <v>486</v>
      </c>
      <c r="D10" s="1092"/>
      <c r="E10" s="1092"/>
      <c r="F10" s="1242"/>
      <c r="G10" s="1242"/>
      <c r="H10" s="1242"/>
    </row>
    <row customHeight="1" ht="108">
      <c r="A11" s="1092" t="s">
        <v>487</v>
      </c>
      <c r="B11" s="1092"/>
      <c r="C11" s="1092" t="s">
        <v>488</v>
      </c>
      <c r="D11" s="1092"/>
      <c r="E11" s="1092"/>
      <c r="F11" s="1242"/>
      <c r="G11" s="1242"/>
      <c r="H11" s="1242"/>
    </row>
    <row customHeight="1" ht="54">
      <c r="A12" s="1092" t="s">
        <v>489</v>
      </c>
      <c r="B12" s="1092"/>
      <c r="C12" s="1092" t="s">
        <v>490</v>
      </c>
      <c r="D12" s="1092"/>
      <c r="E12" s="1092"/>
      <c r="F12" s="1242"/>
      <c r="G12" s="1242"/>
      <c r="H12" s="1242"/>
    </row>
    <row customHeight="1" ht="99">
      <c r="A13" s="1092" t="s">
        <v>491</v>
      </c>
      <c r="B13" s="1092"/>
      <c r="C13" s="1092" t="s">
        <v>492</v>
      </c>
      <c r="D13" s="1092"/>
      <c r="E13" s="1092"/>
      <c r="F13" s="1242"/>
      <c r="G13" s="1242"/>
      <c r="H13" s="1242"/>
    </row>
    <row customHeight="1" ht="99">
      <c r="A14" s="1092" t="s">
        <v>493</v>
      </c>
      <c r="B14" s="1092"/>
      <c r="C14" s="1092" t="s">
        <v>494</v>
      </c>
      <c r="D14" s="1092"/>
      <c r="E14" s="1092"/>
      <c r="F14" s="1242"/>
      <c r="G14" s="1242"/>
      <c r="H14" s="1242"/>
    </row>
    <row customHeight="1" ht="117">
      <c r="A15" s="1092" t="s">
        <v>495</v>
      </c>
      <c r="B15" s="1092"/>
      <c r="C15" s="1092" t="s">
        <v>496</v>
      </c>
      <c r="D15" s="1092"/>
      <c r="E15" s="1092"/>
      <c r="F15" s="1242"/>
      <c r="G15" s="1242"/>
      <c r="H15" s="1242"/>
    </row>
    <row customHeight="1" ht="54">
      <c r="A16" s="1092" t="s">
        <v>497</v>
      </c>
      <c r="B16" s="1092"/>
      <c r="C16" s="1092" t="s">
        <v>498</v>
      </c>
      <c r="D16" s="1092"/>
      <c r="E16" s="1092"/>
      <c r="F16" s="1242"/>
      <c r="G16" s="1242"/>
      <c r="H16" s="1242"/>
    </row>
    <row customHeight="1" ht="63">
      <c r="A17" s="1092" t="s">
        <v>499</v>
      </c>
      <c r="B17" s="1092"/>
      <c r="C17" s="1240" t="s">
        <v>500</v>
      </c>
      <c r="D17" s="1092"/>
      <c r="E17" s="1092"/>
      <c r="F17" s="1242"/>
      <c r="G17" s="1242"/>
      <c r="H17" s="1242"/>
    </row>
    <row customHeight="1" ht="27">
      <c r="A18" s="1092" t="s">
        <v>501</v>
      </c>
      <c r="B18" s="1092"/>
      <c r="C18" s="1240" t="s">
        <v>502</v>
      </c>
      <c r="D18" s="1092"/>
      <c r="E18" s="1092"/>
      <c r="F18" s="1242"/>
      <c r="G18" s="1242"/>
      <c r="H18" s="1242"/>
    </row>
    <row customHeight="1" ht="54">
      <c r="A19" s="1092" t="s">
        <v>503</v>
      </c>
      <c r="B19" s="1092"/>
      <c r="C19" s="1240" t="s">
        <v>504</v>
      </c>
      <c r="D19" s="1092"/>
      <c r="E19" s="1092"/>
      <c r="F19" s="1242"/>
      <c r="G19" s="1242"/>
      <c r="H19" s="1242"/>
    </row>
    <row customHeight="1" ht="36">
      <c r="A20" s="1092" t="s">
        <v>505</v>
      </c>
      <c r="B20" s="1092"/>
      <c r="C20" s="1240" t="s">
        <v>506</v>
      </c>
      <c r="D20" s="1092"/>
      <c r="E20" s="1092"/>
      <c r="F20" s="1242"/>
      <c r="G20" s="1242"/>
      <c r="H20" s="1242"/>
    </row>
    <row customHeight="1" ht="28.5">
      <c r="A21" s="1092" t="s">
        <v>507</v>
      </c>
      <c r="B21" s="1092"/>
      <c r="C21" s="1240" t="s">
        <v>508</v>
      </c>
      <c r="D21" s="1092"/>
      <c r="E21" s="1092"/>
      <c r="F21" s="1242"/>
      <c r="G21" s="1242"/>
      <c r="H21" s="1242"/>
    </row>
    <row customHeight="1" ht="28.5">
      <c r="A22" s="1092" t="s">
        <v>509</v>
      </c>
      <c r="B22" s="1092"/>
      <c r="C22" s="1240" t="s">
        <v>510</v>
      </c>
      <c r="D22" s="1092"/>
      <c r="E22" s="1092"/>
      <c r="F22" s="1242"/>
      <c r="G22" s="1242"/>
      <c r="H22" s="1242"/>
    </row>
    <row customHeight="1" ht="28.5">
      <c r="A23" s="1092" t="s">
        <v>511</v>
      </c>
      <c r="B23" s="1092"/>
      <c r="C23" s="1240" t="s">
        <v>512</v>
      </c>
      <c r="D23" s="1092"/>
      <c r="E23" s="1092"/>
      <c r="F23" s="1242"/>
      <c r="G23" s="1242"/>
      <c r="H23" s="1242"/>
    </row>
    <row customHeight="1" ht="28.5">
      <c r="A24" s="1092" t="s">
        <v>513</v>
      </c>
      <c r="B24" s="1092"/>
      <c r="C24" s="1240" t="s">
        <v>514</v>
      </c>
      <c r="D24" s="1092"/>
      <c r="E24" s="1092"/>
      <c r="F24" s="1242"/>
      <c r="G24" s="1242"/>
      <c r="H24" s="1242"/>
    </row>
    <row customHeight="1" ht="28.5">
      <c r="A25" s="1092" t="s">
        <v>515</v>
      </c>
      <c r="B25" s="1092"/>
      <c r="C25" s="1240" t="s">
        <v>516</v>
      </c>
      <c r="D25" s="1092"/>
      <c r="E25" s="1092"/>
      <c r="F25" s="1242"/>
      <c r="G25" s="1242"/>
      <c r="H25" s="1242"/>
    </row>
    <row customHeight="1" ht="28.5">
      <c r="A26" s="1092" t="s">
        <v>517</v>
      </c>
      <c r="B26" s="1092"/>
      <c r="C26" s="1240" t="s">
        <v>518</v>
      </c>
      <c r="D26" s="1092"/>
      <c r="E26" s="1092"/>
      <c r="F26" s="1242"/>
      <c r="G26" s="1242"/>
      <c r="H26" s="1242"/>
    </row>
    <row customHeight="1" ht="28.5">
      <c r="A27" s="1092" t="s">
        <v>519</v>
      </c>
      <c r="B27" s="1092"/>
      <c r="C27" s="1240" t="s">
        <v>520</v>
      </c>
      <c r="D27" s="1092"/>
      <c r="E27" s="1092"/>
      <c r="F27" s="1242"/>
      <c r="G27" s="1242"/>
      <c r="H27" s="1242"/>
    </row>
    <row customHeight="1" ht="28.5">
      <c r="A28" s="1092" t="s">
        <v>521</v>
      </c>
      <c r="B28" s="1092"/>
      <c r="C28" s="1240" t="s">
        <v>522</v>
      </c>
      <c r="D28" s="1092"/>
      <c r="E28" s="1092"/>
      <c r="F28" s="1242"/>
      <c r="G28" s="1242"/>
      <c r="H28" s="1242"/>
    </row>
    <row customHeight="1" ht="126">
      <c r="A29" s="1092" t="s">
        <v>523</v>
      </c>
      <c r="B29" s="1092" t="s">
        <v>190</v>
      </c>
      <c r="C29" s="1240" t="str">
        <f>IF(TEMPLATE_SPHERE="HEAT",D29,IF(TEMPLATE_SPHERE="TKO",H29,E29))</f>
        <v>Форма 19. Информация о способах приобретения, стоимости и об объемах товаров, необходимых регулируемой организации для производства товаров (оказания услуг) в сфере теплоснабжения, цены (тарифы) на которые подлежат регулированию, о способах приобретения, стоимости и об объемах товаров, необходимых для производства товаров и (или) оказания услуг единой теплоснабжающей организацией в ценовых зонах теплоснабжения, о способах приобретения, стоимости и об объемах товаров, необходимых для производства товаров и (или) оказания услуг теплоснабжающей организацией в ценовых зонах теплоснабжения и теплосетевой организацией в ценовых зонах теплоснабжения</v>
      </c>
      <c r="D29" s="1092" t="s">
        <v>524</v>
      </c>
      <c r="E29" s="1095" t="str">
        <f>"Форма 13. Информация о способах приобретения, стоимости и об объемах товаров (работ, услуг), необходимых организации "&amp;TEMPLATE_SPHERE_RUS&amp;"для производства товаров (оказания услуг) в сфере "&amp;TEMPLATE_SPHERE_RUS&amp;", тарифы на которые подлежат регулированию, содержит сведения о правовых актах, регламентирующих правила закупки (положение о закупке) в организации "&amp;TEMPLATE_SPHERE_RUS&amp;" и о месте их размещения, а также сведения о планировании закупок и результатах их проведения"</f>
        <v>Форма 13. Информация о способах приобретения, стоимости и об объемах товаров (работ, услуг), необходимых организации теплоснабжениядля производства товаров (оказания услуг) в сфере теплоснабжения, тарифы на которые подлежат регулированию, содержит сведения о правовых актах, регламентирующих правила закупки (положение о закупке) в организации теплоснабжения и о месте их размещения, а также сведения о планировании закупок и результатах их проведения</v>
      </c>
      <c r="F29" s="1242"/>
      <c r="G29" s="1242"/>
      <c r="H29" s="1092" t="s">
        <v>525</v>
      </c>
    </row>
    <row customHeight="1" ht="36">
      <c r="A30" s="1092" t="s">
        <v>526</v>
      </c>
      <c r="B30" s="1092"/>
      <c r="C30" s="1240" t="str">
        <f>IF(TEMPLATE_SPHERE="HEAT",D30,IF(TEMPLATE_SPHERE="TKO",H30,E30))</f>
        <v>Форма 18. Информация о порядке выполнения технологических, технических и других мероприятий, связанных с подключением (технологическим присоединением) к системе теплоснабжения &lt;1&gt;</v>
      </c>
      <c r="D30" s="1092" t="s">
        <v>527</v>
      </c>
      <c r="E30" s="1095" t="str">
        <f>"Форма 12.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"&amp;TEMPLATE_SPHERE_RUS&amp;" &lt;1&gt;"</f>
        <v>Форма 12.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теплоснабжения &lt;1&gt;</v>
      </c>
      <c r="F30" s="1242"/>
      <c r="G30" s="1242"/>
      <c r="H30" s="1242"/>
    </row>
    <row customHeight="1" ht="9">
      <c r="A31" s="1092"/>
      <c r="B31" s="1092"/>
      <c r="C31" s="1240"/>
      <c r="D31" s="1092"/>
      <c r="E31" s="1092"/>
      <c r="F31" s="1242"/>
      <c r="G31" s="1242"/>
      <c r="H31" s="1242"/>
    </row>
    <row customHeight="1" ht="9">
      <c r="A32" s="1092"/>
      <c r="B32" s="1092"/>
      <c r="C32" s="1240"/>
      <c r="D32" s="1092"/>
      <c r="E32" s="1092"/>
      <c r="F32" s="1242"/>
      <c r="G32" s="1242"/>
      <c r="H32" s="1242"/>
    </row>
    <row customHeight="1" ht="9">
      <c r="A33" s="1092"/>
      <c r="B33" s="1092"/>
      <c r="C33" s="1240"/>
      <c r="D33" s="1092"/>
      <c r="E33" s="1092"/>
      <c r="F33" s="1242"/>
      <c r="G33" s="1242"/>
      <c r="H33" s="1242"/>
    </row>
    <row customHeight="1" ht="9">
      <c r="A34" s="1092"/>
      <c r="B34" s="1092" t="s">
        <v>166</v>
      </c>
      <c r="C34" s="1240">
        <f>INDEX(TEMPLATE_NAME_FORM_LIST,B34,MATCH(TEMPLATE_SPHERE,TEMPLATE_SPHERE_LIST,0))</f>
        <v>0</v>
      </c>
      <c r="D34" s="1092"/>
      <c r="E34" s="1092"/>
      <c r="F34" s="1242"/>
      <c r="G34" s="1242"/>
      <c r="H34" s="1242"/>
    </row>
  </sheetData>
  <sheetProtection sort="0" autoFilter="0" insertRows="0" insertColumns="1" deleteRows="0" deleteColumns="0"/>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708F70CF-0972-43CB-30C2-5FE3A2536B02}" mc:Ignorable="x14ac xr xr2 xr3">
  <sheetPr>
    <tabColor rgb="FFFFCC99"/>
  </sheetPr>
  <dimension ref="A1:AY154"/>
  <sheetViews>
    <sheetView topLeftCell="A1" showGridLines="0" workbookViewId="0">
      <selection activeCell="A1" sqref="A1"/>
    </sheetView>
  </sheetViews>
  <sheetFormatPr defaultColWidth="9.140625" customHeight="1" defaultRowHeight="9"/>
  <cols>
    <col min="1" max="2" style="9083" width="9.140625"/>
    <col min="3" max="7" style="9127" width="8.00390625" customWidth="1"/>
    <col min="8" max="12" style="9127" width="8.57421875" customWidth="1"/>
    <col min="13" max="14" style="9127" width="27.7109375" customWidth="1"/>
    <col min="15" max="19" style="9127" width="5.140625" customWidth="1"/>
    <col min="20" max="24" style="9127" width="27.7109375" customWidth="1"/>
    <col min="25" max="25" style="9128" width="1.8515625" customWidth="1"/>
    <col min="26" max="26" style="9083" width="27.7109375" customWidth="1"/>
    <col min="27" max="27" style="9129" width="27.7109375" customWidth="1"/>
    <col min="28" max="29" style="9083" width="27.7109375" customWidth="1"/>
    <col min="30" max="30" style="9083" width="3.8515625" customWidth="1"/>
    <col min="31" max="34" style="9083" width="9.140625"/>
  </cols>
  <sheetData>
    <row s="9085" customFormat="1" customHeight="1" ht="18">
      <c r="A1" s="1150"/>
      <c r="B1" s="1150"/>
      <c r="C1" s="1150" t="s">
        <v>528</v>
      </c>
      <c r="D1" s="1150"/>
      <c r="E1" s="1150"/>
      <c r="F1" s="1150"/>
      <c r="G1" s="1150"/>
      <c r="H1" s="1150" t="s">
        <v>529</v>
      </c>
      <c r="I1" s="1150"/>
      <c r="J1" s="1150"/>
      <c r="K1" s="1150"/>
      <c r="L1" s="1150"/>
      <c r="M1" s="1150" t="s">
        <v>530</v>
      </c>
      <c r="N1" s="1150" t="s">
        <v>531</v>
      </c>
      <c r="O1" s="2303" t="s">
        <v>532</v>
      </c>
      <c r="P1" s="2303"/>
      <c r="Q1" s="2303"/>
      <c r="R1" s="2303"/>
      <c r="S1" s="2303"/>
      <c r="T1" s="2303" t="s">
        <v>530</v>
      </c>
      <c r="U1" s="2303"/>
      <c r="V1" s="2303"/>
      <c r="W1" s="2303"/>
      <c r="X1" s="2303"/>
      <c r="Y1" s="1255"/>
      <c r="Z1" s="2303" t="s">
        <v>533</v>
      </c>
      <c r="AA1" s="2303"/>
      <c r="AB1" s="2303"/>
      <c r="AC1" s="2303"/>
      <c r="AD1" s="2303"/>
    </row>
    <row customHeight="1" ht="18">
      <c r="A2" s="1092"/>
      <c r="B2" s="1092"/>
      <c r="C2" s="1087" t="s">
        <v>462</v>
      </c>
      <c r="D2" s="1087" t="s">
        <v>463</v>
      </c>
      <c r="E2" s="1087" t="s">
        <v>464</v>
      </c>
      <c r="F2" s="1087" t="s">
        <v>465</v>
      </c>
      <c r="G2" s="1087" t="s">
        <v>466</v>
      </c>
      <c r="H2" s="1089"/>
      <c r="I2" s="1089"/>
      <c r="J2" s="1089"/>
      <c r="K2" s="1089"/>
      <c r="L2" s="1089"/>
      <c r="M2" s="1089"/>
      <c r="N2" s="1089"/>
      <c r="O2" s="1087" t="s">
        <v>462</v>
      </c>
      <c r="P2" s="1087" t="s">
        <v>463</v>
      </c>
      <c r="Q2" s="1087" t="s">
        <v>465</v>
      </c>
      <c r="R2" s="1087" t="s">
        <v>464</v>
      </c>
      <c r="S2" s="1087" t="s">
        <v>466</v>
      </c>
      <c r="T2" s="1087" t="s">
        <v>462</v>
      </c>
      <c r="U2" s="1087" t="s">
        <v>463</v>
      </c>
      <c r="V2" s="1087" t="s">
        <v>465</v>
      </c>
      <c r="W2" s="1087" t="s">
        <v>464</v>
      </c>
      <c r="X2" s="1087" t="s">
        <v>466</v>
      </c>
      <c r="Y2" s="1087"/>
      <c r="Z2" s="1087" t="s">
        <v>462</v>
      </c>
      <c r="AA2" s="1096" t="s">
        <v>463</v>
      </c>
      <c r="AB2" s="1087" t="s">
        <v>465</v>
      </c>
      <c r="AC2" s="1087" t="s">
        <v>464</v>
      </c>
      <c r="AD2" s="1087" t="s">
        <v>466</v>
      </c>
    </row>
    <row customHeight="1" ht="162">
      <c r="A3" s="1091" t="s">
        <v>22</v>
      </c>
      <c r="B3" s="1091"/>
      <c r="C3" s="2307" t="s">
        <v>534</v>
      </c>
      <c r="D3" s="2308"/>
      <c r="E3" s="2308"/>
      <c r="F3" s="2309"/>
      <c r="G3" s="1089"/>
      <c r="H3" s="1089"/>
      <c r="I3" s="1089"/>
      <c r="J3" s="1089"/>
      <c r="K3" s="1089"/>
      <c r="L3" s="1089"/>
      <c r="M3" s="1089"/>
      <c r="N3" s="1090" t="str">
        <f>INDEX(TEMPLATE_ORG_DATA_POINT,1,MATCH(TEMPLATE_SPHERE,TEMPLATE_SPHERE_LIST_FOR_NOTE,0))</f>
        <v>В случае если регулируемыми организациями,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оказываются услуги по теплоснабжению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v>
      </c>
      <c r="O3" s="1089"/>
      <c r="P3" s="1089"/>
      <c r="Q3" s="1089"/>
      <c r="R3" s="1089"/>
      <c r="S3" s="1089"/>
      <c r="T3" s="1089"/>
      <c r="U3" s="1089"/>
      <c r="V3" s="1089"/>
      <c r="W3" s="1089"/>
      <c r="X3" s="1089"/>
      <c r="Y3" s="1256"/>
      <c r="Z3" s="1092" t="s">
        <v>535</v>
      </c>
      <c r="AA3" s="1089" t="s">
        <v>536</v>
      </c>
      <c r="AB3" s="1092" t="s">
        <v>537</v>
      </c>
      <c r="AC3" s="1092" t="s">
        <v>538</v>
      </c>
      <c r="AD3" s="1092"/>
      <c r="AG3" s="1092"/>
      <c r="AH3" s="1092"/>
    </row>
    <row customHeight="1" ht="9">
      <c r="A4" s="1091"/>
      <c r="B4" s="1091"/>
      <c r="C4" s="1089"/>
      <c r="D4" s="1089"/>
      <c r="E4" s="1089"/>
      <c r="F4" s="1089"/>
      <c r="G4" s="1089"/>
      <c r="H4" s="1089"/>
      <c r="I4" s="1089"/>
      <c r="J4" s="1089"/>
      <c r="K4" s="1089"/>
      <c r="L4" s="1089"/>
      <c r="M4" s="1089"/>
      <c r="N4" s="1089"/>
      <c r="O4" s="1089"/>
      <c r="P4" s="1089"/>
      <c r="Q4" s="1089"/>
      <c r="R4" s="1089"/>
      <c r="S4" s="1089"/>
      <c r="T4" s="1089"/>
      <c r="U4" s="1089"/>
      <c r="V4" s="1089"/>
      <c r="W4" s="1089"/>
      <c r="X4" s="1089"/>
      <c r="Y4" s="1256"/>
      <c r="Z4" s="1092"/>
      <c r="AA4" s="1095"/>
      <c r="AB4" s="1092"/>
      <c r="AC4" s="1092"/>
      <c r="AD4" s="1092"/>
    </row>
    <row customHeight="1" ht="9">
      <c r="A5" s="1091"/>
      <c r="B5" s="1091"/>
      <c r="C5" s="1089"/>
      <c r="D5" s="1089"/>
      <c r="E5" s="1089"/>
      <c r="F5" s="1089"/>
      <c r="G5" s="1089"/>
      <c r="H5" s="1089"/>
      <c r="I5" s="1089"/>
      <c r="J5" s="1089"/>
      <c r="K5" s="1089"/>
      <c r="L5" s="1089"/>
      <c r="M5" s="1089"/>
      <c r="N5" s="1089"/>
      <c r="O5" s="1089"/>
      <c r="P5" s="1089"/>
      <c r="Q5" s="1089"/>
      <c r="R5" s="1089"/>
      <c r="S5" s="1089"/>
      <c r="T5" s="1089"/>
      <c r="U5" s="1089"/>
      <c r="V5" s="1089"/>
      <c r="W5" s="1089"/>
      <c r="X5" s="1089"/>
      <c r="Y5" s="1256"/>
      <c r="Z5" s="1092"/>
      <c r="AA5" s="1095"/>
      <c r="AB5" s="1092"/>
      <c r="AC5" s="1092"/>
      <c r="AD5" s="1092"/>
    </row>
    <row customHeight="1" ht="9">
      <c r="A6" s="1091"/>
      <c r="B6" s="1091"/>
      <c r="C6" s="1089"/>
      <c r="D6" s="1089"/>
      <c r="E6" s="1089"/>
      <c r="F6" s="1089"/>
      <c r="G6" s="1089"/>
      <c r="H6" s="1089"/>
      <c r="I6" s="1089"/>
      <c r="J6" s="1089"/>
      <c r="K6" s="1089"/>
      <c r="L6" s="1089"/>
      <c r="M6" s="1089"/>
      <c r="N6" s="1089"/>
      <c r="O6" s="1089"/>
      <c r="P6" s="1089"/>
      <c r="Q6" s="1089"/>
      <c r="R6" s="1089"/>
      <c r="S6" s="1089"/>
      <c r="T6" s="1089"/>
      <c r="U6" s="1089"/>
      <c r="V6" s="1089"/>
      <c r="W6" s="1089"/>
      <c r="X6" s="1089"/>
      <c r="Y6" s="1256"/>
      <c r="Z6" s="1092"/>
      <c r="AA6" s="1095"/>
      <c r="AB6" s="1092"/>
      <c r="AC6" s="1092"/>
      <c r="AD6" s="1092"/>
    </row>
    <row customHeight="1" ht="9">
      <c r="A7" s="1091"/>
      <c r="B7" s="1091"/>
      <c r="C7" s="1089"/>
      <c r="D7" s="1089"/>
      <c r="E7" s="1089"/>
      <c r="F7" s="1089"/>
      <c r="G7" s="1089"/>
      <c r="H7" s="1089"/>
      <c r="I7" s="1089"/>
      <c r="J7" s="1089"/>
      <c r="K7" s="1089"/>
      <c r="L7" s="1089"/>
      <c r="M7" s="1089"/>
      <c r="N7" s="1089"/>
      <c r="O7" s="1089"/>
      <c r="P7" s="1089"/>
      <c r="Q7" s="1089"/>
      <c r="R7" s="1089"/>
      <c r="S7" s="1089"/>
      <c r="T7" s="1089"/>
      <c r="U7" s="1089"/>
      <c r="V7" s="1089"/>
      <c r="W7" s="1089"/>
      <c r="X7" s="1089"/>
      <c r="Y7" s="1256"/>
      <c r="Z7" s="1092"/>
      <c r="AA7" s="1095"/>
      <c r="AB7" s="1092"/>
      <c r="AC7" s="1092"/>
      <c r="AD7" s="1092"/>
    </row>
    <row customHeight="1" ht="9">
      <c r="A8" s="1091"/>
      <c r="B8" s="1091"/>
      <c r="C8" s="1089"/>
      <c r="D8" s="1089"/>
      <c r="E8" s="1089"/>
      <c r="F8" s="1089"/>
      <c r="G8" s="1089"/>
      <c r="H8" s="1089"/>
      <c r="I8" s="1089"/>
      <c r="J8" s="1089"/>
      <c r="K8" s="1089"/>
      <c r="L8" s="1089"/>
      <c r="M8" s="1089"/>
      <c r="N8" s="1089"/>
      <c r="O8" s="1089"/>
      <c r="P8" s="1089"/>
      <c r="Q8" s="1089"/>
      <c r="R8" s="1089"/>
      <c r="S8" s="1089"/>
      <c r="T8" s="1089"/>
      <c r="U8" s="1089"/>
      <c r="V8" s="1089"/>
      <c r="W8" s="1089"/>
      <c r="X8" s="1089"/>
      <c r="Y8" s="1256"/>
      <c r="Z8" s="1092"/>
      <c r="AA8" s="1095"/>
      <c r="AB8" s="1092"/>
      <c r="AC8" s="1092"/>
      <c r="AD8" s="1092"/>
    </row>
    <row customHeight="1" ht="9">
      <c r="A9" s="1091"/>
      <c r="B9" s="1091"/>
      <c r="C9" s="1089"/>
      <c r="D9" s="1089"/>
      <c r="E9" s="1089"/>
      <c r="F9" s="1089"/>
      <c r="G9" s="1089"/>
      <c r="H9" s="1089"/>
      <c r="I9" s="1089"/>
      <c r="J9" s="1089"/>
      <c r="K9" s="1089"/>
      <c r="L9" s="1089"/>
      <c r="M9" s="1089"/>
      <c r="N9" s="1089"/>
      <c r="O9" s="1089"/>
      <c r="P9" s="1089"/>
      <c r="Q9" s="1089"/>
      <c r="R9" s="1089"/>
      <c r="S9" s="1089"/>
      <c r="T9" s="1089"/>
      <c r="U9" s="1089"/>
      <c r="V9" s="1089"/>
      <c r="W9" s="1089"/>
      <c r="X9" s="1089"/>
      <c r="Y9" s="1256"/>
      <c r="Z9" s="1092"/>
      <c r="AA9" s="1095"/>
      <c r="AB9" s="1092"/>
      <c r="AC9" s="1092"/>
      <c r="AD9" s="1092"/>
    </row>
    <row customHeight="1" ht="9">
      <c r="A10" s="1151"/>
      <c r="B10" s="1151"/>
      <c r="C10" s="1151"/>
      <c r="D10" s="1151"/>
      <c r="E10" s="1151"/>
      <c r="F10" s="1151"/>
      <c r="G10" s="1151"/>
      <c r="H10" s="1151"/>
      <c r="I10" s="1151"/>
      <c r="J10" s="1151"/>
      <c r="K10" s="1151"/>
      <c r="L10" s="1151"/>
      <c r="M10" s="1151"/>
      <c r="N10" s="1151"/>
      <c r="O10" s="1151"/>
      <c r="P10" s="1151"/>
      <c r="Q10" s="1151"/>
      <c r="R10" s="1151"/>
      <c r="S10" s="1151"/>
      <c r="T10" s="1151"/>
      <c r="U10" s="1151"/>
      <c r="V10" s="1151"/>
      <c r="W10" s="1151"/>
      <c r="X10" s="1151"/>
      <c r="Y10" s="1151"/>
      <c r="Z10" s="1151"/>
      <c r="AA10" s="1151"/>
      <c r="AB10" s="1151"/>
      <c r="AC10" s="1151"/>
      <c r="AD10" s="1151"/>
    </row>
    <row customHeight="1" ht="45">
      <c r="A11" s="2304" t="s">
        <v>28</v>
      </c>
      <c r="B11" s="1151">
        <v>1</v>
      </c>
      <c r="C11" s="2310" t="s">
        <v>184</v>
      </c>
      <c r="D11" s="2310" t="s">
        <v>181</v>
      </c>
      <c r="E11" s="2310" t="s">
        <v>539</v>
      </c>
      <c r="F11" s="2310" t="s">
        <v>540</v>
      </c>
      <c r="G11" s="2310"/>
      <c r="H11" s="1150" t="s">
        <v>541</v>
      </c>
      <c r="I11" s="1150"/>
      <c r="J11" s="1150"/>
      <c r="K11" s="1150"/>
      <c r="L11" s="1150"/>
      <c r="M11" s="1090" t="str">
        <f>IF(TEMPLATE_SPHERE="HEAT",T11,U11)</f>
        <v>Количество поданных заявок</v>
      </c>
      <c r="N11" s="1090" t="str">
        <f>IF(TEMPLATE_SPHERE="HEAT",Z11,AA11)</f>
        <v>Указывается количество поданных заявок на подключение (технологическое присоединение) к системе теплоснабжения в течение отчетного квартала.</v>
      </c>
      <c r="O11" s="1089"/>
      <c r="P11" s="1089"/>
      <c r="Q11" s="1089"/>
      <c r="R11" s="1089"/>
      <c r="S11" s="1089"/>
      <c r="T11" s="1089" t="s">
        <v>542</v>
      </c>
      <c r="U11" s="1089" t="s">
        <v>543</v>
      </c>
      <c r="V11" s="1089"/>
      <c r="W11" s="1089"/>
      <c r="X11" s="1089"/>
      <c r="Y11" s="1256"/>
      <c r="Z11" s="1092" t="s">
        <v>544</v>
      </c>
      <c r="AA11" s="1095" t="str">
        <f>"Указывается количество поданных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поданных заявлений о заключении договоров о подключении (технологическом присоединении) к централизованной системе теплоснабжения в течение одного квартала.</v>
      </c>
      <c r="AB11" s="1092"/>
      <c r="AC11" s="1092"/>
      <c r="AD11" s="1092"/>
    </row>
    <row customHeight="1" ht="45">
      <c r="A12" s="2304"/>
      <c r="B12" s="1151">
        <v>2</v>
      </c>
      <c r="C12" s="2311"/>
      <c r="D12" s="2311"/>
      <c r="E12" s="2311"/>
      <c r="F12" s="2311"/>
      <c r="G12" s="2311"/>
      <c r="H12" s="1150" t="s">
        <v>545</v>
      </c>
      <c r="I12" s="1150"/>
      <c r="J12" s="1150"/>
      <c r="K12" s="1150"/>
      <c r="L12" s="1150"/>
      <c r="M12" s="1090" t="str">
        <f>IF(TEMPLATE_SPHERE="HEAT",T12,U12)</f>
        <v>Количество рассмотренных заявок</v>
      </c>
      <c r="N12" s="1090" t="str">
        <f>IF(TEMPLATE_SPHERE="HEAT",Z12,AA12)</f>
        <v>Указывается количество исполненных заявок на подключение (технологическое присоединение) к системе теплоснабжения в течение отчетного квартала.</v>
      </c>
      <c r="O12" s="1089"/>
      <c r="P12" s="1089"/>
      <c r="Q12" s="1089"/>
      <c r="R12" s="1089"/>
      <c r="S12" s="1089"/>
      <c r="T12" s="1089" t="s">
        <v>546</v>
      </c>
      <c r="U12" s="1089" t="s">
        <v>547</v>
      </c>
      <c r="V12" s="1089"/>
      <c r="W12" s="1089"/>
      <c r="X12" s="1089"/>
      <c r="Y12" s="1256"/>
      <c r="Z12" s="1092" t="s">
        <v>548</v>
      </c>
      <c r="AA12" s="1095" t="str">
        <f>"Указывается количество исполненных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исполненных заявлений о заключении договоров о подключении (технологическом присоединении) к централизованной системе теплоснабжения в течение одного квартала.</v>
      </c>
      <c r="AB12" s="1092"/>
      <c r="AC12" s="1092"/>
      <c r="AD12" s="1092"/>
    </row>
    <row customHeight="1" ht="72">
      <c r="A13" s="2304"/>
      <c r="B13" s="1151">
        <v>3</v>
      </c>
      <c r="C13" s="2311"/>
      <c r="D13" s="2311"/>
      <c r="E13" s="2311"/>
      <c r="F13" s="2311"/>
      <c r="G13" s="2311"/>
      <c r="H13" s="2303" t="s">
        <v>549</v>
      </c>
      <c r="I13" s="1150"/>
      <c r="J13" s="1150"/>
      <c r="K13" s="1150"/>
      <c r="L13" s="1150"/>
      <c r="M13" s="1090" t="str">
        <f>IF(TEMPLATE_SPHERE="HEAT",T13,U13)</f>
        <v>Количество заявок на заключение договора о подключении (технологическом присоединении) к системе теплоснабжения, по которым регулируемой организацией отказано в заключении договора о подключении (технологическом присоединении) к системе теплоснабжения</v>
      </c>
      <c r="N13" s="1090" t="str">
        <f>IF(TEMPLATE_SPHERE="HEAT",Z13,AA13)</f>
        <v>Указывается количество заявок с решением об отказе в течение отчетного квартала.</v>
      </c>
      <c r="O13" s="1089"/>
      <c r="P13" s="1090"/>
      <c r="Q13" s="1090"/>
      <c r="R13" s="1090"/>
      <c r="S13" s="1089"/>
      <c r="T13" s="1089" t="s">
        <v>550</v>
      </c>
      <c r="U13" s="1090" t="s">
        <v>551</v>
      </c>
      <c r="V13" s="1090"/>
      <c r="W13" s="1090"/>
      <c r="X13" s="1089"/>
      <c r="Y13" s="1256"/>
      <c r="Z13" s="1092" t="s">
        <v>552</v>
      </c>
      <c r="AA13" s="1095" t="str">
        <f>"Указывается количество заявлений о заключении договоров о подключении (технологическом присоединении) к централизованной системе "&amp;TEMPLATE_SPHERE_RUS&amp;", по которым организацией "&amp;TEMPLATE_SPHERE_RUS&amp;" отказано в заключении договора о подключении (технологическом присоединении) к централизованной системе "&amp;TEMPLATE_SPHERE_RUS&amp;" с указанием причин, в течение одного квартала."</f>
        <v>Указывается количество заявлений о заключении договоров о подключении (технологическом присоединении) к централизованной системе теплоснабжения, по которым организацией теплоснабжения отказано в заключении договора о подключении (технологическом присоединении) к централизованной системе теплоснабжения с указанием причин, в течение одного квартала.</v>
      </c>
      <c r="AB13" s="1092"/>
      <c r="AC13" s="1092"/>
      <c r="AD13" s="1092"/>
    </row>
    <row customHeight="1" ht="45">
      <c r="A14" s="2304"/>
      <c r="B14" s="1151">
        <v>4</v>
      </c>
      <c r="C14" s="2311"/>
      <c r="D14" s="2311"/>
      <c r="E14" s="2311"/>
      <c r="F14" s="2311"/>
      <c r="G14" s="2311"/>
      <c r="H14" s="2303"/>
      <c r="I14" s="1153"/>
      <c r="J14" s="1153"/>
      <c r="K14" s="1153"/>
      <c r="L14" s="1153"/>
      <c r="M14" s="1093" t="str">
        <f>IF(TEMPLATE_SPHERE="HEAT",T14,U14)</f>
        <v>Причины отказа в заключении договора о подключении (технологическом присоединении) к системе теплоснабжения</v>
      </c>
      <c r="N14" s="1090" t="str">
        <f>IF(TEMPLATE_SPHERE="HEAT",Z14,AA14)</f>
        <v>Указывается текстовое описание причин принятия решений.
Не заполняется в случае, если решения об отказе в течение отчетного периода не принимались.</v>
      </c>
      <c r="O14" s="1089"/>
      <c r="P14" s="1090"/>
      <c r="Q14" s="1090"/>
      <c r="R14" s="1090"/>
      <c r="S14" s="1089"/>
      <c r="T14" s="1089" t="s">
        <v>553</v>
      </c>
      <c r="U14" s="1090" t="str">
        <f>"Причины отказа в заключении договора о подключении (технологическом присоединении) к централизованной системе "&amp;TEMPLATE_SPHERE_RUS</f>
        <v>Причины отказа в заключении договора о подключении (технологическом присоединении) к централизованной системе теплоснабжения</v>
      </c>
      <c r="V14" s="1090"/>
      <c r="W14" s="1090"/>
      <c r="X14" s="1089"/>
      <c r="Y14" s="1256"/>
      <c r="Z14" s="1092" t="s">
        <v>554</v>
      </c>
      <c r="AA14" s="1095" t="s">
        <v>554</v>
      </c>
      <c r="AB14" s="1092"/>
      <c r="AC14" s="1092"/>
      <c r="AD14" s="1092"/>
    </row>
    <row customHeight="1" ht="108">
      <c r="A15" s="2304"/>
      <c r="B15" s="1151">
        <v>5</v>
      </c>
      <c r="C15" s="2311"/>
      <c r="D15" s="2311"/>
      <c r="E15" s="2311"/>
      <c r="F15" s="2311"/>
      <c r="G15" s="2311"/>
      <c r="H15" s="2305" t="s">
        <v>555</v>
      </c>
      <c r="I15" s="1152"/>
      <c r="J15" s="1152"/>
      <c r="K15" s="1152"/>
      <c r="L15" s="1152"/>
      <c r="M15" s="1095" t="str">
        <f>IF(TEMPLATE_SPHERE="HEAT",T15,U15)</f>
        <v>Резерв мощности источников тепловой энергии, входящих в систему теплоснабжения, в течение одного квартала, в том числе:</v>
      </c>
      <c r="N15" s="1094" t="str">
        <f>IF(TEMPLATE_SPHERE="HEAT",Z15,AA15)</f>
        <v>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v>
      </c>
      <c r="O15" s="1089"/>
      <c r="P15" s="1090"/>
      <c r="Q15" s="1090"/>
      <c r="R15" s="1090"/>
      <c r="S15" s="1089"/>
      <c r="T15" s="1089" t="s">
        <v>556</v>
      </c>
      <c r="U15" s="1090" t="str">
        <f>"Наличие свободной мощности (резерва мощности) на соответствующих объектах централизованных систем "&amp;TEMPLATE_SPHERE_RUS&amp;" в течение одного квартала, в том числе:"</f>
        <v>Наличие свободной мощности (резерва мощности) на соответствующих объектах централизованных систем теплоснабжения в течение одного квартала, в том числе:</v>
      </c>
      <c r="V15" s="1090"/>
      <c r="W15" s="1090"/>
      <c r="X15" s="1089"/>
      <c r="Y15" s="1256"/>
      <c r="Z15" s="1092" t="s">
        <v>557</v>
      </c>
      <c r="AA15" s="1095" t="str">
        <f>"Указывается наличие свободной мощности (резерв мощности) на соответствующих объектах централизованной системы "&amp;TEMPLATE_SPHERE_RUS&amp;" (совокупности централизованных систем "&amp;TEMPLATE_SPHERE_RUS&amp;") в случае, если для них установлены одинаковые тарифы в сфере "&amp;TEMPLATE_SPHERE_RUS&amp;".
В случае если регулируемыми организациями оказываются услуги "&amp;TEMPLATE_SPHERE_RUS&amp;" по нескольким технологически не связанным между собой централизованным системам "&amp;TEMPLATE_SPHERE_RUS&amp;", и если в отношении указанных систем устанавливаются различные тарифы в сфере "&amp;TEMPLATE_SPHERE_RUS&amp;", то информация раскрывается отдельно по каждой централизованной системе "&amp;TEMPLATE_SPHERE_RUS&amp;"."</f>
        <v>Указывается наличие свободной мощности (резерв мощности) на соответствующих объектах централизованной системы теплоснабжения (совокупности централизованных систем теплоснабжения) в случае, если для них установлены одинаковые тарифы в сфере теплоснабжения.
В случае если регулируемыми организациями оказываются услуги теплоснабжения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v>
      </c>
      <c r="AB15" s="1092"/>
      <c r="AC15" s="1092"/>
      <c r="AD15" s="1092"/>
    </row>
    <row customHeight="1" ht="108">
      <c r="A16" s="1151"/>
      <c r="B16" s="1151">
        <v>6</v>
      </c>
      <c r="C16" s="2312"/>
      <c r="D16" s="2312"/>
      <c r="E16" s="2312"/>
      <c r="F16" s="2312"/>
      <c r="G16" s="2312"/>
      <c r="H16" s="2306"/>
      <c r="I16" s="1218"/>
      <c r="J16" s="1218"/>
      <c r="K16" s="1218"/>
      <c r="L16" s="1218"/>
      <c r="M16" s="1142"/>
      <c r="N16" s="1094" t="str">
        <f>IF(TEMPLATE_SPHERE="HEAT",Z16,AA16)</f>
        <v>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v>
      </c>
      <c r="O16" s="1089"/>
      <c r="P16" s="1090"/>
      <c r="Q16" s="1090"/>
      <c r="R16" s="1090"/>
      <c r="S16" s="1089"/>
      <c r="T16" s="1089"/>
      <c r="U16" s="1090"/>
      <c r="V16" s="1090"/>
      <c r="W16" s="1090"/>
      <c r="X16" s="1089"/>
      <c r="Y16" s="1256"/>
      <c r="Z16" s="1092" t="s">
        <v>557</v>
      </c>
      <c r="AA16" s="1095" t="str">
        <f>"Указывается наличие свободной мощности (резерв мощности) для централизованной системы "&amp;TEMPLATE_SPHERE_RUS&amp;", тариф для которой не является отличным от тарифов других централизованных систем "&amp;TEMPLATE_SPHERE_RUS&amp;" регулируемой организации.
При использовании регулируемой организацией нескольких централизованных систем "&amp;TEMPLATE_SPHERE_RUS&amp;" информация о наличии свободной мощности (резерве мощности) на соответствующих объектах централизованных систем "&amp;TEMPLATE_SPHERE_RUS&amp;" публикуется в отношении каждой централизованной системы "&amp;TEMPLATE_SPHERE_RUS&amp;" в отдельных строках."</f>
        <v>Указывается наличие свободной мощности (резерв мощности) для централизованной системы теплоснабжения, тариф для которой не является отличным от тарифов других централизованных систем теплоснабжения регулируемой организации.
При использовании регулируемой организацией нескольких централизованных систем теплоснабжения информация о наличии свободной мощности (резерве мощности) на соответствующих объектах централизованных систем теплоснабжения публикуется в отношении каждой централизованной системы теплоснабжения в отдельных строках.</v>
      </c>
      <c r="AB16" s="1092"/>
      <c r="AC16" s="1092"/>
      <c r="AD16" s="1092"/>
    </row>
    <row customHeight="1" ht="9">
      <c r="A17" s="1151"/>
      <c r="B17" s="1151"/>
      <c r="C17" s="1151">
        <v>22</v>
      </c>
      <c r="D17" s="1151">
        <v>21</v>
      </c>
      <c r="E17" s="1151">
        <v>42</v>
      </c>
      <c r="F17" s="1151">
        <v>63</v>
      </c>
      <c r="G17" s="1151"/>
      <c r="H17" s="1151"/>
      <c r="I17" s="1151"/>
      <c r="J17" s="1151"/>
      <c r="K17" s="1151"/>
      <c r="L17" s="1151"/>
      <c r="M17" s="1151"/>
      <c r="N17" s="1151"/>
      <c r="O17" s="1151"/>
      <c r="P17" s="1151"/>
      <c r="Q17" s="1151"/>
      <c r="R17" s="1151"/>
      <c r="S17" s="1151"/>
      <c r="T17" s="1151"/>
      <c r="U17" s="1151"/>
      <c r="V17" s="1151"/>
      <c r="W17" s="1151"/>
      <c r="X17" s="1151"/>
      <c r="Y17" s="1151"/>
      <c r="Z17" s="1151"/>
      <c r="AA17" s="1151"/>
      <c r="AB17" s="1151"/>
      <c r="AC17" s="1151"/>
      <c r="AD17" s="1151"/>
    </row>
    <row customHeight="1" ht="27">
      <c r="A18" s="1091" t="s">
        <v>558</v>
      </c>
      <c r="B18" s="1151">
        <v>1</v>
      </c>
      <c r="C18" s="1089" t="s">
        <v>541</v>
      </c>
      <c r="D18" s="1223" t="s">
        <v>541</v>
      </c>
      <c r="E18" s="1089" t="s">
        <v>541</v>
      </c>
      <c r="F18" s="1089" t="s">
        <v>541</v>
      </c>
      <c r="G18" s="1089"/>
      <c r="H18" s="1258"/>
      <c r="I18" s="1261">
        <f>INDEX(TEMPLATE_NUMBER_POINT_FHD,B18,MATCH(TEMPLATE_SPHERE,TEMPLATE_SPHERE_LIST_FOR_NOTE,0))</f>
        <v>1</v>
      </c>
      <c r="J18" s="1261" t="str">
        <f>INDEX(TEMPLATE_DATA_POINT_FHD,B18,MATCH(TEMPLATE_SPHERE,TEMPLATE_SPHERE_LIST_FOR_NOTE,0))</f>
        <v>Выручка от регулируемого вида деятельности с распределением по видам деятельности</v>
      </c>
      <c r="K18" s="1261" t="str">
        <f>INDEX(TEMPLATE_NOTE_POINT_FHD,B18,MATCH(TEMPLATE_SPHERE,TEMPLATE_SPHERE_LIST_FOR_NOTE,0))</f>
        <v>Указывается выручка от регулируемого вида деятельности с распределением по видам деятельности.</v>
      </c>
      <c r="L18" s="1090">
        <f>IF(I18=0,"",I18)</f>
        <v>1</v>
      </c>
      <c r="M18" s="1090" t="str">
        <f>IF(J18=0,"",J18)</f>
        <v>Выручка от регулируемого вида деятельности с распределением по видам деятельности</v>
      </c>
      <c r="N18" s="1090" t="str">
        <f>IF(K18=0,"",K18)</f>
        <v>Указывается выручка от регулируемого вида деятельности с распределением по видам деятельности.</v>
      </c>
      <c r="O18" s="1213">
        <v>1</v>
      </c>
      <c r="P18" s="1213">
        <v>1</v>
      </c>
      <c r="Q18" s="1213">
        <v>1</v>
      </c>
      <c r="R18" s="1213">
        <v>1</v>
      </c>
      <c r="S18" s="1213"/>
      <c r="T18" s="1220" t="s">
        <v>559</v>
      </c>
      <c r="U18" s="1092" t="s">
        <v>560</v>
      </c>
      <c r="V18" s="1092" t="s">
        <v>561</v>
      </c>
      <c r="W18" s="1092" t="s">
        <v>562</v>
      </c>
      <c r="X18" s="1089"/>
      <c r="Y18" s="1256"/>
      <c r="Z18" s="1092" t="s">
        <v>563</v>
      </c>
      <c r="AA18" s="1095" t="s">
        <v>564</v>
      </c>
      <c r="AB18" s="1095" t="s">
        <v>564</v>
      </c>
      <c r="AC18" s="1095" t="s">
        <v>564</v>
      </c>
      <c r="AD18" s="1092"/>
    </row>
    <row customHeight="1" ht="36">
      <c r="A19" s="1091"/>
      <c r="B19" s="1151">
        <v>2</v>
      </c>
      <c r="C19" s="1089" t="s">
        <v>545</v>
      </c>
      <c r="D19" s="1223" t="s">
        <v>545</v>
      </c>
      <c r="E19" s="1089" t="s">
        <v>545</v>
      </c>
      <c r="F19" s="1089" t="s">
        <v>545</v>
      </c>
      <c r="G19" s="1089"/>
      <c r="H19" s="1258"/>
      <c r="I19" s="1261">
        <f>INDEX(TEMPLATE_NUMBER_POINT_FHD,B19,MATCH(TEMPLATE_SPHERE,TEMPLATE_SPHERE_LIST_FOR_NOTE,0))</f>
        <v>2</v>
      </c>
      <c r="J19" s="1261" t="str">
        <f>INDEX(TEMPLATE_DATA_POINT_FHD,B19,MATCH(TEMPLATE_SPHERE,TEMPLATE_SPHERE_LIST_FOR_NOTE,0))</f>
        <v>Себестоимость производимых товаров (оказываемых услуг) по регулируемому виду деятельности, включая:</v>
      </c>
      <c r="K19" s="1261" t="str">
        <f>INDEX(TEMPLATE_NOTE_POINT_FHD,B19,MATCH(TEMPLATE_SPHERE,TEMPLATE_SPHERE_LIST_FOR_NOTE,0))</f>
        <v>Указывается суммарная себестоимость производимых товаров.</v>
      </c>
      <c r="L19" s="1090">
        <f>IF(I19=0,"",I19)</f>
        <v>2</v>
      </c>
      <c r="M19" s="1090" t="str">
        <f>IF(J19=0,"",J19)</f>
        <v>Себестоимость производимых товаров (оказываемых услуг) по регулируемому виду деятельности, включая:</v>
      </c>
      <c r="N19" s="1090" t="str">
        <f>IF(K19=0,"",K19)</f>
        <v>Указывается суммарная себестоимость производимых товаров.</v>
      </c>
      <c r="O19" s="1213">
        <v>2</v>
      </c>
      <c r="P19" s="1213">
        <v>2</v>
      </c>
      <c r="Q19" s="1213">
        <v>2</v>
      </c>
      <c r="R19" s="1213">
        <v>2</v>
      </c>
      <c r="S19" s="1213"/>
      <c r="T19" s="1220" t="s">
        <v>565</v>
      </c>
      <c r="U19" s="1092" t="s">
        <v>566</v>
      </c>
      <c r="V19" s="1092" t="s">
        <v>567</v>
      </c>
      <c r="W19" s="1092" t="s">
        <v>568</v>
      </c>
      <c r="X19" s="1089"/>
      <c r="Y19" s="1256"/>
      <c r="Z19" s="1092" t="s">
        <v>569</v>
      </c>
      <c r="AA19" s="1095" t="s">
        <v>569</v>
      </c>
      <c r="AB19" s="1095" t="s">
        <v>569</v>
      </c>
      <c r="AC19" s="1095" t="s">
        <v>569</v>
      </c>
      <c r="AD19" s="1092"/>
    </row>
    <row customHeight="1" ht="27">
      <c r="A20" s="1091"/>
      <c r="B20" s="1151">
        <v>3</v>
      </c>
      <c r="C20" s="1089">
        <v>1</v>
      </c>
      <c r="D20" s="1223"/>
      <c r="E20" s="1089"/>
      <c r="F20" s="1089"/>
      <c r="G20" s="1089"/>
      <c r="H20" s="1258"/>
      <c r="I20" s="1261" t="str">
        <f>INDEX(TEMPLATE_NUMBER_POINT_FHD,B20,MATCH(TEMPLATE_SPHERE,TEMPLATE_SPHERE_LIST_FOR_NOTE,0))</f>
        <v>2.1</v>
      </c>
      <c r="J20" s="1261" t="str">
        <f>INDEX(TEMPLATE_DATA_POINT_FHD,B20,MATCH(TEMPLATE_SPHERE,TEMPLATE_SPHERE_LIST_FOR_NOTE,0))</f>
        <v>Расходы на приобретаемую тепловую энергию (мощность), теплоноситель</v>
      </c>
      <c r="K20" s="1261">
        <f>INDEX(TEMPLATE_NOTE_POINT_FHD,B20,MATCH(TEMPLATE_SPHERE,TEMPLATE_SPHERE_LIST_FOR_NOTE,0))</f>
        <v>0</v>
      </c>
      <c r="L20" s="1090" t="str">
        <f>IF(I20=0,"",I20)</f>
        <v>2.1</v>
      </c>
      <c r="M20" s="1090" t="str">
        <f>IF(J20=0,"",J20)</f>
        <v>Расходы на приобретаемую тепловую энергию (мощность), теплоноситель</v>
      </c>
      <c r="N20" s="1090" t="str">
        <f>IF(K20=0,"",K20)</f>
        <v/>
      </c>
      <c r="O20" s="1213" t="s">
        <v>570</v>
      </c>
      <c r="P20" s="1213" t="s">
        <v>570</v>
      </c>
      <c r="Q20" s="1213" t="s">
        <v>570</v>
      </c>
      <c r="R20" s="1213" t="s">
        <v>570</v>
      </c>
      <c r="S20" s="1213"/>
      <c r="T20" s="1220" t="s">
        <v>571</v>
      </c>
      <c r="U20" s="1092" t="s">
        <v>572</v>
      </c>
      <c r="V20" s="1092" t="s">
        <v>573</v>
      </c>
      <c r="W20" s="1092" t="s">
        <v>574</v>
      </c>
      <c r="X20" s="1089"/>
      <c r="Y20" s="1256"/>
      <c r="Z20" s="1092"/>
      <c r="AA20" s="1095"/>
      <c r="AB20" s="1092"/>
      <c r="AC20" s="1092"/>
      <c r="AD20" s="1092"/>
    </row>
    <row customHeight="1" ht="36">
      <c r="A21" s="1091"/>
      <c r="B21" s="1151">
        <v>4</v>
      </c>
      <c r="C21" s="1089">
        <v>2</v>
      </c>
      <c r="D21" s="1223"/>
      <c r="E21" s="1089"/>
      <c r="F21" s="1089"/>
      <c r="G21" s="1089"/>
      <c r="H21" s="1258"/>
      <c r="I21" s="1261" t="str">
        <f>INDEX(TEMPLATE_NUMBER_POINT_FHD,B21,MATCH(TEMPLATE_SPHERE,TEMPLATE_SPHERE_LIST_FOR_NOTE,0))</f>
        <v>2.2</v>
      </c>
      <c r="J21" s="1261" t="str">
        <f>INDEX(TEMPLATE_DATA_POINT_FHD,B21,MATCH(TEMPLATE_SPHERE,TEMPLATE_SPHERE_LIST_FOR_NOTE,0))</f>
        <v>Расходы на топливо с указанием по каждому виду топлива стоимости (за единицу объема), объема и способа его приобретения, стоимости его доставки</v>
      </c>
      <c r="K21" s="1261" t="str">
        <f>INDEX(TEMPLATE_NOTE_POINT_FHD,B21,MATCH(TEMPLATE_SPHERE,TEMPLATE_SPHERE_LIST_FOR_NOTE,0))</f>
        <v>Указываются суммарные расходы на приобретение топлива всех видов.</v>
      </c>
      <c r="L21" s="1090" t="str">
        <f>IF(I21=0,"",I21)</f>
        <v>2.2</v>
      </c>
      <c r="M21" s="1090" t="str">
        <f>IF(J21=0,"",J21)</f>
        <v>Расходы на топливо с указанием по каждому виду топлива стоимости (за единицу объема), объема и способа его приобретения, стоимости его доставки</v>
      </c>
      <c r="N21" s="1090" t="str">
        <f>IF(K21=0,"",K21)</f>
        <v>Указываются суммарные расходы на приобретение топлива всех видов.</v>
      </c>
      <c r="O21" s="1213" t="s">
        <v>369</v>
      </c>
      <c r="P21" s="1213"/>
      <c r="Q21" s="1213"/>
      <c r="R21" s="1213"/>
      <c r="S21" s="1213"/>
      <c r="T21" s="1220" t="s">
        <v>575</v>
      </c>
      <c r="U21" s="1092"/>
      <c r="V21" s="1092"/>
      <c r="W21" s="1092"/>
      <c r="X21" s="1089"/>
      <c r="Y21" s="1256"/>
      <c r="Z21" s="1092" t="s">
        <v>576</v>
      </c>
      <c r="AA21" s="1095"/>
      <c r="AB21" s="1092"/>
      <c r="AC21" s="1092"/>
      <c r="AD21" s="1092"/>
    </row>
    <row customHeight="1" ht="36">
      <c r="A22" s="1091"/>
      <c r="B22" s="1151">
        <v>5</v>
      </c>
      <c r="C22" s="1089">
        <v>3</v>
      </c>
      <c r="D22" s="1223"/>
      <c r="E22" s="1089"/>
      <c r="F22" s="1089"/>
      <c r="G22" s="1141"/>
      <c r="H22" s="1214"/>
      <c r="I22" s="1261">
        <f>INDEX(TEMPLATE_NUMBER_POINT_FHD,B22,MATCH(TEMPLATE_SPHERE,TEMPLATE_SPHERE_LIST_FOR_NOTE,0))</f>
        <v>0</v>
      </c>
      <c r="J22" s="1261">
        <f>INDEX(TEMPLATE_DATA_POINT_FHD,B22,MATCH(TEMPLATE_SPHERE,TEMPLATE_SPHERE_LIST_FOR_NOTE,0))</f>
        <v>0</v>
      </c>
      <c r="K22" s="1261">
        <f>INDEX(TEMPLATE_NOTE_POINT_FHD,B22,MATCH(TEMPLATE_SPHERE,TEMPLATE_SPHERE_LIST_FOR_NOTE,0))</f>
        <v>0</v>
      </c>
      <c r="L22" s="1090" t="str">
        <f>IF(I22=0,"",I22)</f>
        <v/>
      </c>
      <c r="M22" s="1090" t="str">
        <f>IF(J22=0,"",J22)</f>
        <v/>
      </c>
      <c r="N22" s="1090" t="str">
        <f>IF(K22=0,"",K22)</f>
        <v/>
      </c>
      <c r="O22" s="1213"/>
      <c r="P22" s="1213"/>
      <c r="Q22" s="1213" t="s">
        <v>369</v>
      </c>
      <c r="R22" s="1213"/>
      <c r="S22" s="1213"/>
      <c r="T22" s="1220"/>
      <c r="U22" s="1092"/>
      <c r="V22" s="1092" t="s">
        <v>577</v>
      </c>
      <c r="W22" s="1092"/>
      <c r="X22" s="1089"/>
      <c r="Y22" s="1256"/>
      <c r="Z22" s="1092"/>
      <c r="AA22" s="1095"/>
      <c r="AB22" s="1092"/>
      <c r="AC22" s="1092"/>
      <c r="AD22" s="1092"/>
    </row>
    <row customHeight="1" ht="27">
      <c r="A23" s="1091"/>
      <c r="B23" s="1151">
        <v>6</v>
      </c>
      <c r="C23" s="1089">
        <v>4</v>
      </c>
      <c r="D23" s="1223"/>
      <c r="E23" s="1089"/>
      <c r="F23" s="1089"/>
      <c r="G23" s="1141"/>
      <c r="H23" s="1214"/>
      <c r="I23" s="1261">
        <f>INDEX(TEMPLATE_NUMBER_POINT_FHD,B23,MATCH(TEMPLATE_SPHERE,TEMPLATE_SPHERE_LIST_FOR_NOTE,0))</f>
        <v>0</v>
      </c>
      <c r="J23" s="1261">
        <f>INDEX(TEMPLATE_DATA_POINT_FHD,B23,MATCH(TEMPLATE_SPHERE,TEMPLATE_SPHERE_LIST_FOR_NOTE,0))</f>
        <v>0</v>
      </c>
      <c r="K23" s="1261">
        <f>INDEX(TEMPLATE_NOTE_POINT_FHD,B23,MATCH(TEMPLATE_SPHERE,TEMPLATE_SPHERE_LIST_FOR_NOTE,0))</f>
        <v>0</v>
      </c>
      <c r="L23" s="1090" t="str">
        <f>IF(I23=0,"",I23)</f>
        <v/>
      </c>
      <c r="M23" s="1090" t="str">
        <f>IF(J23=0,"",J23)</f>
        <v/>
      </c>
      <c r="N23" s="1090" t="str">
        <f>IF(K23=0,"",K23)</f>
        <v/>
      </c>
      <c r="O23" s="1213"/>
      <c r="P23" s="1213"/>
      <c r="Q23" s="1213" t="s">
        <v>372</v>
      </c>
      <c r="R23" s="1213"/>
      <c r="S23" s="1213"/>
      <c r="T23" s="1220"/>
      <c r="U23" s="1092"/>
      <c r="V23" s="1092" t="s">
        <v>578</v>
      </c>
      <c r="W23" s="1092"/>
      <c r="X23" s="1089"/>
      <c r="Y23" s="1256"/>
      <c r="Z23" s="1092"/>
      <c r="AA23" s="1095"/>
      <c r="AB23" s="1092"/>
      <c r="AC23" s="1092"/>
      <c r="AD23" s="1092"/>
    </row>
    <row customHeight="1" ht="36">
      <c r="A24" s="1091"/>
      <c r="B24" s="1151">
        <v>7</v>
      </c>
      <c r="C24" s="1089">
        <v>5</v>
      </c>
      <c r="D24" s="1223"/>
      <c r="E24" s="1089"/>
      <c r="F24" s="1089"/>
      <c r="G24" s="1141"/>
      <c r="H24" s="1214"/>
      <c r="I24" s="1261">
        <f>INDEX(TEMPLATE_NUMBER_POINT_FHD,B24,MATCH(TEMPLATE_SPHERE,TEMPLATE_SPHERE_LIST_FOR_NOTE,0))</f>
        <v>0</v>
      </c>
      <c r="J24" s="1261">
        <f>INDEX(TEMPLATE_DATA_POINT_FHD,B24,MATCH(TEMPLATE_SPHERE,TEMPLATE_SPHERE_LIST_FOR_NOTE,0))</f>
        <v>0</v>
      </c>
      <c r="K24" s="1261">
        <f>INDEX(TEMPLATE_NOTE_POINT_FHD,B24,MATCH(TEMPLATE_SPHERE,TEMPLATE_SPHERE_LIST_FOR_NOTE,0))</f>
        <v>0</v>
      </c>
      <c r="L24" s="1090" t="str">
        <f>IF(I24=0,"",I24)</f>
        <v/>
      </c>
      <c r="M24" s="1090" t="str">
        <f>IF(J24=0,"",J24)</f>
        <v/>
      </c>
      <c r="N24" s="1090" t="str">
        <f>IF(K24=0,"",K24)</f>
        <v/>
      </c>
      <c r="O24" s="1213"/>
      <c r="P24" s="1213"/>
      <c r="Q24" s="1213" t="s">
        <v>579</v>
      </c>
      <c r="R24" s="1213"/>
      <c r="S24" s="1213"/>
      <c r="T24" s="1220"/>
      <c r="U24" s="1092"/>
      <c r="V24" s="1092" t="s">
        <v>580</v>
      </c>
      <c r="W24" s="1092"/>
      <c r="X24" s="1089"/>
      <c r="Y24" s="1256"/>
      <c r="Z24" s="1092"/>
      <c r="AA24" s="1095"/>
      <c r="AB24" s="1092"/>
      <c r="AC24" s="1092"/>
      <c r="AD24" s="1092"/>
    </row>
    <row customHeight="1" ht="36">
      <c r="A25" s="1091"/>
      <c r="B25" s="1151">
        <v>8</v>
      </c>
      <c r="C25" s="1089">
        <v>6</v>
      </c>
      <c r="D25" s="1223"/>
      <c r="E25" s="1089"/>
      <c r="F25" s="1089"/>
      <c r="G25" s="1141"/>
      <c r="H25" s="1214"/>
      <c r="I25" s="1261" t="str">
        <f>INDEX(TEMPLATE_NUMBER_POINT_FHD,B25,MATCH(TEMPLATE_SPHERE,TEMPLATE_SPHERE_LIST_FOR_NOTE,0))</f>
        <v>2.3</v>
      </c>
      <c r="J25" s="1261" t="str">
        <f>INDEX(TEMPLATE_DATA_POINT_FHD,B25,MATCH(TEMPLATE_SPHERE,TEMPLATE_SPHERE_LIST_FOR_NOTE,0))</f>
        <v>Расходы на приобретаемую электрическую энергию (мощность), используемую в технологическом процессе</v>
      </c>
      <c r="K25" s="1261">
        <f>INDEX(TEMPLATE_NOTE_POINT_FHD,B25,MATCH(TEMPLATE_SPHERE,TEMPLATE_SPHERE_LIST_FOR_NOTE,0))</f>
        <v>0</v>
      </c>
      <c r="L25" s="1090" t="str">
        <f>IF(I25=0,"",I25)</f>
        <v>2.3</v>
      </c>
      <c r="M25" s="1090" t="str">
        <f>IF(J25=0,"",J25)</f>
        <v>Расходы на приобретаемую электрическую энергию (мощность), используемую в технологическом процессе</v>
      </c>
      <c r="N25" s="1090" t="str">
        <f>IF(K25=0,"",K25)</f>
        <v/>
      </c>
      <c r="O25" s="1213" t="s">
        <v>372</v>
      </c>
      <c r="P25" s="1213" t="s">
        <v>369</v>
      </c>
      <c r="Q25" s="1213" t="s">
        <v>581</v>
      </c>
      <c r="R25" s="1213" t="s">
        <v>369</v>
      </c>
      <c r="S25" s="1213"/>
      <c r="T25" s="1220" t="s">
        <v>582</v>
      </c>
      <c r="U25" s="1092" t="s">
        <v>582</v>
      </c>
      <c r="V25" s="1092" t="s">
        <v>582</v>
      </c>
      <c r="W25" s="1092" t="s">
        <v>582</v>
      </c>
      <c r="X25" s="1089"/>
      <c r="Y25" s="1256"/>
      <c r="Z25" s="1092"/>
      <c r="AA25" s="1095"/>
      <c r="AB25" s="1092"/>
      <c r="AC25" s="1092"/>
      <c r="AD25" s="1092"/>
    </row>
    <row customHeight="1" ht="18">
      <c r="A26" s="1091"/>
      <c r="B26" s="1151">
        <v>9</v>
      </c>
      <c r="C26" s="1089" t="s">
        <v>583</v>
      </c>
      <c r="D26" s="1223"/>
      <c r="E26" s="1089"/>
      <c r="F26" s="1089"/>
      <c r="G26" s="1141"/>
      <c r="H26" s="1214"/>
      <c r="I26" s="1261" t="str">
        <f>INDEX(TEMPLATE_NUMBER_POINT_FHD,B26,MATCH(TEMPLATE_SPHERE,TEMPLATE_SPHERE_LIST_FOR_NOTE,0))</f>
        <v>2.3.1</v>
      </c>
      <c r="J26" s="1261" t="str">
        <f>INDEX(TEMPLATE_DATA_POINT_FHD,B26,MATCH(TEMPLATE_SPHERE,TEMPLATE_SPHERE_LIST_FOR_NOTE,0))</f>
        <v>Средневзвешенная стоимость 1 кВт.ч (с учетом мощности)</v>
      </c>
      <c r="K26" s="1261">
        <f>INDEX(TEMPLATE_NOTE_POINT_FHD,B26,MATCH(TEMPLATE_SPHERE,TEMPLATE_SPHERE_LIST_FOR_NOTE,0))</f>
        <v>0</v>
      </c>
      <c r="L26" s="1090" t="str">
        <f>IF(I26=0,"",I26)</f>
        <v>2.3.1</v>
      </c>
      <c r="M26" s="1090" t="str">
        <f>IF(J26=0,"",J26)</f>
        <v>Средневзвешенная стоимость 1 кВт.ч (с учетом мощности)</v>
      </c>
      <c r="N26" s="1090" t="str">
        <f>IF(K26=0,"",K26)</f>
        <v/>
      </c>
      <c r="O26" s="1213" t="s">
        <v>584</v>
      </c>
      <c r="P26" s="1213" t="s">
        <v>585</v>
      </c>
      <c r="Q26" s="1213" t="s">
        <v>586</v>
      </c>
      <c r="R26" s="1213" t="s">
        <v>585</v>
      </c>
      <c r="S26" s="1213"/>
      <c r="T26" s="1220" t="s">
        <v>587</v>
      </c>
      <c r="U26" s="1220" t="s">
        <v>587</v>
      </c>
      <c r="V26" s="1220" t="s">
        <v>587</v>
      </c>
      <c r="W26" s="1220" t="s">
        <v>587</v>
      </c>
      <c r="X26" s="1089"/>
      <c r="Y26" s="1256"/>
      <c r="Z26" s="1092"/>
      <c r="AA26" s="1095"/>
      <c r="AB26" s="1092"/>
      <c r="AC26" s="1092"/>
      <c r="AD26" s="1092"/>
    </row>
    <row customHeight="1" ht="18">
      <c r="A27" s="1091"/>
      <c r="B27" s="1151">
        <v>10</v>
      </c>
      <c r="C27" s="1089" t="s">
        <v>588</v>
      </c>
      <c r="D27" s="1223"/>
      <c r="E27" s="1089"/>
      <c r="F27" s="1089"/>
      <c r="G27" s="1141"/>
      <c r="H27" s="1214"/>
      <c r="I27" s="1261" t="str">
        <f>INDEX(TEMPLATE_NUMBER_POINT_FHD,B27,MATCH(TEMPLATE_SPHERE,TEMPLATE_SPHERE_LIST_FOR_NOTE,0))</f>
        <v>2.3.2</v>
      </c>
      <c r="J27" s="1261" t="str">
        <f>INDEX(TEMPLATE_DATA_POINT_FHD,B27,MATCH(TEMPLATE_SPHERE,TEMPLATE_SPHERE_LIST_FOR_NOTE,0))</f>
        <v>Объём приобретения электрической энергии</v>
      </c>
      <c r="K27" s="1261">
        <f>INDEX(TEMPLATE_NOTE_POINT_FHD,B27,MATCH(TEMPLATE_SPHERE,TEMPLATE_SPHERE_LIST_FOR_NOTE,0))</f>
        <v>0</v>
      </c>
      <c r="L27" s="1090" t="str">
        <f>IF(I27=0,"",I27)</f>
        <v>2.3.2</v>
      </c>
      <c r="M27" s="1090" t="str">
        <f>IF(J27=0,"",J27)</f>
        <v>Объём приобретения электрической энергии</v>
      </c>
      <c r="N27" s="1090" t="str">
        <f>IF(K27=0,"",K27)</f>
        <v/>
      </c>
      <c r="O27" s="1213" t="s">
        <v>589</v>
      </c>
      <c r="P27" s="1213" t="s">
        <v>590</v>
      </c>
      <c r="Q27" s="1213" t="s">
        <v>591</v>
      </c>
      <c r="R27" s="1213" t="s">
        <v>590</v>
      </c>
      <c r="S27" s="1213"/>
      <c r="T27" s="1220" t="s">
        <v>592</v>
      </c>
      <c r="U27" s="1220" t="s">
        <v>592</v>
      </c>
      <c r="V27" s="1220" t="s">
        <v>592</v>
      </c>
      <c r="W27" s="1220" t="s">
        <v>592</v>
      </c>
      <c r="X27" s="1089"/>
      <c r="Y27" s="1256"/>
      <c r="Z27" s="1092"/>
      <c r="AA27" s="1095"/>
      <c r="AB27" s="1092"/>
      <c r="AC27" s="1092"/>
      <c r="AD27" s="1092"/>
    </row>
    <row customHeight="1" ht="27">
      <c r="A28" s="1091"/>
      <c r="B28" s="1151">
        <v>11</v>
      </c>
      <c r="C28" s="1089">
        <v>7</v>
      </c>
      <c r="D28" s="1223"/>
      <c r="E28" s="1089"/>
      <c r="F28" s="1089"/>
      <c r="G28" s="1141"/>
      <c r="H28" s="1214"/>
      <c r="I28" s="1261" t="str">
        <f>INDEX(TEMPLATE_NUMBER_POINT_FHD,B28,MATCH(TEMPLATE_SPHERE,TEMPLATE_SPHERE_LIST_FOR_NOTE,0))</f>
        <v>2.4</v>
      </c>
      <c r="J28" s="1261" t="str">
        <f>INDEX(TEMPLATE_DATA_POINT_FHD,B28,MATCH(TEMPLATE_SPHERE,TEMPLATE_SPHERE_LIST_FOR_NOTE,0))</f>
        <v>Расходы на приобретение холодной воды, используемой в технологическом процессе</v>
      </c>
      <c r="K28" s="1261">
        <f>INDEX(TEMPLATE_NOTE_POINT_FHD,B28,MATCH(TEMPLATE_SPHERE,TEMPLATE_SPHERE_LIST_FOR_NOTE,0))</f>
        <v>0</v>
      </c>
      <c r="L28" s="1090" t="str">
        <f>IF(I28=0,"",I28)</f>
        <v>2.4</v>
      </c>
      <c r="M28" s="1090" t="str">
        <f>IF(J28=0,"",J28)</f>
        <v>Расходы на приобретение холодной воды, используемой в технологическом процессе</v>
      </c>
      <c r="N28" s="1090" t="str">
        <f>IF(K28=0,"",K28)</f>
        <v/>
      </c>
      <c r="O28" s="1213" t="s">
        <v>579</v>
      </c>
      <c r="P28" s="1213"/>
      <c r="Q28" s="1213"/>
      <c r="R28" s="1213"/>
      <c r="S28" s="1213"/>
      <c r="T28" s="1220" t="s">
        <v>593</v>
      </c>
      <c r="U28" s="1092"/>
      <c r="V28" s="1092"/>
      <c r="W28" s="1092"/>
      <c r="X28" s="1089"/>
      <c r="Y28" s="1256"/>
      <c r="Z28" s="1092"/>
      <c r="AA28" s="1095"/>
      <c r="AB28" s="1092"/>
      <c r="AC28" s="1092"/>
      <c r="AD28" s="1092"/>
    </row>
    <row customHeight="1" ht="27">
      <c r="A29" s="1091"/>
      <c r="B29" s="1151">
        <v>12</v>
      </c>
      <c r="C29" s="1089">
        <v>8</v>
      </c>
      <c r="D29" s="1223"/>
      <c r="E29" s="1089"/>
      <c r="F29" s="1089"/>
      <c r="G29" s="1141"/>
      <c r="H29" s="1214"/>
      <c r="I29" s="1261" t="str">
        <f>INDEX(TEMPLATE_NUMBER_POINT_FHD,B29,MATCH(TEMPLATE_SPHERE,TEMPLATE_SPHERE_LIST_FOR_NOTE,0))</f>
        <v>2.5</v>
      </c>
      <c r="J29" s="1261" t="str">
        <f>INDEX(TEMPLATE_DATA_POINT_FHD,B29,MATCH(TEMPLATE_SPHERE,TEMPLATE_SPHERE_LIST_FOR_NOTE,0))</f>
        <v>Расходы на химические реагенты, используемые в технологическом процессе</v>
      </c>
      <c r="K29" s="1261">
        <f>INDEX(TEMPLATE_NOTE_POINT_FHD,B29,MATCH(TEMPLATE_SPHERE,TEMPLATE_SPHERE_LIST_FOR_NOTE,0))</f>
        <v>0</v>
      </c>
      <c r="L29" s="1090" t="str">
        <f>IF(I29=0,"",I29)</f>
        <v>2.5</v>
      </c>
      <c r="M29" s="1090" t="str">
        <f>IF(J29=0,"",J29)</f>
        <v>Расходы на химические реагенты, используемые в технологическом процессе</v>
      </c>
      <c r="N29" s="1090" t="str">
        <f>IF(K29=0,"",K29)</f>
        <v/>
      </c>
      <c r="O29" s="1213" t="s">
        <v>581</v>
      </c>
      <c r="P29" s="1213" t="s">
        <v>372</v>
      </c>
      <c r="Q29" s="1213"/>
      <c r="R29" s="1213" t="s">
        <v>372</v>
      </c>
      <c r="S29" s="1213"/>
      <c r="T29" s="1220" t="s">
        <v>594</v>
      </c>
      <c r="U29" s="1092" t="s">
        <v>594</v>
      </c>
      <c r="V29" s="1092"/>
      <c r="W29" s="1092" t="s">
        <v>594</v>
      </c>
      <c r="X29" s="1089"/>
      <c r="Y29" s="1256"/>
      <c r="Z29" s="1092"/>
      <c r="AA29" s="1095"/>
      <c r="AB29" s="1092"/>
      <c r="AC29" s="1092"/>
      <c r="AD29" s="1092"/>
    </row>
    <row customHeight="1" ht="54">
      <c r="A30" s="1091"/>
      <c r="B30" s="1151">
        <v>13</v>
      </c>
      <c r="C30" s="1089">
        <v>9</v>
      </c>
      <c r="D30" s="1223"/>
      <c r="E30" s="1089"/>
      <c r="F30" s="1089"/>
      <c r="G30" s="1141"/>
      <c r="H30" s="1214"/>
      <c r="I30" s="1261" t="str">
        <f>INDEX(TEMPLATE_NUMBER_POINT_FHD,B30,MATCH(TEMPLATE_SPHERE,TEMPLATE_SPHERE_LIST_FOR_NOTE,0))</f>
        <v>2.6</v>
      </c>
      <c r="J30" s="1261" t="str">
        <f>INDEX(TEMPLATE_DATA_POINT_FHD,B30,MATCH(TEMPLATE_SPHERE,TEMPLATE_SPHERE_LIST_FOR_NOTE,0))</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K30" s="1261">
        <f>INDEX(TEMPLATE_NOTE_POINT_FHD,B30,MATCH(TEMPLATE_SPHERE,TEMPLATE_SPHERE_LIST_FOR_NOTE,0))</f>
        <v>0</v>
      </c>
      <c r="L30" s="1090" t="str">
        <f>IF(I30=0,"",I30)</f>
        <v>2.6</v>
      </c>
      <c r="M30" s="1090" t="str">
        <f>IF(J30=0,"",J30)</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N30" s="1090" t="str">
        <f>IF(K30=0,"",K30)</f>
        <v/>
      </c>
      <c r="O30" s="1213" t="s">
        <v>595</v>
      </c>
      <c r="P30" s="1213" t="s">
        <v>579</v>
      </c>
      <c r="Q30" s="1213" t="s">
        <v>595</v>
      </c>
      <c r="R30" s="1213" t="s">
        <v>579</v>
      </c>
      <c r="S30" s="1213"/>
      <c r="T30" s="1220" t="s">
        <v>596</v>
      </c>
      <c r="U30" s="1092" t="s">
        <v>596</v>
      </c>
      <c r="V30" s="1092" t="s">
        <v>596</v>
      </c>
      <c r="W30" s="1092" t="s">
        <v>596</v>
      </c>
      <c r="X30" s="1089"/>
      <c r="Y30" s="1256"/>
      <c r="Z30" s="1092"/>
      <c r="AA30" s="1095" t="s">
        <v>597</v>
      </c>
      <c r="AB30" s="1095" t="s">
        <v>597</v>
      </c>
      <c r="AC30" s="1095" t="s">
        <v>597</v>
      </c>
      <c r="AD30" s="1092"/>
    </row>
    <row customHeight="1" ht="18">
      <c r="A31" s="1091"/>
      <c r="B31" s="1151">
        <v>14</v>
      </c>
      <c r="C31" s="1089" t="s">
        <v>598</v>
      </c>
      <c r="D31" s="1223"/>
      <c r="E31" s="1089"/>
      <c r="F31" s="1089"/>
      <c r="G31" s="1141"/>
      <c r="H31" s="1214"/>
      <c r="I31" s="1261" t="str">
        <f>INDEX(TEMPLATE_NUMBER_POINT_FHD,B31,MATCH(TEMPLATE_SPHERE,TEMPLATE_SPHERE_LIST_FOR_NOTE,0))</f>
        <v>2.6.1</v>
      </c>
      <c r="J31" s="1261" t="str">
        <f>INDEX(TEMPLATE_DATA_POINT_FHD,B31,MATCH(TEMPLATE_SPHERE,TEMPLATE_SPHERE_LIST_FOR_NOTE,0))</f>
        <v>Расходы на оплату труда основного производственного персонала</v>
      </c>
      <c r="K31" s="1261">
        <f>INDEX(TEMPLATE_NOTE_POINT_FHD,B31,MATCH(TEMPLATE_SPHERE,TEMPLATE_SPHERE_LIST_FOR_NOTE,0))</f>
        <v>0</v>
      </c>
      <c r="L31" s="1090" t="str">
        <f>IF(I31=0,"",I31)</f>
        <v>2.6.1</v>
      </c>
      <c r="M31" s="1090" t="str">
        <f>IF(J31=0,"",J31)</f>
        <v>Расходы на оплату труда основного производственного персонала</v>
      </c>
      <c r="N31" s="1090" t="str">
        <f>IF(K31=0,"",K31)</f>
        <v/>
      </c>
      <c r="O31" s="1213" t="s">
        <v>599</v>
      </c>
      <c r="P31" s="1213" t="s">
        <v>600</v>
      </c>
      <c r="Q31" s="1213" t="s">
        <v>599</v>
      </c>
      <c r="R31" s="1213" t="s">
        <v>600</v>
      </c>
      <c r="S31" s="1213"/>
      <c r="T31" s="1221" t="s">
        <v>601</v>
      </c>
      <c r="U31" s="1092" t="s">
        <v>601</v>
      </c>
      <c r="V31" s="1092" t="s">
        <v>601</v>
      </c>
      <c r="W31" s="1092" t="s">
        <v>601</v>
      </c>
      <c r="X31" s="1089"/>
      <c r="Y31" s="1256"/>
      <c r="Z31" s="1092"/>
      <c r="AA31" s="1095"/>
      <c r="AB31" s="1095"/>
      <c r="AC31" s="1095"/>
      <c r="AD31" s="1092"/>
    </row>
    <row customHeight="1" ht="36">
      <c r="A32" s="1091"/>
      <c r="B32" s="1151">
        <v>15</v>
      </c>
      <c r="C32" s="1089" t="s">
        <v>602</v>
      </c>
      <c r="D32" s="1223"/>
      <c r="E32" s="1089"/>
      <c r="F32" s="1089"/>
      <c r="G32" s="1141"/>
      <c r="H32" s="1214"/>
      <c r="I32" s="1261" t="str">
        <f>INDEX(TEMPLATE_NUMBER_POINT_FHD,B32,MATCH(TEMPLATE_SPHERE,TEMPLATE_SPHERE_LIST_FOR_NOTE,0))</f>
        <v>2.6.2</v>
      </c>
      <c r="J32" s="1261" t="str">
        <f>INDEX(TEMPLATE_DATA_POINT_FHD,B32,MATCH(TEMPLATE_SPHERE,TEMPLATE_SPHERE_LIST_FOR_NOTE,0))</f>
        <v>Страховые взносы на обязательное социальное страхование, выплачиваемые из фонда оплаты труда основного производственного персонала</v>
      </c>
      <c r="K32" s="1261">
        <f>INDEX(TEMPLATE_NOTE_POINT_FHD,B32,MATCH(TEMPLATE_SPHERE,TEMPLATE_SPHERE_LIST_FOR_NOTE,0))</f>
        <v>0</v>
      </c>
      <c r="L32" s="1090" t="str">
        <f>IF(I32=0,"",I32)</f>
        <v>2.6.2</v>
      </c>
      <c r="M32" s="1090" t="str">
        <f>IF(J32=0,"",J32)</f>
        <v>Страховые взносы на обязательное социальное страхование, выплачиваемые из фонда оплаты труда основного производственного персонала</v>
      </c>
      <c r="N32" s="1090" t="str">
        <f>IF(K32=0,"",K32)</f>
        <v/>
      </c>
      <c r="O32" s="1213" t="s">
        <v>603</v>
      </c>
      <c r="P32" s="1213" t="s">
        <v>604</v>
      </c>
      <c r="Q32" s="1213" t="s">
        <v>603</v>
      </c>
      <c r="R32" s="1213" t="s">
        <v>604</v>
      </c>
      <c r="S32" s="1213"/>
      <c r="T32" s="1222" t="s">
        <v>605</v>
      </c>
      <c r="U32" s="1092" t="s">
        <v>605</v>
      </c>
      <c r="V32" s="1092" t="s">
        <v>605</v>
      </c>
      <c r="W32" s="1092" t="s">
        <v>605</v>
      </c>
      <c r="X32" s="1089"/>
      <c r="Y32" s="1256"/>
      <c r="Z32" s="1092"/>
      <c r="AA32" s="1095"/>
      <c r="AB32" s="1095"/>
      <c r="AC32" s="1095"/>
      <c r="AD32" s="1092"/>
    </row>
    <row customHeight="1" ht="45">
      <c r="A33" s="1091"/>
      <c r="B33" s="1151">
        <v>16</v>
      </c>
      <c r="C33" s="1089">
        <v>10</v>
      </c>
      <c r="D33" s="1223"/>
      <c r="E33" s="1089"/>
      <c r="F33" s="1089"/>
      <c r="G33" s="1141"/>
      <c r="H33" s="1214"/>
      <c r="I33" s="1261" t="str">
        <f>INDEX(TEMPLATE_NUMBER_POINT_FHD,B33,MATCH(TEMPLATE_SPHERE,TEMPLATE_SPHERE_LIST_FOR_NOTE,0))</f>
        <v>2.7</v>
      </c>
      <c r="J33" s="1261" t="str">
        <f>INDEX(TEMPLATE_DATA_POINT_FHD,B33,MATCH(TEMPLATE_SPHERE,TEMPLATE_SPHERE_LIST_FOR_NOTE,0))</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K33" s="1261">
        <f>INDEX(TEMPLATE_NOTE_POINT_FHD,B33,MATCH(TEMPLATE_SPHERE,TEMPLATE_SPHERE_LIST_FOR_NOTE,0))</f>
        <v>0</v>
      </c>
      <c r="L33" s="1090" t="str">
        <f>IF(I33=0,"",I33)</f>
        <v>2.7</v>
      </c>
      <c r="M33" s="1090" t="str">
        <f>IF(J33=0,"",J33)</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N33" s="1090" t="str">
        <f>IF(K33=0,"",K33)</f>
        <v/>
      </c>
      <c r="O33" s="1213" t="s">
        <v>606</v>
      </c>
      <c r="P33" s="1213" t="s">
        <v>581</v>
      </c>
      <c r="Q33" s="1213" t="s">
        <v>606</v>
      </c>
      <c r="R33" s="1213" t="s">
        <v>581</v>
      </c>
      <c r="S33" s="1213"/>
      <c r="T33" s="1221" t="s">
        <v>607</v>
      </c>
      <c r="U33" s="1092" t="s">
        <v>607</v>
      </c>
      <c r="V33" s="1092" t="s">
        <v>607</v>
      </c>
      <c r="W33" s="1092" t="s">
        <v>608</v>
      </c>
      <c r="X33" s="1089"/>
      <c r="Y33" s="1256"/>
      <c r="Z33" s="1092"/>
      <c r="AA33" s="1095" t="s">
        <v>609</v>
      </c>
      <c r="AB33" s="1095" t="s">
        <v>609</v>
      </c>
      <c r="AC33" s="1095" t="s">
        <v>609</v>
      </c>
      <c r="AD33" s="1092"/>
    </row>
    <row customHeight="1" ht="27">
      <c r="A34" s="1091"/>
      <c r="B34" s="1151">
        <v>17</v>
      </c>
      <c r="C34" s="1089" t="s">
        <v>610</v>
      </c>
      <c r="D34" s="1223"/>
      <c r="E34" s="1089"/>
      <c r="F34" s="1089"/>
      <c r="G34" s="1141"/>
      <c r="H34" s="1214"/>
      <c r="I34" s="1261" t="str">
        <f>INDEX(TEMPLATE_NUMBER_POINT_FHD,B34,MATCH(TEMPLATE_SPHERE,TEMPLATE_SPHERE_LIST_FOR_NOTE,0))</f>
        <v>2.7.1</v>
      </c>
      <c r="J34" s="1261" t="str">
        <f>INDEX(TEMPLATE_DATA_POINT_FHD,B34,MATCH(TEMPLATE_SPHERE,TEMPLATE_SPHERE_LIST_FOR_NOTE,0))</f>
        <v>Расходы на оплату труда административно-управленческого персонала</v>
      </c>
      <c r="K34" s="1261">
        <f>INDEX(TEMPLATE_NOTE_POINT_FHD,B34,MATCH(TEMPLATE_SPHERE,TEMPLATE_SPHERE_LIST_FOR_NOTE,0))</f>
        <v>0</v>
      </c>
      <c r="L34" s="1090" t="str">
        <f>IF(I34=0,"",I34)</f>
        <v>2.7.1</v>
      </c>
      <c r="M34" s="1090" t="str">
        <f>IF(J34=0,"",J34)</f>
        <v>Расходы на оплату труда административно-управленческого персонала</v>
      </c>
      <c r="N34" s="1090" t="str">
        <f>IF(K34=0,"",K34)</f>
        <v/>
      </c>
      <c r="O34" s="1213" t="s">
        <v>611</v>
      </c>
      <c r="P34" s="1213" t="s">
        <v>586</v>
      </c>
      <c r="Q34" s="1213" t="s">
        <v>611</v>
      </c>
      <c r="R34" s="1213" t="s">
        <v>586</v>
      </c>
      <c r="S34" s="1213"/>
      <c r="T34" s="1222" t="s">
        <v>612</v>
      </c>
      <c r="U34" s="1092" t="s">
        <v>612</v>
      </c>
      <c r="V34" s="1092" t="s">
        <v>612</v>
      </c>
      <c r="W34" s="1092" t="s">
        <v>613</v>
      </c>
      <c r="X34" s="1089"/>
      <c r="Y34" s="1256"/>
      <c r="Z34" s="1092"/>
      <c r="AA34" s="1095"/>
      <c r="AB34" s="1092"/>
      <c r="AC34" s="1092"/>
      <c r="AD34" s="1092"/>
    </row>
    <row customHeight="1" ht="45">
      <c r="A35" s="1091"/>
      <c r="B35" s="1151">
        <v>18</v>
      </c>
      <c r="C35" s="1089" t="s">
        <v>614</v>
      </c>
      <c r="D35" s="1223"/>
      <c r="E35" s="1089"/>
      <c r="F35" s="1089"/>
      <c r="G35" s="1141"/>
      <c r="H35" s="1214"/>
      <c r="I35" s="1261" t="str">
        <f>INDEX(TEMPLATE_NUMBER_POINT_FHD,B35,MATCH(TEMPLATE_SPHERE,TEMPLATE_SPHERE_LIST_FOR_NOTE,0))</f>
        <v>2.7.2</v>
      </c>
      <c r="J35" s="1261" t="str">
        <f>INDEX(TEMPLATE_DATA_POINT_FHD,B35,MATCH(TEMPLATE_SPHERE,TEMPLATE_SPHERE_LIST_FOR_NOTE,0))</f>
        <v>Страховые взносы на обязательное социальное страхование, выплачиваемые из фонда оплаты труда административно-управленческого персонала</v>
      </c>
      <c r="K35" s="1261">
        <f>INDEX(TEMPLATE_NOTE_POINT_FHD,B35,MATCH(TEMPLATE_SPHERE,TEMPLATE_SPHERE_LIST_FOR_NOTE,0))</f>
        <v>0</v>
      </c>
      <c r="L35" s="1090" t="str">
        <f>IF(I35=0,"",I35)</f>
        <v>2.7.2</v>
      </c>
      <c r="M35" s="1090" t="str">
        <f>IF(J35=0,"",J35)</f>
        <v>Страховые взносы на обязательное социальное страхование, выплачиваемые из фонда оплаты труда административно-управленческого персонала</v>
      </c>
      <c r="N35" s="1090" t="str">
        <f>IF(K35=0,"",K35)</f>
        <v/>
      </c>
      <c r="O35" s="1213" t="s">
        <v>615</v>
      </c>
      <c r="P35" s="1213" t="s">
        <v>591</v>
      </c>
      <c r="Q35" s="1213" t="s">
        <v>615</v>
      </c>
      <c r="R35" s="1213" t="s">
        <v>591</v>
      </c>
      <c r="S35" s="1213"/>
      <c r="T35" s="1220" t="s">
        <v>616</v>
      </c>
      <c r="U35" s="1092" t="s">
        <v>616</v>
      </c>
      <c r="V35" s="1092" t="s">
        <v>616</v>
      </c>
      <c r="W35" s="1092" t="s">
        <v>616</v>
      </c>
      <c r="X35" s="1089"/>
      <c r="Y35" s="1256"/>
      <c r="Z35" s="1092"/>
      <c r="AA35" s="1095"/>
      <c r="AB35" s="1092"/>
      <c r="AC35" s="1092"/>
      <c r="AD35" s="1092"/>
    </row>
    <row customHeight="1" ht="18">
      <c r="A36" s="1091"/>
      <c r="B36" s="1151">
        <v>19</v>
      </c>
      <c r="C36" s="1089">
        <v>11</v>
      </c>
      <c r="D36" s="1223"/>
      <c r="E36" s="1089"/>
      <c r="F36" s="1089"/>
      <c r="G36" s="1141"/>
      <c r="H36" s="1214"/>
      <c r="I36" s="1261" t="str">
        <f>INDEX(TEMPLATE_NUMBER_POINT_FHD,B36,MATCH(TEMPLATE_SPHERE,TEMPLATE_SPHERE_LIST_FOR_NOTE,0))</f>
        <v>2.8</v>
      </c>
      <c r="J36" s="1261" t="str">
        <f>INDEX(TEMPLATE_DATA_POINT_FHD,B36,MATCH(TEMPLATE_SPHERE,TEMPLATE_SPHERE_LIST_FOR_NOTE,0))</f>
        <v>Расходы на амортизацию основных средств и нематериальных активов</v>
      </c>
      <c r="K36" s="1261">
        <f>INDEX(TEMPLATE_NOTE_POINT_FHD,B36,MATCH(TEMPLATE_SPHERE,TEMPLATE_SPHERE_LIST_FOR_NOTE,0))</f>
        <v>0</v>
      </c>
      <c r="L36" s="1090" t="str">
        <f>IF(I36=0,"",I36)</f>
        <v>2.8</v>
      </c>
      <c r="M36" s="1090" t="str">
        <f>IF(J36=0,"",J36)</f>
        <v>Расходы на амортизацию основных средств и нематериальных активов</v>
      </c>
      <c r="N36" s="1090" t="str">
        <f>IF(K36=0,"",K36)</f>
        <v/>
      </c>
      <c r="O36" s="1213" t="s">
        <v>617</v>
      </c>
      <c r="P36" s="1213" t="s">
        <v>595</v>
      </c>
      <c r="Q36" s="1213" t="s">
        <v>617</v>
      </c>
      <c r="R36" s="1213" t="s">
        <v>595</v>
      </c>
      <c r="S36" s="1213"/>
      <c r="T36" s="1220" t="s">
        <v>618</v>
      </c>
      <c r="U36" s="1092" t="s">
        <v>618</v>
      </c>
      <c r="V36" s="1092" t="s">
        <v>618</v>
      </c>
      <c r="W36" s="1092" t="s">
        <v>618</v>
      </c>
      <c r="X36" s="1089"/>
      <c r="Y36" s="1256"/>
      <c r="Z36" s="1092"/>
      <c r="AA36" s="1095"/>
      <c r="AB36" s="1092"/>
      <c r="AC36" s="1092"/>
      <c r="AD36" s="1092"/>
    </row>
    <row customHeight="1" ht="18">
      <c r="A37" s="1091"/>
      <c r="B37" s="1151">
        <v>20</v>
      </c>
      <c r="C37" s="1089" t="s">
        <v>619</v>
      </c>
      <c r="D37" s="1223"/>
      <c r="E37" s="1089"/>
      <c r="F37" s="1089"/>
      <c r="G37" s="1141"/>
      <c r="H37" s="1214"/>
      <c r="I37" s="1261" t="str">
        <f>INDEX(TEMPLATE_NUMBER_POINT_FHD,B37,MATCH(TEMPLATE_SPHERE,TEMPLATE_SPHERE_LIST_FOR_NOTE,0))</f>
        <v>2.8.1</v>
      </c>
      <c r="J37" s="1261" t="str">
        <f>INDEX(TEMPLATE_DATA_POINT_FHD,B37,MATCH(TEMPLATE_SPHERE,TEMPLATE_SPHERE_LIST_FOR_NOTE,0))</f>
        <v>Расходы на амортизацию основных средств</v>
      </c>
      <c r="K37" s="1261">
        <f>INDEX(TEMPLATE_NOTE_POINT_FHD,B37,MATCH(TEMPLATE_SPHERE,TEMPLATE_SPHERE_LIST_FOR_NOTE,0))</f>
        <v>0</v>
      </c>
      <c r="L37" s="1090" t="str">
        <f>IF(I37=0,"",I37)</f>
        <v>2.8.1</v>
      </c>
      <c r="M37" s="1090" t="str">
        <f>IF(J37=0,"",J37)</f>
        <v>Расходы на амортизацию основных средств</v>
      </c>
      <c r="N37" s="1090" t="str">
        <f>IF(K37=0,"",K37)</f>
        <v/>
      </c>
      <c r="O37" s="1213" t="s">
        <v>620</v>
      </c>
      <c r="P37" s="1213" t="s">
        <v>599</v>
      </c>
      <c r="Q37" s="1213" t="s">
        <v>620</v>
      </c>
      <c r="R37" s="1213" t="s">
        <v>599</v>
      </c>
      <c r="S37" s="1213"/>
      <c r="T37" s="1220" t="s">
        <v>621</v>
      </c>
      <c r="U37" s="1092" t="s">
        <v>621</v>
      </c>
      <c r="V37" s="1092" t="s">
        <v>621</v>
      </c>
      <c r="W37" s="1092" t="s">
        <v>621</v>
      </c>
      <c r="X37" s="1089"/>
      <c r="Y37" s="1256"/>
      <c r="Z37" s="1092"/>
      <c r="AA37" s="1095"/>
      <c r="AB37" s="1092"/>
      <c r="AC37" s="1092"/>
      <c r="AD37" s="1092"/>
    </row>
    <row customHeight="1" ht="18">
      <c r="A38" s="1091"/>
      <c r="B38" s="1151">
        <v>21</v>
      </c>
      <c r="C38" s="1089" t="s">
        <v>622</v>
      </c>
      <c r="D38" s="1223"/>
      <c r="E38" s="1089"/>
      <c r="F38" s="1089"/>
      <c r="G38" s="1141"/>
      <c r="H38" s="1214"/>
      <c r="I38" s="1261" t="str">
        <f>INDEX(TEMPLATE_NUMBER_POINT_FHD,B38,MATCH(TEMPLATE_SPHERE,TEMPLATE_SPHERE_LIST_FOR_NOTE,0))</f>
        <v>2.8.2</v>
      </c>
      <c r="J38" s="1261" t="str">
        <f>INDEX(TEMPLATE_DATA_POINT_FHD,B38,MATCH(TEMPLATE_SPHERE,TEMPLATE_SPHERE_LIST_FOR_NOTE,0))</f>
        <v>Расходы на амортизацию нематериальных активов</v>
      </c>
      <c r="K38" s="1261">
        <f>INDEX(TEMPLATE_NOTE_POINT_FHD,B38,MATCH(TEMPLATE_SPHERE,TEMPLATE_SPHERE_LIST_FOR_NOTE,0))</f>
        <v>0</v>
      </c>
      <c r="L38" s="1090" t="str">
        <f>IF(I38=0,"",I38)</f>
        <v>2.8.2</v>
      </c>
      <c r="M38" s="1090" t="str">
        <f>IF(J38=0,"",J38)</f>
        <v>Расходы на амортизацию нематериальных активов</v>
      </c>
      <c r="N38" s="1090" t="str">
        <f>IF(K38=0,"",K38)</f>
        <v/>
      </c>
      <c r="O38" s="1213" t="s">
        <v>623</v>
      </c>
      <c r="P38" s="1213" t="s">
        <v>603</v>
      </c>
      <c r="Q38" s="1213" t="s">
        <v>623</v>
      </c>
      <c r="R38" s="1213" t="s">
        <v>603</v>
      </c>
      <c r="S38" s="1213"/>
      <c r="T38" s="1220" t="s">
        <v>624</v>
      </c>
      <c r="U38" s="1092" t="s">
        <v>624</v>
      </c>
      <c r="V38" s="1092" t="s">
        <v>624</v>
      </c>
      <c r="W38" s="1092" t="s">
        <v>624</v>
      </c>
      <c r="X38" s="1089"/>
      <c r="Y38" s="1256"/>
      <c r="Z38" s="1092"/>
      <c r="AA38" s="1095"/>
      <c r="AB38" s="1092"/>
      <c r="AC38" s="1092"/>
      <c r="AD38" s="1092"/>
    </row>
    <row customHeight="1" ht="36">
      <c r="A39" s="1091"/>
      <c r="B39" s="1151">
        <v>22</v>
      </c>
      <c r="C39" s="1089">
        <v>12</v>
      </c>
      <c r="D39" s="1223"/>
      <c r="E39" s="1089"/>
      <c r="F39" s="1089"/>
      <c r="G39" s="1141"/>
      <c r="H39" s="1214"/>
      <c r="I39" s="1261" t="str">
        <f>INDEX(TEMPLATE_NUMBER_POINT_FHD,B39,MATCH(TEMPLATE_SPHERE,TEMPLATE_SPHERE_LIST_FOR_NOTE,0))</f>
        <v>2.9</v>
      </c>
      <c r="J39" s="1261" t="str">
        <f>INDEX(TEMPLATE_DATA_POINT_FHD,B39,MATCH(TEMPLATE_SPHERE,TEMPLATE_SPHERE_LIST_FOR_NOTE,0))</f>
        <v>Расходы на аренду имущества, используемого для осуществления регулируемого вида деятельности</v>
      </c>
      <c r="K39" s="1261">
        <f>INDEX(TEMPLATE_NOTE_POINT_FHD,B39,MATCH(TEMPLATE_SPHERE,TEMPLATE_SPHERE_LIST_FOR_NOTE,0))</f>
        <v>0</v>
      </c>
      <c r="L39" s="1090" t="str">
        <f>IF(I39=0,"",I39)</f>
        <v>2.9</v>
      </c>
      <c r="M39" s="1090" t="str">
        <f>IF(J39=0,"",J39)</f>
        <v>Расходы на аренду имущества, используемого для осуществления регулируемого вида деятельности</v>
      </c>
      <c r="N39" s="1090" t="str">
        <f>IF(K39=0,"",K39)</f>
        <v/>
      </c>
      <c r="O39" s="1213" t="s">
        <v>625</v>
      </c>
      <c r="P39" s="1213" t="s">
        <v>606</v>
      </c>
      <c r="Q39" s="1213" t="s">
        <v>625</v>
      </c>
      <c r="R39" s="1213" t="s">
        <v>606</v>
      </c>
      <c r="S39" s="1213"/>
      <c r="T39" s="1220" t="s">
        <v>626</v>
      </c>
      <c r="U39" s="1092" t="s">
        <v>627</v>
      </c>
      <c r="V39" s="1092" t="s">
        <v>628</v>
      </c>
      <c r="W39" s="1092" t="s">
        <v>629</v>
      </c>
      <c r="X39" s="1089"/>
      <c r="Y39" s="1256"/>
      <c r="Z39" s="1092"/>
      <c r="AA39" s="1095"/>
      <c r="AB39" s="1092"/>
      <c r="AC39" s="1092"/>
      <c r="AD39" s="1092"/>
    </row>
    <row customHeight="1" ht="18">
      <c r="A40" s="1091"/>
      <c r="B40" s="1151">
        <v>23</v>
      </c>
      <c r="C40" s="1089">
        <v>13</v>
      </c>
      <c r="D40" s="1223"/>
      <c r="E40" s="1089"/>
      <c r="F40" s="1089"/>
      <c r="G40" s="1089"/>
      <c r="H40" s="1144"/>
      <c r="I40" s="1261" t="str">
        <f>INDEX(TEMPLATE_NUMBER_POINT_FHD,B40,MATCH(TEMPLATE_SPHERE,TEMPLATE_SPHERE_LIST_FOR_NOTE,0))</f>
        <v>2.10</v>
      </c>
      <c r="J40" s="1261" t="str">
        <f>INDEX(TEMPLATE_DATA_POINT_FHD,B40,MATCH(TEMPLATE_SPHERE,TEMPLATE_SPHERE_LIST_FOR_NOTE,0))</f>
        <v>Общепроизводственные расходы, в том числе:</v>
      </c>
      <c r="K40" s="1261" t="str">
        <f>INDEX(TEMPLATE_NOTE_POINT_FHD,B40,MATCH(TEMPLATE_SPHERE,TEMPLATE_SPHERE_LIST_FOR_NOTE,0))</f>
        <v>Указывается общая сумма общепроизводственных расходов.</v>
      </c>
      <c r="L40" s="1090" t="str">
        <f>IF(I40=0,"",I40)</f>
        <v>2.10</v>
      </c>
      <c r="M40" s="1090" t="str">
        <f>IF(J40=0,"",J40)</f>
        <v>Общепроизводственные расходы, в том числе:</v>
      </c>
      <c r="N40" s="1090" t="str">
        <f>IF(K40=0,"",K40)</f>
        <v>Указывается общая сумма общепроизводственных расходов.</v>
      </c>
      <c r="O40" s="1213" t="s">
        <v>630</v>
      </c>
      <c r="P40" s="1213" t="s">
        <v>617</v>
      </c>
      <c r="Q40" s="1213" t="s">
        <v>630</v>
      </c>
      <c r="R40" s="1213" t="s">
        <v>617</v>
      </c>
      <c r="S40" s="1213"/>
      <c r="T40" s="1089" t="s">
        <v>631</v>
      </c>
      <c r="U40" s="1089" t="s">
        <v>631</v>
      </c>
      <c r="V40" s="1089" t="s">
        <v>631</v>
      </c>
      <c r="W40" s="1089" t="s">
        <v>631</v>
      </c>
      <c r="X40" s="1089"/>
      <c r="Y40" s="1256"/>
      <c r="Z40" s="1092" t="s">
        <v>632</v>
      </c>
      <c r="AA40" s="1095" t="s">
        <v>632</v>
      </c>
      <c r="AB40" s="1095" t="s">
        <v>632</v>
      </c>
      <c r="AC40" s="1095" t="s">
        <v>632</v>
      </c>
      <c r="AD40" s="1092"/>
    </row>
    <row customHeight="1" ht="27">
      <c r="A41" s="1091"/>
      <c r="B41" s="1151">
        <v>24</v>
      </c>
      <c r="C41" s="1089" t="s">
        <v>633</v>
      </c>
      <c r="D41" s="1223"/>
      <c r="E41" s="1089"/>
      <c r="F41" s="1089"/>
      <c r="G41" s="1089"/>
      <c r="H41" s="1141"/>
      <c r="I41" s="1261" t="str">
        <f>INDEX(TEMPLATE_NUMBER_POINT_FHD,B41,MATCH(TEMPLATE_SPHERE,TEMPLATE_SPHERE_LIST_FOR_NOTE,0))</f>
        <v>2.10.1</v>
      </c>
      <c r="J41" s="1261" t="str">
        <f>INDEX(TEMPLATE_DATA_POINT_FHD,B41,MATCH(TEMPLATE_SPHERE,TEMPLATE_SPHERE_LIST_FOR_NOTE,0))</f>
        <v>Расходы на текущий ремонт</v>
      </c>
      <c r="K41" s="1261" t="str">
        <f>INDEX(TEMPLATE_NOTE_POINT_FHD,B41,MATCH(TEMPLATE_SPHERE,TEMPLATE_SPHERE_LIST_FOR_NOTE,0))</f>
        <v>Указываются расходы на текущий ремонт, отнесенные к общепроизводственным расходам.</v>
      </c>
      <c r="L41" s="1090" t="str">
        <f>IF(I41=0,"",I41)</f>
        <v>2.10.1</v>
      </c>
      <c r="M41" s="1090" t="str">
        <f>IF(J41=0,"",J41)</f>
        <v>Расходы на текущий ремонт</v>
      </c>
      <c r="N41" s="1090" t="str">
        <f>IF(K41=0,"",K41)</f>
        <v>Указываются расходы на текущий ремонт, отнесенные к общепроизводственным расходам.</v>
      </c>
      <c r="O41" s="1213" t="s">
        <v>634</v>
      </c>
      <c r="P41" s="1213" t="s">
        <v>620</v>
      </c>
      <c r="Q41" s="1213" t="s">
        <v>634</v>
      </c>
      <c r="R41" s="1213" t="s">
        <v>620</v>
      </c>
      <c r="S41" s="1213"/>
      <c r="T41" s="1089" t="s">
        <v>635</v>
      </c>
      <c r="U41" s="1089" t="s">
        <v>635</v>
      </c>
      <c r="V41" s="1089" t="s">
        <v>635</v>
      </c>
      <c r="W41" s="1089" t="s">
        <v>635</v>
      </c>
      <c r="X41" s="1089"/>
      <c r="Y41" s="1256"/>
      <c r="Z41" s="1092" t="s">
        <v>636</v>
      </c>
      <c r="AA41" s="1092" t="s">
        <v>636</v>
      </c>
      <c r="AB41" s="1092" t="s">
        <v>636</v>
      </c>
      <c r="AC41" s="1092" t="s">
        <v>636</v>
      </c>
      <c r="AD41" s="1092"/>
    </row>
    <row customHeight="1" ht="27">
      <c r="A42" s="1091"/>
      <c r="B42" s="1151">
        <v>25</v>
      </c>
      <c r="C42" s="1089" t="s">
        <v>637</v>
      </c>
      <c r="D42" s="1223"/>
      <c r="E42" s="1089"/>
      <c r="F42" s="1089"/>
      <c r="G42" s="1089"/>
      <c r="H42" s="1141"/>
      <c r="I42" s="1261" t="str">
        <f>INDEX(TEMPLATE_NUMBER_POINT_FHD,B42,MATCH(TEMPLATE_SPHERE,TEMPLATE_SPHERE_LIST_FOR_NOTE,0))</f>
        <v>2.10.2</v>
      </c>
      <c r="J42" s="1261" t="str">
        <f>INDEX(TEMPLATE_DATA_POINT_FHD,B42,MATCH(TEMPLATE_SPHERE,TEMPLATE_SPHERE_LIST_FOR_NOTE,0))</f>
        <v>Расходы на капитальный ремонт</v>
      </c>
      <c r="K42" s="1261" t="str">
        <f>INDEX(TEMPLATE_NOTE_POINT_FHD,B42,MATCH(TEMPLATE_SPHERE,TEMPLATE_SPHERE_LIST_FOR_NOTE,0))</f>
        <v>Указываются расходы на капитальный ремонт, отнесенные к общепроизводственным расходам.</v>
      </c>
      <c r="L42" s="1090" t="str">
        <f>IF(I42=0,"",I42)</f>
        <v>2.10.2</v>
      </c>
      <c r="M42" s="1090" t="str">
        <f>IF(J42=0,"",J42)</f>
        <v>Расходы на капитальный ремонт</v>
      </c>
      <c r="N42" s="1090" t="str">
        <f>IF(K42=0,"",K42)</f>
        <v>Указываются расходы на капитальный ремонт, отнесенные к общепроизводственным расходам.</v>
      </c>
      <c r="O42" s="1213" t="s">
        <v>638</v>
      </c>
      <c r="P42" s="1213" t="s">
        <v>623</v>
      </c>
      <c r="Q42" s="1213" t="s">
        <v>638</v>
      </c>
      <c r="R42" s="1213" t="s">
        <v>623</v>
      </c>
      <c r="S42" s="1213"/>
      <c r="T42" s="1089" t="s">
        <v>639</v>
      </c>
      <c r="U42" s="1089" t="s">
        <v>639</v>
      </c>
      <c r="V42" s="1089" t="s">
        <v>639</v>
      </c>
      <c r="W42" s="1089" t="s">
        <v>639</v>
      </c>
      <c r="X42" s="1089"/>
      <c r="Y42" s="1256"/>
      <c r="Z42" s="1092" t="s">
        <v>640</v>
      </c>
      <c r="AA42" s="1092" t="s">
        <v>640</v>
      </c>
      <c r="AB42" s="1092" t="s">
        <v>640</v>
      </c>
      <c r="AC42" s="1092" t="s">
        <v>640</v>
      </c>
      <c r="AD42" s="1092"/>
    </row>
    <row customHeight="1" ht="18">
      <c r="A43" s="1091"/>
      <c r="B43" s="1151">
        <v>26</v>
      </c>
      <c r="C43" s="1089">
        <v>14</v>
      </c>
      <c r="D43" s="1223"/>
      <c r="E43" s="1089"/>
      <c r="F43" s="1089"/>
      <c r="G43" s="1089"/>
      <c r="H43" s="1141"/>
      <c r="I43" s="1261" t="str">
        <f>INDEX(TEMPLATE_NUMBER_POINT_FHD,B43,MATCH(TEMPLATE_SPHERE,TEMPLATE_SPHERE_LIST_FOR_NOTE,0))</f>
        <v>2.11</v>
      </c>
      <c r="J43" s="1261" t="str">
        <f>INDEX(TEMPLATE_DATA_POINT_FHD,B43,MATCH(TEMPLATE_SPHERE,TEMPLATE_SPHERE_LIST_FOR_NOTE,0))</f>
        <v>Общехозяйственные расходы, в том числе:</v>
      </c>
      <c r="K43" s="1261" t="str">
        <f>INDEX(TEMPLATE_NOTE_POINT_FHD,B43,MATCH(TEMPLATE_SPHERE,TEMPLATE_SPHERE_LIST_FOR_NOTE,0))</f>
        <v>Указывается общая сумма общехозяйственных расходов.</v>
      </c>
      <c r="L43" s="1090" t="str">
        <f>IF(I43=0,"",I43)</f>
        <v>2.11</v>
      </c>
      <c r="M43" s="1090" t="str">
        <f>IF(J43=0,"",J43)</f>
        <v>Общехозяйственные расходы, в том числе:</v>
      </c>
      <c r="N43" s="1090" t="str">
        <f>IF(K43=0,"",K43)</f>
        <v>Указывается общая сумма общехозяйственных расходов.</v>
      </c>
      <c r="O43" s="1213" t="s">
        <v>641</v>
      </c>
      <c r="P43" s="1213" t="s">
        <v>625</v>
      </c>
      <c r="Q43" s="1213" t="s">
        <v>641</v>
      </c>
      <c r="R43" s="1213" t="s">
        <v>625</v>
      </c>
      <c r="S43" s="1213"/>
      <c r="T43" s="1089" t="s">
        <v>642</v>
      </c>
      <c r="U43" s="1089" t="s">
        <v>642</v>
      </c>
      <c r="V43" s="1089" t="s">
        <v>642</v>
      </c>
      <c r="W43" s="1089" t="s">
        <v>642</v>
      </c>
      <c r="X43" s="1089"/>
      <c r="Y43" s="1256"/>
      <c r="Z43" s="1092" t="s">
        <v>643</v>
      </c>
      <c r="AA43" s="1092" t="s">
        <v>643</v>
      </c>
      <c r="AB43" s="1092" t="s">
        <v>643</v>
      </c>
      <c r="AC43" s="1092" t="s">
        <v>643</v>
      </c>
      <c r="AD43" s="1092"/>
    </row>
    <row customHeight="1" ht="27">
      <c r="A44" s="1091"/>
      <c r="B44" s="1151">
        <v>27</v>
      </c>
      <c r="C44" s="1089" t="s">
        <v>644</v>
      </c>
      <c r="D44" s="1223"/>
      <c r="E44" s="1089"/>
      <c r="F44" s="1089"/>
      <c r="G44" s="1089"/>
      <c r="H44" s="1141"/>
      <c r="I44" s="1261" t="str">
        <f>INDEX(TEMPLATE_NUMBER_POINT_FHD,B44,MATCH(TEMPLATE_SPHERE,TEMPLATE_SPHERE_LIST_FOR_NOTE,0))</f>
        <v>2.11.1</v>
      </c>
      <c r="J44" s="1261" t="str">
        <f>INDEX(TEMPLATE_DATA_POINT_FHD,B44,MATCH(TEMPLATE_SPHERE,TEMPLATE_SPHERE_LIST_FOR_NOTE,0))</f>
        <v>Расходы на текущий ремонт</v>
      </c>
      <c r="K44" s="1261" t="str">
        <f>INDEX(TEMPLATE_NOTE_POINT_FHD,B44,MATCH(TEMPLATE_SPHERE,TEMPLATE_SPHERE_LIST_FOR_NOTE,0))</f>
        <v>Указываются расходы на текущий ремонт, отнесенные к общехозяйственным расходам.</v>
      </c>
      <c r="L44" s="1090" t="str">
        <f>IF(I44=0,"",I44)</f>
        <v>2.11.1</v>
      </c>
      <c r="M44" s="1090" t="str">
        <f>IF(J44=0,"",J44)</f>
        <v>Расходы на текущий ремонт</v>
      </c>
      <c r="N44" s="1090" t="str">
        <f>IF(K44=0,"",K44)</f>
        <v>Указываются расходы на текущий ремонт, отнесенные к общехозяйственным расходам.</v>
      </c>
      <c r="O44" s="1213" t="s">
        <v>645</v>
      </c>
      <c r="P44" s="1213" t="s">
        <v>646</v>
      </c>
      <c r="Q44" s="1213" t="s">
        <v>645</v>
      </c>
      <c r="R44" s="1213" t="s">
        <v>646</v>
      </c>
      <c r="S44" s="1213"/>
      <c r="T44" s="1089" t="s">
        <v>635</v>
      </c>
      <c r="U44" s="1089" t="s">
        <v>635</v>
      </c>
      <c r="V44" s="1089" t="s">
        <v>635</v>
      </c>
      <c r="W44" s="1089" t="s">
        <v>635</v>
      </c>
      <c r="X44" s="1089"/>
      <c r="Y44" s="1256"/>
      <c r="Z44" s="1092" t="s">
        <v>647</v>
      </c>
      <c r="AA44" s="1092" t="s">
        <v>647</v>
      </c>
      <c r="AB44" s="1092" t="s">
        <v>647</v>
      </c>
      <c r="AC44" s="1092" t="s">
        <v>647</v>
      </c>
      <c r="AD44" s="1092"/>
    </row>
    <row customHeight="1" ht="27">
      <c r="A45" s="1091"/>
      <c r="B45" s="1151">
        <v>28</v>
      </c>
      <c r="C45" s="1089" t="s">
        <v>648</v>
      </c>
      <c r="D45" s="1223"/>
      <c r="E45" s="1089"/>
      <c r="F45" s="1089"/>
      <c r="G45" s="1089"/>
      <c r="H45" s="1141"/>
      <c r="I45" s="1261" t="str">
        <f>INDEX(TEMPLATE_NUMBER_POINT_FHD,B45,MATCH(TEMPLATE_SPHERE,TEMPLATE_SPHERE_LIST_FOR_NOTE,0))</f>
        <v>2.11.2</v>
      </c>
      <c r="J45" s="1261" t="str">
        <f>INDEX(TEMPLATE_DATA_POINT_FHD,B45,MATCH(TEMPLATE_SPHERE,TEMPLATE_SPHERE_LIST_FOR_NOTE,0))</f>
        <v>Расходы на капитальный ремонт</v>
      </c>
      <c r="K45" s="1261" t="str">
        <f>INDEX(TEMPLATE_NOTE_POINT_FHD,B45,MATCH(TEMPLATE_SPHERE,TEMPLATE_SPHERE_LIST_FOR_NOTE,0))</f>
        <v>Указываются расходы на капитальный ремонт, отнесенные к общехозяйственным расходам.</v>
      </c>
      <c r="L45" s="1090" t="str">
        <f>IF(I45=0,"",I45)</f>
        <v>2.11.2</v>
      </c>
      <c r="M45" s="1090" t="str">
        <f>IF(J45=0,"",J45)</f>
        <v>Расходы на капитальный ремонт</v>
      </c>
      <c r="N45" s="1090" t="str">
        <f>IF(K45=0,"",K45)</f>
        <v>Указываются расходы на капитальный ремонт, отнесенные к общехозяйственным расходам.</v>
      </c>
      <c r="O45" s="1213" t="s">
        <v>649</v>
      </c>
      <c r="P45" s="1213" t="s">
        <v>650</v>
      </c>
      <c r="Q45" s="1213" t="s">
        <v>649</v>
      </c>
      <c r="R45" s="1213" t="s">
        <v>650</v>
      </c>
      <c r="S45" s="1213"/>
      <c r="T45" s="1089" t="s">
        <v>639</v>
      </c>
      <c r="U45" s="1089" t="s">
        <v>639</v>
      </c>
      <c r="V45" s="1089" t="s">
        <v>639</v>
      </c>
      <c r="W45" s="1089" t="s">
        <v>639</v>
      </c>
      <c r="X45" s="1089"/>
      <c r="Y45" s="1256"/>
      <c r="Z45" s="1092" t="s">
        <v>651</v>
      </c>
      <c r="AA45" s="1092" t="s">
        <v>651</v>
      </c>
      <c r="AB45" s="1092" t="s">
        <v>651</v>
      </c>
      <c r="AC45" s="1092" t="s">
        <v>651</v>
      </c>
      <c r="AD45" s="1092"/>
    </row>
    <row customHeight="1" ht="54">
      <c r="A46" s="1091"/>
      <c r="B46" s="1151">
        <v>29</v>
      </c>
      <c r="C46" s="1089">
        <v>15</v>
      </c>
      <c r="D46" s="1223"/>
      <c r="E46" s="1089"/>
      <c r="F46" s="1089"/>
      <c r="G46" s="1089"/>
      <c r="H46" s="1141"/>
      <c r="I46" s="1261" t="str">
        <f>INDEX(TEMPLATE_NUMBER_POINT_FHD,B46,MATCH(TEMPLATE_SPHERE,TEMPLATE_SPHERE_LIST_FOR_NOTE,0))</f>
        <v>2.12</v>
      </c>
      <c r="J46" s="1261" t="str">
        <f>INDEX(TEMPLATE_DATA_POINT_FHD,B46,MATCH(TEMPLATE_SPHERE,TEMPLATE_SPHERE_LIST_FOR_NOTE,0))</f>
        <v>Расходы на капитальный и текущий ремонт основных средств</v>
      </c>
      <c r="K46" s="1261" t="str">
        <f>INDEX(TEMPLATE_NOTE_POINT_FHD,B46,MATCH(TEMPLATE_SPHERE,TEMPLATE_SPHERE_LIST_FOR_NOTE,0))</f>
        <v>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6" s="1090" t="str">
        <f>IF(I46=0,"",I46)</f>
        <v>2.12</v>
      </c>
      <c r="M46" s="1090" t="str">
        <f>IF(J46=0,"",J46)</f>
        <v>Расходы на капитальный и текущий ремонт основных средств</v>
      </c>
      <c r="N46" s="1090" t="str">
        <f>IF(K46=0,"",K46)</f>
        <v>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6" s="1213" t="s">
        <v>652</v>
      </c>
      <c r="P46" s="1213" t="s">
        <v>630</v>
      </c>
      <c r="Q46" s="1213" t="s">
        <v>652</v>
      </c>
      <c r="R46" s="1213" t="s">
        <v>630</v>
      </c>
      <c r="S46" s="1213"/>
      <c r="T46" s="1089" t="s">
        <v>653</v>
      </c>
      <c r="U46" s="1089" t="s">
        <v>653</v>
      </c>
      <c r="V46" s="1089" t="s">
        <v>653</v>
      </c>
      <c r="W46" s="1089" t="s">
        <v>653</v>
      </c>
      <c r="X46" s="1089"/>
      <c r="Y46" s="1256"/>
      <c r="Z46" s="1092" t="s">
        <v>654</v>
      </c>
      <c r="AA46" s="1092" t="s">
        <v>655</v>
      </c>
      <c r="AB46" s="1092" t="s">
        <v>655</v>
      </c>
      <c r="AC46" s="1092" t="s">
        <v>655</v>
      </c>
      <c r="AD46" s="1092"/>
    </row>
    <row customHeight="1" ht="54">
      <c r="A47" s="1091"/>
      <c r="B47" s="1151">
        <v>30</v>
      </c>
      <c r="C47" s="1089" t="s">
        <v>656</v>
      </c>
      <c r="D47" s="1223"/>
      <c r="E47" s="1089"/>
      <c r="F47" s="1089"/>
      <c r="G47" s="1089"/>
      <c r="H47" s="1141"/>
      <c r="I47" s="1261" t="str">
        <f>INDEX(TEMPLATE_NUMBER_POINT_FHD,B47,MATCH(TEMPLATE_SPHERE,TEMPLATE_SPHERE_LIST_FOR_NOTE,0))</f>
        <v>2.12.1</v>
      </c>
      <c r="J47" s="1261" t="str">
        <f>INDEX(TEMPLATE_DATA_POINT_FHD,B47,MATCH(TEMPLATE_SPHERE,TEMPLATE_SPHERE_LIST_FOR_NOTE,0))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7" s="1261">
        <f>INDEX(TEMPLATE_NOTE_POINT_FHD,B47,MATCH(TEMPLATE_SPHERE,TEMPLATE_SPHERE_LIST_FOR_NOTE,0))</f>
        <v>0</v>
      </c>
      <c r="L47" s="1090" t="str">
        <f>IF(I47=0,"",I47)</f>
        <v>2.12.1</v>
      </c>
      <c r="M47" s="1090" t="str">
        <f>IF(J47=0,"",J47)</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7" s="1090" t="str">
        <f>IF(K47=0,"",K47)</f>
        <v/>
      </c>
      <c r="O47" s="1213" t="s">
        <v>657</v>
      </c>
      <c r="P47" s="1213" t="s">
        <v>634</v>
      </c>
      <c r="Q47" s="1213" t="s">
        <v>657</v>
      </c>
      <c r="R47" s="1213" t="s">
        <v>634</v>
      </c>
      <c r="S47" s="1213"/>
      <c r="T47" s="1089" t="s">
        <v>658</v>
      </c>
      <c r="U47" s="1089" t="s">
        <v>658</v>
      </c>
      <c r="V47" s="1089" t="s">
        <v>658</v>
      </c>
      <c r="W47" s="1089" t="s">
        <v>658</v>
      </c>
      <c r="X47" s="1089"/>
      <c r="Y47" s="1256"/>
      <c r="Z47" s="1092"/>
      <c r="AA47" s="1095"/>
      <c r="AB47" s="1095"/>
      <c r="AC47" s="1095"/>
      <c r="AD47" s="1092"/>
    </row>
    <row customHeight="1" ht="54">
      <c r="A48" s="1091"/>
      <c r="B48" s="1151">
        <v>31</v>
      </c>
      <c r="C48" s="1089">
        <v>16</v>
      </c>
      <c r="D48" s="1223"/>
      <c r="E48" s="1089"/>
      <c r="F48" s="1089"/>
      <c r="G48" s="1089"/>
      <c r="H48" s="1141"/>
      <c r="I48" s="1261">
        <f>INDEX(TEMPLATE_NUMBER_POINT_FHD,B48,MATCH(TEMPLATE_SPHERE,TEMPLATE_SPHERE_LIST_FOR_NOTE,0))</f>
        <v>0</v>
      </c>
      <c r="J48" s="1261">
        <f>INDEX(TEMPLATE_DATA_POINT_FHD,B48,MATCH(TEMPLATE_SPHERE,TEMPLATE_SPHERE_LIST_FOR_NOTE,0))</f>
        <v>0</v>
      </c>
      <c r="K48" s="1261">
        <f>INDEX(TEMPLATE_NOTE_POINT_FHD,B48,MATCH(TEMPLATE_SPHERE,TEMPLATE_SPHERE_LIST_FOR_NOTE,0))</f>
        <v>0</v>
      </c>
      <c r="L48" s="1090" t="str">
        <f>IF(I48=0,"",I48)</f>
        <v/>
      </c>
      <c r="M48" s="1090" t="str">
        <f>IF(J48=0,"",J48)</f>
        <v/>
      </c>
      <c r="N48" s="1090" t="str">
        <f>IF(K48=0,"",K48)</f>
        <v/>
      </c>
      <c r="O48" s="1213"/>
      <c r="P48" s="1213" t="s">
        <v>641</v>
      </c>
      <c r="Q48" s="1213" t="s">
        <v>659</v>
      </c>
      <c r="R48" s="1213" t="s">
        <v>641</v>
      </c>
      <c r="S48" s="1213"/>
      <c r="T48" s="1089"/>
      <c r="U48" s="1089" t="s">
        <v>660</v>
      </c>
      <c r="V48" s="1089" t="s">
        <v>661</v>
      </c>
      <c r="W48" s="1089" t="s">
        <v>661</v>
      </c>
      <c r="X48" s="1089"/>
      <c r="Y48" s="1256"/>
      <c r="Z48" s="1092"/>
      <c r="AA48" s="1095" t="s">
        <v>655</v>
      </c>
      <c r="AB48" s="1095" t="s">
        <v>655</v>
      </c>
      <c r="AC48" s="1095" t="s">
        <v>655</v>
      </c>
      <c r="AD48" s="1092"/>
    </row>
    <row customHeight="1" ht="54">
      <c r="A49" s="1091"/>
      <c r="B49" s="1151">
        <v>32</v>
      </c>
      <c r="C49" s="1089" t="s">
        <v>662</v>
      </c>
      <c r="D49" s="1223"/>
      <c r="E49" s="1089"/>
      <c r="F49" s="1089"/>
      <c r="G49" s="1089"/>
      <c r="H49" s="1141"/>
      <c r="I49" s="1261">
        <f>INDEX(TEMPLATE_NUMBER_POINT_FHD,B49,MATCH(TEMPLATE_SPHERE,TEMPLATE_SPHERE_LIST_FOR_NOTE,0))</f>
        <v>0</v>
      </c>
      <c r="J49" s="1261">
        <f>INDEX(TEMPLATE_DATA_POINT_FHD,B49,MATCH(TEMPLATE_SPHERE,TEMPLATE_SPHERE_LIST_FOR_NOTE,0))</f>
        <v>0</v>
      </c>
      <c r="K49" s="1261">
        <f>INDEX(TEMPLATE_NOTE_POINT_FHD,B49,MATCH(TEMPLATE_SPHERE,TEMPLATE_SPHERE_LIST_FOR_NOTE,0))</f>
        <v>0</v>
      </c>
      <c r="L49" s="1090" t="str">
        <f>IF(I49=0,"",I49)</f>
        <v/>
      </c>
      <c r="M49" s="1090" t="str">
        <f>IF(J49=0,"",J49)</f>
        <v/>
      </c>
      <c r="N49" s="1090" t="str">
        <f>IF(K49=0,"",K49)</f>
        <v/>
      </c>
      <c r="O49" s="1213"/>
      <c r="P49" s="1213" t="s">
        <v>645</v>
      </c>
      <c r="Q49" s="1213" t="s">
        <v>663</v>
      </c>
      <c r="R49" s="1213" t="s">
        <v>645</v>
      </c>
      <c r="S49" s="1213"/>
      <c r="T49" s="1089"/>
      <c r="U49" s="1089" t="s">
        <v>658</v>
      </c>
      <c r="V49" s="1089" t="s">
        <v>658</v>
      </c>
      <c r="W49" s="1089" t="s">
        <v>658</v>
      </c>
      <c r="X49" s="1089"/>
      <c r="Y49" s="1256"/>
      <c r="Z49" s="1092"/>
      <c r="AA49" s="1095"/>
      <c r="AB49" s="1095"/>
      <c r="AC49" s="1095"/>
      <c r="AD49" s="1092"/>
    </row>
    <row customHeight="1" ht="126">
      <c r="A50" s="1091"/>
      <c r="B50" s="1151">
        <v>33</v>
      </c>
      <c r="C50" s="1089">
        <v>17</v>
      </c>
      <c r="D50" s="1223"/>
      <c r="E50" s="1089"/>
      <c r="F50" s="1089"/>
      <c r="G50" s="1089"/>
      <c r="H50" s="1141"/>
      <c r="I50" s="1261" t="str">
        <f>INDEX(TEMPLATE_NUMBER_POINT_FHD,B50,MATCH(TEMPLATE_SPHERE,TEMPLATE_SPHERE_LIST_FOR_NOTE,0))</f>
        <v>2.13</v>
      </c>
      <c r="J50" s="1261" t="str">
        <f>INDEX(TEMPLATE_DATA_POINT_FHD,B50,MATCH(TEMPLATE_SPHERE,TEMPLATE_SPHERE_LIST_FOR_NOTE,0))</f>
        <v>Прочие расходы, которые подлежат отнесению на регулируемые виды деятельности в соответствии с законодательством Российской Федерации</v>
      </c>
      <c r="K50" s="1261" t="str">
        <f>INDEX(TEMPLATE_NOTE_POINT_FHD,B50,MATCH(TEMPLATE_SPHERE,TEMPLATE_SPHERE_LIST_FOR_NOTE,0))</f>
        <v>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v>
      </c>
      <c r="L50" s="1090" t="str">
        <f>IF(I50=0,"",I50)</f>
        <v>2.13</v>
      </c>
      <c r="M50" s="1090" t="str">
        <f>IF(J50=0,"",J50)</f>
        <v>Прочие расходы, которые подлежат отнесению на регулируемые виды деятельности в соответствии с законодательством Российской Федерации</v>
      </c>
      <c r="N50" s="1090" t="str">
        <f>IF(K50=0,"",K50)</f>
        <v>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v>
      </c>
      <c r="O50" s="1213" t="s">
        <v>659</v>
      </c>
      <c r="P50" s="1213" t="s">
        <v>652</v>
      </c>
      <c r="Q50" s="1213" t="s">
        <v>664</v>
      </c>
      <c r="R50" s="1213" t="s">
        <v>652</v>
      </c>
      <c r="S50" s="1213"/>
      <c r="T50" s="1089" t="s">
        <v>665</v>
      </c>
      <c r="U50" s="1089" t="s">
        <v>666</v>
      </c>
      <c r="V50" s="1089" t="s">
        <v>667</v>
      </c>
      <c r="W50" s="1089" t="s">
        <v>668</v>
      </c>
      <c r="X50" s="1089"/>
      <c r="Y50" s="1256"/>
      <c r="Z50" s="1092" t="s">
        <v>669</v>
      </c>
      <c r="AA50" s="1095" t="s">
        <v>670</v>
      </c>
      <c r="AB50" s="1095" t="s">
        <v>670</v>
      </c>
      <c r="AC50" s="1095" t="s">
        <v>670</v>
      </c>
      <c r="AD50" s="1092"/>
    </row>
    <row customHeight="1" ht="27">
      <c r="A51" s="1091"/>
      <c r="B51" s="1151">
        <v>34</v>
      </c>
      <c r="C51" s="1089" t="s">
        <v>671</v>
      </c>
      <c r="D51" s="1223"/>
      <c r="E51" s="1089"/>
      <c r="F51" s="1089"/>
      <c r="G51" s="1089"/>
      <c r="H51" s="1141"/>
      <c r="I51" s="1261" t="str">
        <f>INDEX(TEMPLATE_NUMBER_POINT_FHD,B51,MATCH(TEMPLATE_SPHERE,TEMPLATE_SPHERE_LIST_FOR_NOTE,0))</f>
        <v>3</v>
      </c>
      <c r="J51" s="1261" t="str">
        <f>INDEX(TEMPLATE_DATA_POINT_FHD,B51,MATCH(TEMPLATE_SPHERE,TEMPLATE_SPHERE_LIST_FOR_NOTE,0))</f>
        <v>Валовая прибыль (убытки) от реализации товаров и оказания услуг по регулируемому виду деятельности</v>
      </c>
      <c r="K51" s="1261">
        <f>INDEX(TEMPLATE_NOTE_POINT_FHD,B51,MATCH(TEMPLATE_SPHERE,TEMPLATE_SPHERE_LIST_FOR_NOTE,0))</f>
        <v>0</v>
      </c>
      <c r="L51" s="1090" t="str">
        <f>IF(I51=0,"",I51)</f>
        <v>3</v>
      </c>
      <c r="M51" s="1090" t="str">
        <f>IF(J51=0,"",J51)</f>
        <v>Валовая прибыль (убытки) от реализации товаров и оказания услуг по регулируемому виду деятельности</v>
      </c>
      <c r="N51" s="1090" t="str">
        <f>IF(K51=0,"",K51)</f>
        <v/>
      </c>
      <c r="O51" s="1213" t="s">
        <v>90</v>
      </c>
      <c r="P51" s="1213"/>
      <c r="Q51" s="1213"/>
      <c r="R51" s="1213"/>
      <c r="S51" s="1213"/>
      <c r="T51" s="1089" t="s">
        <v>672</v>
      </c>
      <c r="U51" s="1089"/>
      <c r="V51" s="1089"/>
      <c r="W51" s="1089"/>
      <c r="X51" s="1089"/>
      <c r="Y51" s="1256"/>
      <c r="Z51" s="1092"/>
      <c r="AA51" s="1095"/>
      <c r="AB51" s="1095"/>
      <c r="AC51" s="1095"/>
      <c r="AD51" s="1092"/>
    </row>
    <row customHeight="1" ht="36">
      <c r="A52" s="1091"/>
      <c r="B52" s="1151">
        <v>35</v>
      </c>
      <c r="C52" s="1089" t="s">
        <v>549</v>
      </c>
      <c r="D52" s="1223" t="s">
        <v>549</v>
      </c>
      <c r="E52" s="1089" t="s">
        <v>549</v>
      </c>
      <c r="F52" s="1089" t="s">
        <v>549</v>
      </c>
      <c r="G52" s="1089"/>
      <c r="H52" s="1141"/>
      <c r="I52" s="1261" t="str">
        <f>INDEX(TEMPLATE_NUMBER_POINT_FHD,B52,MATCH(TEMPLATE_SPHERE,TEMPLATE_SPHERE_LIST_FOR_NOTE,0))</f>
        <v>4</v>
      </c>
      <c r="J52" s="1261" t="str">
        <f>INDEX(TEMPLATE_DATA_POINT_FHD,B52,MATCH(TEMPLATE_SPHERE,TEMPLATE_SPHERE_LIST_FOR_NOTE,0))</f>
        <v>Чистая прибыль, полученная от регулируемого вида деятельности, в том числе:</v>
      </c>
      <c r="K52" s="1261" t="str">
        <f>INDEX(TEMPLATE_NOTE_POINT_FHD,B52,MATCH(TEMPLATE_SPHERE,TEMPLATE_SPHERE_LIST_FOR_NOTE,0))</f>
        <v>Указывается общая сумма чистой прибыли, полученной от регулируемого вида деятельности.</v>
      </c>
      <c r="L52" s="1090" t="str">
        <f>IF(I52=0,"",I52)</f>
        <v>4</v>
      </c>
      <c r="M52" s="1090" t="str">
        <f>IF(J52=0,"",J52)</f>
        <v>Чистая прибыль, полученная от регулируемого вида деятельности, в том числе:</v>
      </c>
      <c r="N52" s="1090" t="str">
        <f>IF(K52=0,"",K52)</f>
        <v>Указывается общая сумма чистой прибыли, полученной от регулируемого вида деятельности.</v>
      </c>
      <c r="O52" s="1213" t="s">
        <v>91</v>
      </c>
      <c r="P52" s="1213" t="s">
        <v>90</v>
      </c>
      <c r="Q52" s="1213" t="s">
        <v>90</v>
      </c>
      <c r="R52" s="1213" t="s">
        <v>90</v>
      </c>
      <c r="S52" s="1213"/>
      <c r="T52" s="1089" t="s">
        <v>673</v>
      </c>
      <c r="U52" s="1089" t="s">
        <v>674</v>
      </c>
      <c r="V52" s="1089" t="s">
        <v>675</v>
      </c>
      <c r="W52" s="1089" t="s">
        <v>676</v>
      </c>
      <c r="X52" s="1089"/>
      <c r="Y52" s="1256"/>
      <c r="Z52" s="1092" t="s">
        <v>677</v>
      </c>
      <c r="AA52" s="1095" t="s">
        <v>677</v>
      </c>
      <c r="AB52" s="1095" t="s">
        <v>677</v>
      </c>
      <c r="AC52" s="1095" t="s">
        <v>677</v>
      </c>
      <c r="AD52" s="1092"/>
    </row>
    <row customHeight="1" ht="36">
      <c r="A53" s="1091"/>
      <c r="B53" s="1151">
        <v>36</v>
      </c>
      <c r="C53" s="1089">
        <v>1</v>
      </c>
      <c r="D53" s="1223"/>
      <c r="E53" s="1089"/>
      <c r="F53" s="1089"/>
      <c r="G53" s="1089"/>
      <c r="H53" s="1141"/>
      <c r="I53" s="1261" t="str">
        <f>INDEX(TEMPLATE_NUMBER_POINT_FHD,B53,MATCH(TEMPLATE_SPHERE,TEMPLATE_SPHERE_LIST_FOR_NOTE,0))</f>
        <v>4.1</v>
      </c>
      <c r="J53" s="1261" t="str">
        <f>INDEX(TEMPLATE_DATA_POINT_FHD,B53,MATCH(TEMPLATE_SPHERE,TEMPLATE_SPHERE_LIST_FOR_NOTE,0))</f>
        <v>Размер расходования чистой прибыли на финансирование мероприятий, предусмотренных инвестиционной программой регулируемой организации</v>
      </c>
      <c r="K53" s="1261">
        <f>INDEX(TEMPLATE_NOTE_POINT_FHD,B53,MATCH(TEMPLATE_SPHERE,TEMPLATE_SPHERE_LIST_FOR_NOTE,0))</f>
        <v>0</v>
      </c>
      <c r="L53" s="1090" t="str">
        <f>IF(I53=0,"",I53)</f>
        <v>4.1</v>
      </c>
      <c r="M53" s="1090" t="str">
        <f>IF(J53=0,"",J53)</f>
        <v>Размер расходования чистой прибыли на финансирование мероприятий, предусмотренных инвестиционной программой регулируемой организации</v>
      </c>
      <c r="N53" s="1090" t="str">
        <f>IF(K53=0,"",K53)</f>
        <v/>
      </c>
      <c r="O53" s="1213" t="s">
        <v>678</v>
      </c>
      <c r="P53" s="1213" t="s">
        <v>388</v>
      </c>
      <c r="Q53" s="1213" t="s">
        <v>388</v>
      </c>
      <c r="R53" s="1213" t="s">
        <v>388</v>
      </c>
      <c r="S53" s="1213"/>
      <c r="T53" s="1089" t="s">
        <v>679</v>
      </c>
      <c r="U53" s="1089" t="s">
        <v>679</v>
      </c>
      <c r="V53" s="1089" t="s">
        <v>679</v>
      </c>
      <c r="W53" s="1089" t="s">
        <v>679</v>
      </c>
      <c r="X53" s="1089"/>
      <c r="Y53" s="1256"/>
      <c r="Z53" s="1092"/>
      <c r="AA53" s="1095"/>
      <c r="AB53" s="1092"/>
      <c r="AC53" s="1092"/>
      <c r="AD53" s="1092"/>
    </row>
    <row customHeight="1" ht="18">
      <c r="A54" s="1091"/>
      <c r="B54" s="1151">
        <v>37</v>
      </c>
      <c r="C54" s="1089" t="s">
        <v>555</v>
      </c>
      <c r="D54" s="1223" t="s">
        <v>555</v>
      </c>
      <c r="E54" s="1089" t="s">
        <v>555</v>
      </c>
      <c r="F54" s="1089" t="s">
        <v>555</v>
      </c>
      <c r="G54" s="1089"/>
      <c r="H54" s="1141"/>
      <c r="I54" s="1261" t="str">
        <f>INDEX(TEMPLATE_NUMBER_POINT_FHD,B54,MATCH(TEMPLATE_SPHERE,TEMPLATE_SPHERE_LIST_FOR_NOTE,0))</f>
        <v>5</v>
      </c>
      <c r="J54" s="1261" t="str">
        <f>INDEX(TEMPLATE_DATA_POINT_FHD,B54,MATCH(TEMPLATE_SPHERE,TEMPLATE_SPHERE_LIST_FOR_NOTE,0))</f>
        <v>Изменение стоимости основных фондов, в том числе:</v>
      </c>
      <c r="K54" s="1261" t="str">
        <f>INDEX(TEMPLATE_NOTE_POINT_FHD,B54,MATCH(TEMPLATE_SPHERE,TEMPLATE_SPHERE_LIST_FOR_NOTE,0))</f>
        <v>Указывается общее изменение стоимости основных фондов.</v>
      </c>
      <c r="L54" s="1090" t="str">
        <f>IF(I54=0,"",I54)</f>
        <v>5</v>
      </c>
      <c r="M54" s="1090" t="str">
        <f>IF(J54=0,"",J54)</f>
        <v>Изменение стоимости основных фондов, в том числе:</v>
      </c>
      <c r="N54" s="1090" t="str">
        <f>IF(K54=0,"",K54)</f>
        <v>Указывается общее изменение стоимости основных фондов.</v>
      </c>
      <c r="O54" s="1213" t="s">
        <v>111</v>
      </c>
      <c r="P54" s="1213" t="s">
        <v>91</v>
      </c>
      <c r="Q54" s="1213" t="s">
        <v>91</v>
      </c>
      <c r="R54" s="1213" t="s">
        <v>91</v>
      </c>
      <c r="S54" s="1213"/>
      <c r="T54" s="1089" t="s">
        <v>680</v>
      </c>
      <c r="U54" s="1089" t="s">
        <v>680</v>
      </c>
      <c r="V54" s="1089" t="s">
        <v>680</v>
      </c>
      <c r="W54" s="1089" t="s">
        <v>680</v>
      </c>
      <c r="X54" s="1089"/>
      <c r="Y54" s="1256"/>
      <c r="Z54" s="1092" t="s">
        <v>681</v>
      </c>
      <c r="AA54" s="1092" t="s">
        <v>681</v>
      </c>
      <c r="AB54" s="1092" t="s">
        <v>681</v>
      </c>
      <c r="AC54" s="1092" t="s">
        <v>681</v>
      </c>
      <c r="AD54" s="1092"/>
    </row>
    <row customHeight="1" ht="36">
      <c r="A55" s="1091"/>
      <c r="B55" s="1151">
        <v>38</v>
      </c>
      <c r="C55" s="1089">
        <v>1</v>
      </c>
      <c r="D55" s="1223"/>
      <c r="E55" s="1089"/>
      <c r="F55" s="1089"/>
      <c r="G55" s="1089"/>
      <c r="H55" s="1141"/>
      <c r="I55" s="1261" t="str">
        <f>INDEX(TEMPLATE_NUMBER_POINT_FHD,B55,MATCH(TEMPLATE_SPHERE,TEMPLATE_SPHERE_LIST_FOR_NOTE,0))</f>
        <v>5.1</v>
      </c>
      <c r="J55" s="1261" t="str">
        <f>INDEX(TEMPLATE_DATA_POINT_FHD,B55,MATCH(TEMPLATE_SPHERE,TEMPLATE_SPHERE_LIST_FOR_NOTE,0))</f>
        <v>Изменение стоимости основных фондов за счет:</v>
      </c>
      <c r="K55" s="1261" t="str">
        <f>INDEX(TEMPLATE_NOTE_POINT_FHD,B55,MATCH(TEMPLATE_SPHERE,TEMPLATE_SPHERE_LIST_FOR_NOTE,0))</f>
        <v>Указываются общее изменение стоимости основных фондов за счет их ввода в эксплуатацию и вывода из эксплуатации.</v>
      </c>
      <c r="L55" s="1090" t="str">
        <f>IF(I55=0,"",I55)</f>
        <v>5.1</v>
      </c>
      <c r="M55" s="1090" t="str">
        <f>IF(J55=0,"",J55)</f>
        <v>Изменение стоимости основных фондов за счет:</v>
      </c>
      <c r="N55" s="1090" t="str">
        <f>IF(K55=0,"",K55)</f>
        <v>Указываются общее изменение стоимости основных фондов за счет их ввода в эксплуатацию и вывода из эксплуатации.</v>
      </c>
      <c r="O55" s="1213" t="s">
        <v>377</v>
      </c>
      <c r="P55" s="1213" t="s">
        <v>678</v>
      </c>
      <c r="Q55" s="1213" t="s">
        <v>678</v>
      </c>
      <c r="R55" s="1213" t="s">
        <v>678</v>
      </c>
      <c r="S55" s="1213"/>
      <c r="T55" s="1089" t="s">
        <v>682</v>
      </c>
      <c r="U55" s="1089" t="s">
        <v>683</v>
      </c>
      <c r="V55" s="1089" t="s">
        <v>683</v>
      </c>
      <c r="W55" s="1089" t="s">
        <v>683</v>
      </c>
      <c r="X55" s="1089"/>
      <c r="Y55" s="1256"/>
      <c r="Z55" s="1092" t="s">
        <v>684</v>
      </c>
      <c r="AA55" s="1092" t="s">
        <v>684</v>
      </c>
      <c r="AB55" s="1092" t="s">
        <v>684</v>
      </c>
      <c r="AC55" s="1092" t="s">
        <v>684</v>
      </c>
      <c r="AD55" s="1092"/>
    </row>
    <row customHeight="1" ht="27">
      <c r="A56" s="1091"/>
      <c r="B56" s="1151">
        <v>39</v>
      </c>
      <c r="C56" s="1089" t="s">
        <v>685</v>
      </c>
      <c r="D56" s="1223"/>
      <c r="E56" s="1089"/>
      <c r="F56" s="1089"/>
      <c r="G56" s="1089"/>
      <c r="H56" s="1141"/>
      <c r="I56" s="1261" t="str">
        <f>INDEX(TEMPLATE_NUMBER_POINT_FHD,B56,MATCH(TEMPLATE_SPHERE,TEMPLATE_SPHERE_LIST_FOR_NOTE,0))</f>
        <v>5.1.1</v>
      </c>
      <c r="J56" s="1261" t="str">
        <f>INDEX(TEMPLATE_DATA_POINT_FHD,B56,MATCH(TEMPLATE_SPHERE,TEMPLATE_SPHERE_LIST_FOR_NOTE,0))</f>
        <v>Изменения стоимости основных фондов за счет их ввода в эксплуатацию</v>
      </c>
      <c r="K56" s="1261" t="str">
        <f>INDEX(TEMPLATE_NOTE_POINT_FHD,B56,MATCH(TEMPLATE_SPHERE,TEMPLATE_SPHERE_LIST_FOR_NOTE,0))</f>
        <v>Указываются изменение стоимости основных фондов за счет их ввода в эксплуатацию.</v>
      </c>
      <c r="L56" s="1090" t="str">
        <f>IF(I56=0,"",I56)</f>
        <v>5.1.1</v>
      </c>
      <c r="M56" s="1090" t="str">
        <f>IF(J56=0,"",J56)</f>
        <v>Изменения стоимости основных фондов за счет их ввода в эксплуатацию</v>
      </c>
      <c r="N56" s="1090" t="str">
        <f>IF(K56=0,"",K56)</f>
        <v>Указываются изменение стоимости основных фондов за счет их ввода в эксплуатацию.</v>
      </c>
      <c r="O56" s="1213" t="s">
        <v>686</v>
      </c>
      <c r="P56" s="1213" t="s">
        <v>687</v>
      </c>
      <c r="Q56" s="1213" t="s">
        <v>687</v>
      </c>
      <c r="R56" s="1213" t="s">
        <v>687</v>
      </c>
      <c r="S56" s="1213"/>
      <c r="T56" s="1089" t="s">
        <v>688</v>
      </c>
      <c r="U56" s="1089" t="s">
        <v>689</v>
      </c>
      <c r="V56" s="1089" t="s">
        <v>689</v>
      </c>
      <c r="W56" s="1089" t="s">
        <v>689</v>
      </c>
      <c r="X56" s="1089"/>
      <c r="Y56" s="1256"/>
      <c r="Z56" s="1092" t="s">
        <v>690</v>
      </c>
      <c r="AA56" s="1092" t="s">
        <v>690</v>
      </c>
      <c r="AB56" s="1092" t="s">
        <v>690</v>
      </c>
      <c r="AC56" s="1092" t="s">
        <v>690</v>
      </c>
      <c r="AD56" s="1092"/>
    </row>
    <row customHeight="1" ht="27">
      <c r="A57" s="1091"/>
      <c r="B57" s="1151">
        <v>40</v>
      </c>
      <c r="C57" s="1089" t="s">
        <v>691</v>
      </c>
      <c r="D57" s="1223"/>
      <c r="E57" s="1089"/>
      <c r="F57" s="1089"/>
      <c r="G57" s="1089"/>
      <c r="H57" s="1141"/>
      <c r="I57" s="1261" t="str">
        <f>INDEX(TEMPLATE_NUMBER_POINT_FHD,B57,MATCH(TEMPLATE_SPHERE,TEMPLATE_SPHERE_LIST_FOR_NOTE,0))</f>
        <v>5.1.2</v>
      </c>
      <c r="J57" s="1261" t="str">
        <f>INDEX(TEMPLATE_DATA_POINT_FHD,B57,MATCH(TEMPLATE_SPHERE,TEMPLATE_SPHERE_LIST_FOR_NOTE,0))</f>
        <v>Изменения стоимости основных фондов за счет их вывода в эксплуатацию</v>
      </c>
      <c r="K57" s="1261" t="str">
        <f>INDEX(TEMPLATE_NOTE_POINT_FHD,B57,MATCH(TEMPLATE_SPHERE,TEMPLATE_SPHERE_LIST_FOR_NOTE,0))</f>
        <v>Указываются изменение стоимости основных фондов за счет их вывода из эксплуатации.</v>
      </c>
      <c r="L57" s="1090" t="str">
        <f>IF(I57=0,"",I57)</f>
        <v>5.1.2</v>
      </c>
      <c r="M57" s="1090" t="str">
        <f>IF(J57=0,"",J57)</f>
        <v>Изменения стоимости основных фондов за счет их вывода в эксплуатацию</v>
      </c>
      <c r="N57" s="1090" t="str">
        <f>IF(K57=0,"",K57)</f>
        <v>Указываются изменение стоимости основных фондов за счет их вывода из эксплуатации.</v>
      </c>
      <c r="O57" s="1213" t="s">
        <v>692</v>
      </c>
      <c r="P57" s="1213" t="s">
        <v>693</v>
      </c>
      <c r="Q57" s="1213" t="s">
        <v>693</v>
      </c>
      <c r="R57" s="1213" t="s">
        <v>693</v>
      </c>
      <c r="S57" s="1213"/>
      <c r="T57" s="1089" t="s">
        <v>694</v>
      </c>
      <c r="U57" s="1089" t="s">
        <v>695</v>
      </c>
      <c r="V57" s="1089" t="s">
        <v>695</v>
      </c>
      <c r="W57" s="1089" t="s">
        <v>695</v>
      </c>
      <c r="X57" s="1089"/>
      <c r="Y57" s="1256"/>
      <c r="Z57" s="1092" t="s">
        <v>696</v>
      </c>
      <c r="AA57" s="1092" t="s">
        <v>696</v>
      </c>
      <c r="AB57" s="1092" t="s">
        <v>696</v>
      </c>
      <c r="AC57" s="1092" t="s">
        <v>696</v>
      </c>
      <c r="AD57" s="1092"/>
    </row>
    <row customHeight="1" ht="18">
      <c r="A58" s="1091"/>
      <c r="B58" s="1151">
        <v>41</v>
      </c>
      <c r="C58" s="1089">
        <v>2</v>
      </c>
      <c r="D58" s="1223"/>
      <c r="E58" s="1089"/>
      <c r="F58" s="1089"/>
      <c r="G58" s="1089"/>
      <c r="H58" s="1141"/>
      <c r="I58" s="1261" t="str">
        <f>INDEX(TEMPLATE_NUMBER_POINT_FHD,B58,MATCH(TEMPLATE_SPHERE,TEMPLATE_SPHERE_LIST_FOR_NOTE,0))</f>
        <v>5.2</v>
      </c>
      <c r="J58" s="1261" t="str">
        <f>INDEX(TEMPLATE_DATA_POINT_FHD,B58,MATCH(TEMPLATE_SPHERE,TEMPLATE_SPHERE_LIST_FOR_NOTE,0))</f>
        <v>Изменение стоимости основных фондов за счет их переоценки</v>
      </c>
      <c r="K58" s="1261">
        <f>INDEX(TEMPLATE_NOTE_POINT_FHD,B58,MATCH(TEMPLATE_SPHERE,TEMPLATE_SPHERE_LIST_FOR_NOTE,0))</f>
        <v>0</v>
      </c>
      <c r="L58" s="1090" t="str">
        <f>IF(I58=0,"",I58)</f>
        <v>5.2</v>
      </c>
      <c r="M58" s="1090" t="str">
        <f>IF(J58=0,"",J58)</f>
        <v>Изменение стоимости основных фондов за счет их переоценки</v>
      </c>
      <c r="N58" s="1090" t="str">
        <f>IF(K58=0,"",K58)</f>
        <v/>
      </c>
      <c r="O58" s="1213" t="s">
        <v>379</v>
      </c>
      <c r="P58" s="1213" t="s">
        <v>697</v>
      </c>
      <c r="Q58" s="1213" t="s">
        <v>697</v>
      </c>
      <c r="R58" s="1213" t="s">
        <v>697</v>
      </c>
      <c r="S58" s="1213"/>
      <c r="T58" s="1089" t="s">
        <v>698</v>
      </c>
      <c r="U58" s="1089" t="s">
        <v>698</v>
      </c>
      <c r="V58" s="1089" t="s">
        <v>698</v>
      </c>
      <c r="W58" s="1089" t="s">
        <v>698</v>
      </c>
      <c r="X58" s="1089"/>
      <c r="Y58" s="1256"/>
      <c r="Z58" s="1092"/>
      <c r="AA58" s="1095"/>
      <c r="AB58" s="1092"/>
      <c r="AC58" s="1092"/>
      <c r="AD58" s="1092"/>
    </row>
    <row customHeight="1" ht="36">
      <c r="A59" s="1091"/>
      <c r="B59" s="1151">
        <v>42</v>
      </c>
      <c r="C59" s="1089">
        <v>3</v>
      </c>
      <c r="D59" s="1223" t="s">
        <v>671</v>
      </c>
      <c r="E59" s="1089" t="s">
        <v>671</v>
      </c>
      <c r="F59" s="1089" t="s">
        <v>671</v>
      </c>
      <c r="G59" s="1089"/>
      <c r="H59" s="1141"/>
      <c r="I59" s="1261">
        <f>INDEX(TEMPLATE_NUMBER_POINT_FHD,B59,MATCH(TEMPLATE_SPHERE,TEMPLATE_SPHERE_LIST_FOR_NOTE,0))</f>
        <v>0</v>
      </c>
      <c r="J59" s="1261">
        <f>INDEX(TEMPLATE_DATA_POINT_FHD,B59,MATCH(TEMPLATE_SPHERE,TEMPLATE_SPHERE_LIST_FOR_NOTE,0))</f>
        <v>0</v>
      </c>
      <c r="K59" s="1261">
        <f>INDEX(TEMPLATE_NOTE_POINT_FHD,B59,MATCH(TEMPLATE_SPHERE,TEMPLATE_SPHERE_LIST_FOR_NOTE,0))</f>
        <v>0</v>
      </c>
      <c r="L59" s="1090" t="str">
        <f>IF(I59=0,"",I59)</f>
        <v/>
      </c>
      <c r="M59" s="1090" t="str">
        <f>IF(J59=0,"",J59)</f>
        <v/>
      </c>
      <c r="N59" s="1090" t="str">
        <f>IF(K59=0,"",K59)</f>
        <v/>
      </c>
      <c r="O59" s="1213"/>
      <c r="P59" s="1213" t="s">
        <v>111</v>
      </c>
      <c r="Q59" s="1213" t="s">
        <v>111</v>
      </c>
      <c r="R59" s="1213" t="s">
        <v>111</v>
      </c>
      <c r="S59" s="1213"/>
      <c r="T59" s="1089"/>
      <c r="U59" s="1089" t="s">
        <v>699</v>
      </c>
      <c r="V59" s="1089" t="s">
        <v>700</v>
      </c>
      <c r="W59" s="1089" t="s">
        <v>701</v>
      </c>
      <c r="X59" s="1089"/>
      <c r="Y59" s="1256"/>
      <c r="Z59" s="1092"/>
      <c r="AA59" s="1095"/>
      <c r="AB59" s="1092"/>
      <c r="AC59" s="1092"/>
      <c r="AD59" s="1092"/>
    </row>
    <row customHeight="1" ht="81">
      <c r="A60" s="1091"/>
      <c r="B60" s="1151">
        <v>43</v>
      </c>
      <c r="C60" s="1089" t="s">
        <v>702</v>
      </c>
      <c r="D60" s="1223" t="s">
        <v>702</v>
      </c>
      <c r="E60" s="1089" t="s">
        <v>702</v>
      </c>
      <c r="F60" s="1089" t="s">
        <v>702</v>
      </c>
      <c r="G60" s="1089"/>
      <c r="H60" s="1141"/>
      <c r="I60" s="1261" t="str">
        <f>INDEX(TEMPLATE_NUMBER_POINT_FHD,B60,MATCH(TEMPLATE_SPHERE,TEMPLATE_SPHERE_LIST_FOR_NOTE,0))</f>
        <v>6</v>
      </c>
      <c r="J60" s="1261" t="str">
        <f>INDEX(TEMPLATE_DATA_POINT_FHD,B60,MATCH(TEMPLATE_SPHERE,TEMPLATE_SPHERE_LIST_FOR_NOTE,0))</f>
        <v>Годовая бухгалтерская (финансовая) отчетность, включая бухгалтерский баланс и приложения к нему</v>
      </c>
      <c r="K60" s="1261" t="str">
        <f>INDEX(TEMPLATE_NOTE_POINT_FHD,B60,MATCH(TEMPLATE_SPHERE,TEMPLATE_SPHERE_LIST_FOR_NOTE,0))</f>
        <v>Указывается ссылка на документ, предварительно загруженный в хранилище файлов ФГИС ЕИАС.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v>
      </c>
      <c r="L60" s="1090" t="str">
        <f>IF(I60=0,"",I60)</f>
        <v>6</v>
      </c>
      <c r="M60" s="1090" t="str">
        <f>IF(J60=0,"",J60)</f>
        <v>Годовая бухгалтерская (финансовая) отчетность, включая бухгалтерский баланс и приложения к нему</v>
      </c>
      <c r="N60" s="1090" t="str">
        <f>IF(K60=0,"",K60)</f>
        <v>Указывается ссылка на документ, предварительно загруженный в хранилище файлов ФГИС ЕИАС.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v>
      </c>
      <c r="O60" s="1213" t="s">
        <v>92</v>
      </c>
      <c r="P60" s="1213" t="s">
        <v>92</v>
      </c>
      <c r="Q60" s="1213" t="s">
        <v>92</v>
      </c>
      <c r="R60" s="1213" t="s">
        <v>92</v>
      </c>
      <c r="S60" s="1213"/>
      <c r="T60" s="1089" t="s">
        <v>703</v>
      </c>
      <c r="U60" s="1089" t="s">
        <v>703</v>
      </c>
      <c r="V60" s="1089" t="s">
        <v>703</v>
      </c>
      <c r="W60" s="1089" t="s">
        <v>703</v>
      </c>
      <c r="X60" s="1089"/>
      <c r="Y60" s="1256"/>
      <c r="Z60" s="1092" t="s">
        <v>704</v>
      </c>
      <c r="AA60" s="1095" t="s">
        <v>705</v>
      </c>
      <c r="AB60" s="1092" t="s">
        <v>706</v>
      </c>
      <c r="AC60" s="1092" t="s">
        <v>705</v>
      </c>
      <c r="AD60" s="1092"/>
    </row>
    <row customHeight="1" ht="9">
      <c r="A61" s="1091"/>
      <c r="B61" s="1151">
        <v>44</v>
      </c>
      <c r="C61" s="1089"/>
      <c r="D61" s="1223" t="s">
        <v>707</v>
      </c>
      <c r="E61" s="1089"/>
      <c r="F61" s="1089"/>
      <c r="G61" s="1089"/>
      <c r="H61" s="1141"/>
      <c r="I61" s="1261">
        <f>INDEX(TEMPLATE_NUMBER_POINT_FHD,B61,MATCH(TEMPLATE_SPHERE,TEMPLATE_SPHERE_LIST_FOR_NOTE,0))</f>
        <v>0</v>
      </c>
      <c r="J61" s="1261">
        <f>INDEX(TEMPLATE_DATA_POINT_FHD,B61,MATCH(TEMPLATE_SPHERE,TEMPLATE_SPHERE_LIST_FOR_NOTE,0))</f>
        <v>0</v>
      </c>
      <c r="K61" s="1261">
        <f>INDEX(TEMPLATE_NOTE_POINT_FHD,B61,MATCH(TEMPLATE_SPHERE,TEMPLATE_SPHERE_LIST_FOR_NOTE,0))</f>
        <v>0</v>
      </c>
      <c r="L61" s="1090" t="str">
        <f>IF(I61=0,"",I61)</f>
        <v/>
      </c>
      <c r="M61" s="1090" t="str">
        <f>IF(J61=0,"",J61)</f>
        <v/>
      </c>
      <c r="N61" s="1090" t="str">
        <f>IF(K61=0,"",K61)</f>
        <v/>
      </c>
      <c r="O61" s="1213"/>
      <c r="P61" s="1213" t="s">
        <v>93</v>
      </c>
      <c r="Q61" s="1213"/>
      <c r="R61" s="1213"/>
      <c r="S61" s="1213"/>
      <c r="T61" s="1089"/>
      <c r="U61" s="1089" t="s">
        <v>708</v>
      </c>
      <c r="V61" s="1089"/>
      <c r="W61" s="1089"/>
      <c r="X61" s="1089"/>
      <c r="Y61" s="1256"/>
      <c r="Z61" s="1092"/>
      <c r="AA61" s="1095"/>
      <c r="AB61" s="1092"/>
      <c r="AC61" s="1092"/>
      <c r="AD61" s="1092"/>
    </row>
    <row customHeight="1" ht="9">
      <c r="A62" s="1091"/>
      <c r="B62" s="1151">
        <v>45</v>
      </c>
      <c r="C62" s="1089"/>
      <c r="D62" s="1223" t="s">
        <v>709</v>
      </c>
      <c r="E62" s="1089"/>
      <c r="F62" s="1089"/>
      <c r="G62" s="1089"/>
      <c r="H62" s="1141"/>
      <c r="I62" s="1261">
        <f>INDEX(TEMPLATE_NUMBER_POINT_FHD,B62,MATCH(TEMPLATE_SPHERE,TEMPLATE_SPHERE_LIST_FOR_NOTE,0))</f>
        <v>0</v>
      </c>
      <c r="J62" s="1261">
        <f>INDEX(TEMPLATE_DATA_POINT_FHD,B62,MATCH(TEMPLATE_SPHERE,TEMPLATE_SPHERE_LIST_FOR_NOTE,0))</f>
        <v>0</v>
      </c>
      <c r="K62" s="1261">
        <f>INDEX(TEMPLATE_NOTE_POINT_FHD,B62,MATCH(TEMPLATE_SPHERE,TEMPLATE_SPHERE_LIST_FOR_NOTE,0))</f>
        <v>0</v>
      </c>
      <c r="L62" s="1090" t="str">
        <f>IF(I62=0,"",I62)</f>
        <v/>
      </c>
      <c r="M62" s="1090" t="str">
        <f>IF(J62=0,"",J62)</f>
        <v/>
      </c>
      <c r="N62" s="1090" t="str">
        <f>IF(K62=0,"",K62)</f>
        <v/>
      </c>
      <c r="O62" s="1213"/>
      <c r="P62" s="1213" t="s">
        <v>112</v>
      </c>
      <c r="Q62" s="1213"/>
      <c r="R62" s="1213"/>
      <c r="S62" s="1213"/>
      <c r="T62" s="1089"/>
      <c r="U62" s="1089" t="s">
        <v>710</v>
      </c>
      <c r="V62" s="1089"/>
      <c r="W62" s="1089"/>
      <c r="X62" s="1089"/>
      <c r="Y62" s="1256"/>
      <c r="Z62" s="1092"/>
      <c r="AA62" s="1095"/>
      <c r="AB62" s="1092"/>
      <c r="AC62" s="1092"/>
      <c r="AD62" s="1092"/>
    </row>
    <row customHeight="1" ht="18">
      <c r="A63" s="1091"/>
      <c r="B63" s="1151">
        <v>46</v>
      </c>
      <c r="C63" s="1089"/>
      <c r="D63" s="1223" t="s">
        <v>711</v>
      </c>
      <c r="E63" s="1089"/>
      <c r="F63" s="1089"/>
      <c r="G63" s="1089"/>
      <c r="H63" s="1141"/>
      <c r="I63" s="1261">
        <f>INDEX(TEMPLATE_NUMBER_POINT_FHD,B63,MATCH(TEMPLATE_SPHERE,TEMPLATE_SPHERE_LIST_FOR_NOTE,0))</f>
        <v>0</v>
      </c>
      <c r="J63" s="1261">
        <f>INDEX(TEMPLATE_DATA_POINT_FHD,B63,MATCH(TEMPLATE_SPHERE,TEMPLATE_SPHERE_LIST_FOR_NOTE,0))</f>
        <v>0</v>
      </c>
      <c r="K63" s="1261">
        <f>INDEX(TEMPLATE_NOTE_POINT_FHD,B63,MATCH(TEMPLATE_SPHERE,TEMPLATE_SPHERE_LIST_FOR_NOTE,0))</f>
        <v>0</v>
      </c>
      <c r="L63" s="1090" t="str">
        <f>IF(I63=0,"",I63)</f>
        <v/>
      </c>
      <c r="M63" s="1090" t="str">
        <f>IF(J63=0,"",J63)</f>
        <v/>
      </c>
      <c r="N63" s="1090" t="str">
        <f>IF(K63=0,"",K63)</f>
        <v/>
      </c>
      <c r="O63" s="1213"/>
      <c r="P63" s="1213" t="s">
        <v>136</v>
      </c>
      <c r="Q63" s="1213"/>
      <c r="R63" s="1213"/>
      <c r="S63" s="1213"/>
      <c r="T63" s="1089"/>
      <c r="U63" s="1089" t="s">
        <v>712</v>
      </c>
      <c r="V63" s="1089"/>
      <c r="W63" s="1089"/>
      <c r="X63" s="1089"/>
      <c r="Y63" s="1256"/>
      <c r="Z63" s="1092"/>
      <c r="AA63" s="1095"/>
      <c r="AB63" s="1092"/>
      <c r="AC63" s="1092"/>
      <c r="AD63" s="1092"/>
    </row>
    <row customHeight="1" ht="18">
      <c r="A64" s="1091"/>
      <c r="B64" s="1151">
        <v>47</v>
      </c>
      <c r="C64" s="1089"/>
      <c r="D64" s="1223" t="s">
        <v>713</v>
      </c>
      <c r="E64" s="1089"/>
      <c r="F64" s="1089"/>
      <c r="G64" s="1089"/>
      <c r="H64" s="1141"/>
      <c r="I64" s="1261">
        <f>INDEX(TEMPLATE_NUMBER_POINT_FHD,B64,MATCH(TEMPLATE_SPHERE,TEMPLATE_SPHERE_LIST_FOR_NOTE,0))</f>
        <v>0</v>
      </c>
      <c r="J64" s="1261">
        <f>INDEX(TEMPLATE_DATA_POINT_FHD,B64,MATCH(TEMPLATE_SPHERE,TEMPLATE_SPHERE_LIST_FOR_NOTE,0))</f>
        <v>0</v>
      </c>
      <c r="K64" s="1261">
        <f>INDEX(TEMPLATE_NOTE_POINT_FHD,B64,MATCH(TEMPLATE_SPHERE,TEMPLATE_SPHERE_LIST_FOR_NOTE,0))</f>
        <v>0</v>
      </c>
      <c r="L64" s="1090" t="str">
        <f>IF(I64=0,"",I64)</f>
        <v/>
      </c>
      <c r="M64" s="1090" t="str">
        <f>IF(J64=0,"",J64)</f>
        <v/>
      </c>
      <c r="N64" s="1090" t="str">
        <f>IF(K64=0,"",K64)</f>
        <v/>
      </c>
      <c r="O64" s="1213"/>
      <c r="P64" s="1213" t="s">
        <v>139</v>
      </c>
      <c r="Q64" s="1213"/>
      <c r="R64" s="1213"/>
      <c r="S64" s="1213"/>
      <c r="T64" s="1089"/>
      <c r="U64" s="1089" t="s">
        <v>714</v>
      </c>
      <c r="V64" s="1089"/>
      <c r="W64" s="1089"/>
      <c r="X64" s="1089"/>
      <c r="Y64" s="1256"/>
      <c r="Z64" s="1092"/>
      <c r="AA64" s="1095" t="s">
        <v>715</v>
      </c>
      <c r="AB64" s="1092"/>
      <c r="AC64" s="1092"/>
      <c r="AD64" s="1092"/>
    </row>
    <row customHeight="1" ht="18">
      <c r="A65" s="1091"/>
      <c r="B65" s="1151">
        <v>48</v>
      </c>
      <c r="C65" s="1089"/>
      <c r="D65" s="1223"/>
      <c r="E65" s="1089"/>
      <c r="F65" s="1089"/>
      <c r="G65" s="1089"/>
      <c r="H65" s="1141"/>
      <c r="I65" s="1261">
        <f>INDEX(TEMPLATE_NUMBER_POINT_FHD,B65,MATCH(TEMPLATE_SPHERE,TEMPLATE_SPHERE_LIST_FOR_NOTE,0))</f>
        <v>0</v>
      </c>
      <c r="J65" s="1261">
        <f>INDEX(TEMPLATE_DATA_POINT_FHD,B65,MATCH(TEMPLATE_SPHERE,TEMPLATE_SPHERE_LIST_FOR_NOTE,0))</f>
        <v>0</v>
      </c>
      <c r="K65" s="1261">
        <f>INDEX(TEMPLATE_NOTE_POINT_FHD,B65,MATCH(TEMPLATE_SPHERE,TEMPLATE_SPHERE_LIST_FOR_NOTE,0))</f>
        <v>0</v>
      </c>
      <c r="L65" s="1090" t="str">
        <f>IF(I65=0,"",I65)</f>
        <v/>
      </c>
      <c r="M65" s="1090" t="str">
        <f>IF(J65=0,"",J65)</f>
        <v/>
      </c>
      <c r="N65" s="1090" t="str">
        <f>IF(K65=0,"",K65)</f>
        <v/>
      </c>
      <c r="O65" s="1213"/>
      <c r="P65" s="1213" t="s">
        <v>610</v>
      </c>
      <c r="Q65" s="1213"/>
      <c r="R65" s="1213"/>
      <c r="S65" s="1213"/>
      <c r="T65" s="1089"/>
      <c r="U65" s="1089" t="s">
        <v>716</v>
      </c>
      <c r="V65" s="1089"/>
      <c r="W65" s="1089"/>
      <c r="X65" s="1089"/>
      <c r="Y65" s="1256"/>
      <c r="Z65" s="1092"/>
      <c r="AA65" s="1095"/>
      <c r="AB65" s="1092"/>
      <c r="AC65" s="1092"/>
      <c r="AD65" s="1092"/>
    </row>
    <row customHeight="1" ht="18">
      <c r="A66" s="1091"/>
      <c r="B66" s="1151">
        <v>49</v>
      </c>
      <c r="C66" s="1089"/>
      <c r="D66" s="1223"/>
      <c r="E66" s="1089"/>
      <c r="F66" s="1089"/>
      <c r="G66" s="1089"/>
      <c r="H66" s="1141"/>
      <c r="I66" s="1261">
        <f>INDEX(TEMPLATE_NUMBER_POINT_FHD,B66,MATCH(TEMPLATE_SPHERE,TEMPLATE_SPHERE_LIST_FOR_NOTE,0))</f>
        <v>0</v>
      </c>
      <c r="J66" s="1261">
        <f>INDEX(TEMPLATE_DATA_POINT_FHD,B66,MATCH(TEMPLATE_SPHERE,TEMPLATE_SPHERE_LIST_FOR_NOTE,0))</f>
        <v>0</v>
      </c>
      <c r="K66" s="1261">
        <f>INDEX(TEMPLATE_NOTE_POINT_FHD,B66,MATCH(TEMPLATE_SPHERE,TEMPLATE_SPHERE_LIST_FOR_NOTE,0))</f>
        <v>0</v>
      </c>
      <c r="L66" s="1090" t="str">
        <f>IF(I66=0,"",I66)</f>
        <v/>
      </c>
      <c r="M66" s="1090" t="str">
        <f>IF(J66=0,"",J66)</f>
        <v/>
      </c>
      <c r="N66" s="1090" t="str">
        <f>IF(K66=0,"",K66)</f>
        <v/>
      </c>
      <c r="O66" s="1213"/>
      <c r="P66" s="1213" t="s">
        <v>614</v>
      </c>
      <c r="Q66" s="1213"/>
      <c r="R66" s="1213"/>
      <c r="S66" s="1213"/>
      <c r="T66" s="1089"/>
      <c r="U66" s="1089" t="s">
        <v>717</v>
      </c>
      <c r="V66" s="1089"/>
      <c r="W66" s="1089"/>
      <c r="X66" s="1089"/>
      <c r="Y66" s="1256"/>
      <c r="Z66" s="1092"/>
      <c r="AA66" s="1095"/>
      <c r="AB66" s="1092"/>
      <c r="AC66" s="1092"/>
      <c r="AD66" s="1092"/>
    </row>
    <row customHeight="1" ht="27">
      <c r="A67" s="1091"/>
      <c r="B67" s="1151">
        <v>50</v>
      </c>
      <c r="C67" s="1089"/>
      <c r="D67" s="1223"/>
      <c r="E67" s="1089"/>
      <c r="F67" s="1089"/>
      <c r="G67" s="1089"/>
      <c r="H67" s="1141"/>
      <c r="I67" s="1261">
        <f>INDEX(TEMPLATE_NUMBER_POINT_FHD,B67,MATCH(TEMPLATE_SPHERE,TEMPLATE_SPHERE_LIST_FOR_NOTE,0))</f>
        <v>0</v>
      </c>
      <c r="J67" s="1261">
        <f>INDEX(TEMPLATE_DATA_POINT_FHD,B67,MATCH(TEMPLATE_SPHERE,TEMPLATE_SPHERE_LIST_FOR_NOTE,0))</f>
        <v>0</v>
      </c>
      <c r="K67" s="1261">
        <f>INDEX(TEMPLATE_NOTE_POINT_FHD,B67,MATCH(TEMPLATE_SPHERE,TEMPLATE_SPHERE_LIST_FOR_NOTE,0))</f>
        <v>0</v>
      </c>
      <c r="L67" s="1090" t="str">
        <f>IF(I67=0,"",I67)</f>
        <v/>
      </c>
      <c r="M67" s="1090" t="str">
        <f>IF(J67=0,"",J67)</f>
        <v/>
      </c>
      <c r="N67" s="1090" t="str">
        <f>IF(K67=0,"",K67)</f>
        <v/>
      </c>
      <c r="O67" s="1213"/>
      <c r="P67" s="1213" t="s">
        <v>718</v>
      </c>
      <c r="Q67" s="1213"/>
      <c r="R67" s="1213"/>
      <c r="S67" s="1213"/>
      <c r="T67" s="1089"/>
      <c r="U67" s="1089" t="s">
        <v>719</v>
      </c>
      <c r="V67" s="1089"/>
      <c r="W67" s="1089"/>
      <c r="X67" s="1089"/>
      <c r="Y67" s="1256"/>
      <c r="Z67" s="1092"/>
      <c r="AA67" s="1095"/>
      <c r="AB67" s="1092"/>
      <c r="AC67" s="1092"/>
      <c r="AD67" s="1092"/>
    </row>
    <row customHeight="1" ht="27">
      <c r="A68" s="1091"/>
      <c r="B68" s="1151">
        <v>51</v>
      </c>
      <c r="C68" s="1089"/>
      <c r="D68" s="1223"/>
      <c r="E68" s="1089"/>
      <c r="F68" s="1089"/>
      <c r="G68" s="1089"/>
      <c r="H68" s="1141"/>
      <c r="I68" s="1261">
        <f>INDEX(TEMPLATE_NUMBER_POINT_FHD,B68,MATCH(TEMPLATE_SPHERE,TEMPLATE_SPHERE_LIST_FOR_NOTE,0))</f>
        <v>0</v>
      </c>
      <c r="J68" s="1261">
        <f>INDEX(TEMPLATE_DATA_POINT_FHD,B68,MATCH(TEMPLATE_SPHERE,TEMPLATE_SPHERE_LIST_FOR_NOTE,0))</f>
        <v>0</v>
      </c>
      <c r="K68" s="1261">
        <f>INDEX(TEMPLATE_NOTE_POINT_FHD,B68,MATCH(TEMPLATE_SPHERE,TEMPLATE_SPHERE_LIST_FOR_NOTE,0))</f>
        <v>0</v>
      </c>
      <c r="L68" s="1090" t="str">
        <f>IF(I68=0,"",I68)</f>
        <v/>
      </c>
      <c r="M68" s="1090" t="str">
        <f>IF(J68=0,"",J68)</f>
        <v/>
      </c>
      <c r="N68" s="1090" t="str">
        <f>IF(K68=0,"",K68)</f>
        <v/>
      </c>
      <c r="O68" s="1213"/>
      <c r="P68" s="1213" t="s">
        <v>720</v>
      </c>
      <c r="Q68" s="1213"/>
      <c r="R68" s="1213"/>
      <c r="S68" s="1213"/>
      <c r="T68" s="1089"/>
      <c r="U68" s="1089" t="s">
        <v>721</v>
      </c>
      <c r="V68" s="1089"/>
      <c r="W68" s="1089"/>
      <c r="X68" s="1089"/>
      <c r="Y68" s="1256"/>
      <c r="Z68" s="1092"/>
      <c r="AA68" s="1095"/>
      <c r="AB68" s="1092"/>
      <c r="AC68" s="1092"/>
      <c r="AD68" s="1092"/>
    </row>
    <row customHeight="1" ht="9">
      <c r="A69" s="1091"/>
      <c r="B69" s="1151">
        <v>52</v>
      </c>
      <c r="C69" s="1089"/>
      <c r="D69" s="1223" t="s">
        <v>722</v>
      </c>
      <c r="E69" s="1089"/>
      <c r="F69" s="1089"/>
      <c r="G69" s="1089"/>
      <c r="H69" s="1141"/>
      <c r="I69" s="1261">
        <f>INDEX(TEMPLATE_NUMBER_POINT_FHD,B69,MATCH(TEMPLATE_SPHERE,TEMPLATE_SPHERE_LIST_FOR_NOTE,0))</f>
        <v>0</v>
      </c>
      <c r="J69" s="1261">
        <f>INDEX(TEMPLATE_DATA_POINT_FHD,B69,MATCH(TEMPLATE_SPHERE,TEMPLATE_SPHERE_LIST_FOR_NOTE,0))</f>
        <v>0</v>
      </c>
      <c r="K69" s="1261">
        <f>INDEX(TEMPLATE_NOTE_POINT_FHD,B69,MATCH(TEMPLATE_SPHERE,TEMPLATE_SPHERE_LIST_FOR_NOTE,0))</f>
        <v>0</v>
      </c>
      <c r="L69" s="1090" t="str">
        <f>IF(I69=0,"",I69)</f>
        <v/>
      </c>
      <c r="M69" s="1090" t="str">
        <f>IF(J69=0,"",J69)</f>
        <v/>
      </c>
      <c r="N69" s="1090" t="str">
        <f>IF(K69=0,"",K69)</f>
        <v/>
      </c>
      <c r="O69" s="1213"/>
      <c r="P69" s="1213" t="s">
        <v>142</v>
      </c>
      <c r="Q69" s="1213"/>
      <c r="R69" s="1213"/>
      <c r="S69" s="1213"/>
      <c r="T69" s="1089"/>
      <c r="U69" s="1089" t="s">
        <v>723</v>
      </c>
      <c r="V69" s="1089"/>
      <c r="W69" s="1089"/>
      <c r="X69" s="1089"/>
      <c r="Y69" s="1256"/>
      <c r="Z69" s="1092"/>
      <c r="AA69" s="1095"/>
      <c r="AB69" s="1092"/>
      <c r="AC69" s="1092"/>
      <c r="AD69" s="1092"/>
    </row>
    <row customHeight="1" ht="27">
      <c r="A70" s="1091"/>
      <c r="B70" s="1151">
        <v>53</v>
      </c>
      <c r="C70" s="1089"/>
      <c r="D70" s="1223"/>
      <c r="E70" s="1089" t="s">
        <v>707</v>
      </c>
      <c r="F70" s="1089"/>
      <c r="G70" s="1089"/>
      <c r="H70" s="1141"/>
      <c r="I70" s="1261">
        <f>INDEX(TEMPLATE_NUMBER_POINT_FHD,B70,MATCH(TEMPLATE_SPHERE,TEMPLATE_SPHERE_LIST_FOR_NOTE,0))</f>
        <v>0</v>
      </c>
      <c r="J70" s="1261">
        <f>INDEX(TEMPLATE_DATA_POINT_FHD,B70,MATCH(TEMPLATE_SPHERE,TEMPLATE_SPHERE_LIST_FOR_NOTE,0))</f>
        <v>0</v>
      </c>
      <c r="K70" s="1261">
        <f>INDEX(TEMPLATE_NOTE_POINT_FHD,B70,MATCH(TEMPLATE_SPHERE,TEMPLATE_SPHERE_LIST_FOR_NOTE,0))</f>
        <v>0</v>
      </c>
      <c r="L70" s="1090" t="str">
        <f>IF(I70=0,"",I70)</f>
        <v/>
      </c>
      <c r="M70" s="1090" t="str">
        <f>IF(J70=0,"",J70)</f>
        <v/>
      </c>
      <c r="N70" s="1090" t="str">
        <f>IF(K70=0,"",K70)</f>
        <v/>
      </c>
      <c r="O70" s="1213"/>
      <c r="P70" s="1213"/>
      <c r="Q70" s="1213" t="s">
        <v>93</v>
      </c>
      <c r="R70" s="1213"/>
      <c r="S70" s="1213"/>
      <c r="T70" s="1089"/>
      <c r="U70" s="1089"/>
      <c r="V70" s="1089" t="s">
        <v>724</v>
      </c>
      <c r="W70" s="1089"/>
      <c r="X70" s="1089"/>
      <c r="Y70" s="1256"/>
      <c r="Z70" s="1092"/>
      <c r="AA70" s="1095"/>
      <c r="AB70" s="1092"/>
      <c r="AC70" s="1092"/>
      <c r="AD70" s="1092"/>
    </row>
    <row customHeight="1" ht="36">
      <c r="A71" s="1091"/>
      <c r="B71" s="1151">
        <v>54</v>
      </c>
      <c r="C71" s="1089"/>
      <c r="D71" s="1223"/>
      <c r="E71" s="1089" t="s">
        <v>709</v>
      </c>
      <c r="F71" s="1089"/>
      <c r="G71" s="1089"/>
      <c r="H71" s="1141"/>
      <c r="I71" s="1261">
        <f>INDEX(TEMPLATE_NUMBER_POINT_FHD,B71,MATCH(TEMPLATE_SPHERE,TEMPLATE_SPHERE_LIST_FOR_NOTE,0))</f>
        <v>0</v>
      </c>
      <c r="J71" s="1261">
        <f>INDEX(TEMPLATE_DATA_POINT_FHD,B71,MATCH(TEMPLATE_SPHERE,TEMPLATE_SPHERE_LIST_FOR_NOTE,0))</f>
        <v>0</v>
      </c>
      <c r="K71" s="1261">
        <f>INDEX(TEMPLATE_NOTE_POINT_FHD,B71,MATCH(TEMPLATE_SPHERE,TEMPLATE_SPHERE_LIST_FOR_NOTE,0))</f>
        <v>0</v>
      </c>
      <c r="L71" s="1090" t="str">
        <f>IF(I71=0,"",I71)</f>
        <v/>
      </c>
      <c r="M71" s="1090" t="str">
        <f>IF(J71=0,"",J71)</f>
        <v/>
      </c>
      <c r="N71" s="1090" t="str">
        <f>IF(K71=0,"",K71)</f>
        <v/>
      </c>
      <c r="O71" s="1213"/>
      <c r="P71" s="1213"/>
      <c r="Q71" s="1213" t="s">
        <v>112</v>
      </c>
      <c r="R71" s="1213"/>
      <c r="S71" s="1213"/>
      <c r="T71" s="1089"/>
      <c r="U71" s="1089"/>
      <c r="V71" s="1089" t="s">
        <v>725</v>
      </c>
      <c r="W71" s="1089"/>
      <c r="X71" s="1089"/>
      <c r="Y71" s="1256"/>
      <c r="Z71" s="1092"/>
      <c r="AA71" s="1095"/>
      <c r="AB71" s="1092"/>
      <c r="AC71" s="1092"/>
      <c r="AD71" s="1092"/>
    </row>
    <row customHeight="1" ht="27">
      <c r="A72" s="1091"/>
      <c r="B72" s="1151">
        <v>55</v>
      </c>
      <c r="C72" s="1089"/>
      <c r="D72" s="1223"/>
      <c r="E72" s="1089" t="s">
        <v>711</v>
      </c>
      <c r="F72" s="1089"/>
      <c r="G72" s="1089"/>
      <c r="H72" s="1141"/>
      <c r="I72" s="1261">
        <f>INDEX(TEMPLATE_NUMBER_POINT_FHD,B72,MATCH(TEMPLATE_SPHERE,TEMPLATE_SPHERE_LIST_FOR_NOTE,0))</f>
        <v>0</v>
      </c>
      <c r="J72" s="1261">
        <f>INDEX(TEMPLATE_DATA_POINT_FHD,B72,MATCH(TEMPLATE_SPHERE,TEMPLATE_SPHERE_LIST_FOR_NOTE,0))</f>
        <v>0</v>
      </c>
      <c r="K72" s="1261">
        <f>INDEX(TEMPLATE_NOTE_POINT_FHD,B72,MATCH(TEMPLATE_SPHERE,TEMPLATE_SPHERE_LIST_FOR_NOTE,0))</f>
        <v>0</v>
      </c>
      <c r="L72" s="1090" t="str">
        <f>IF(I72=0,"",I72)</f>
        <v/>
      </c>
      <c r="M72" s="1090" t="str">
        <f>IF(J72=0,"",J72)</f>
        <v/>
      </c>
      <c r="N72" s="1090" t="str">
        <f>IF(K72=0,"",K72)</f>
        <v/>
      </c>
      <c r="O72" s="1213"/>
      <c r="P72" s="1213"/>
      <c r="Q72" s="1213" t="s">
        <v>136</v>
      </c>
      <c r="R72" s="1213"/>
      <c r="S72" s="1213"/>
      <c r="T72" s="1089"/>
      <c r="U72" s="1089"/>
      <c r="V72" s="1089" t="s">
        <v>726</v>
      </c>
      <c r="W72" s="1089"/>
      <c r="X72" s="1089"/>
      <c r="Y72" s="1256"/>
      <c r="Z72" s="1092"/>
      <c r="AA72" s="1095"/>
      <c r="AB72" s="1092"/>
      <c r="AC72" s="1092"/>
      <c r="AD72" s="1092"/>
    </row>
    <row customHeight="1" ht="36">
      <c r="A73" s="1091"/>
      <c r="B73" s="1151">
        <v>56</v>
      </c>
      <c r="C73" s="1089"/>
      <c r="D73" s="1223"/>
      <c r="E73" s="1089" t="s">
        <v>713</v>
      </c>
      <c r="F73" s="1089"/>
      <c r="G73" s="1089"/>
      <c r="H73" s="1141"/>
      <c r="I73" s="1261">
        <f>INDEX(TEMPLATE_NUMBER_POINT_FHD,B73,MATCH(TEMPLATE_SPHERE,TEMPLATE_SPHERE_LIST_FOR_NOTE,0))</f>
        <v>0</v>
      </c>
      <c r="J73" s="1261">
        <f>INDEX(TEMPLATE_DATA_POINT_FHD,B73,MATCH(TEMPLATE_SPHERE,TEMPLATE_SPHERE_LIST_FOR_NOTE,0))</f>
        <v>0</v>
      </c>
      <c r="K73" s="1261">
        <f>INDEX(TEMPLATE_NOTE_POINT_FHD,B73,MATCH(TEMPLATE_SPHERE,TEMPLATE_SPHERE_LIST_FOR_NOTE,0))</f>
        <v>0</v>
      </c>
      <c r="L73" s="1090" t="str">
        <f>IF(I73=0,"",I73)</f>
        <v/>
      </c>
      <c r="M73" s="1090" t="str">
        <f>IF(J73=0,"",J73)</f>
        <v/>
      </c>
      <c r="N73" s="1090" t="str">
        <f>IF(K73=0,"",K73)</f>
        <v/>
      </c>
      <c r="O73" s="1213"/>
      <c r="P73" s="1213"/>
      <c r="Q73" s="1213" t="s">
        <v>139</v>
      </c>
      <c r="R73" s="1213"/>
      <c r="S73" s="1213"/>
      <c r="T73" s="1089"/>
      <c r="U73" s="1089"/>
      <c r="V73" s="1089" t="s">
        <v>727</v>
      </c>
      <c r="W73" s="1089"/>
      <c r="X73" s="1089"/>
      <c r="Y73" s="1256"/>
      <c r="Z73" s="1092"/>
      <c r="AA73" s="1095"/>
      <c r="AB73" s="1092"/>
      <c r="AC73" s="1092"/>
      <c r="AD73" s="1092"/>
    </row>
    <row customHeight="1" ht="18">
      <c r="A74" s="1091"/>
      <c r="B74" s="1151">
        <v>57</v>
      </c>
      <c r="C74" s="1089"/>
      <c r="D74" s="1223"/>
      <c r="E74" s="1089" t="s">
        <v>722</v>
      </c>
      <c r="F74" s="1089"/>
      <c r="G74" s="1089"/>
      <c r="H74" s="1141"/>
      <c r="I74" s="1261">
        <f>INDEX(TEMPLATE_NUMBER_POINT_FHD,B74,MATCH(TEMPLATE_SPHERE,TEMPLATE_SPHERE_LIST_FOR_NOTE,0))</f>
        <v>0</v>
      </c>
      <c r="J74" s="1261">
        <f>INDEX(TEMPLATE_DATA_POINT_FHD,B74,MATCH(TEMPLATE_SPHERE,TEMPLATE_SPHERE_LIST_FOR_NOTE,0))</f>
        <v>0</v>
      </c>
      <c r="K74" s="1261">
        <f>INDEX(TEMPLATE_NOTE_POINT_FHD,B74,MATCH(TEMPLATE_SPHERE,TEMPLATE_SPHERE_LIST_FOR_NOTE,0))</f>
        <v>0</v>
      </c>
      <c r="L74" s="1090" t="str">
        <f>IF(I74=0,"",I74)</f>
        <v/>
      </c>
      <c r="M74" s="1090" t="str">
        <f>IF(J74=0,"",J74)</f>
        <v/>
      </c>
      <c r="N74" s="1090" t="str">
        <f>IF(K74=0,"",K74)</f>
        <v/>
      </c>
      <c r="O74" s="1213"/>
      <c r="P74" s="1213"/>
      <c r="Q74" s="1213" t="s">
        <v>142</v>
      </c>
      <c r="R74" s="1213"/>
      <c r="S74" s="1213"/>
      <c r="T74" s="1089"/>
      <c r="U74" s="1089"/>
      <c r="V74" s="1089" t="s">
        <v>728</v>
      </c>
      <c r="W74" s="1089"/>
      <c r="X74" s="1089"/>
      <c r="Y74" s="1256"/>
      <c r="Z74" s="1092"/>
      <c r="AA74" s="1095"/>
      <c r="AB74" s="1092"/>
      <c r="AC74" s="1092"/>
      <c r="AD74" s="1092"/>
    </row>
    <row customHeight="1" ht="18">
      <c r="A75" s="1091"/>
      <c r="B75" s="1151">
        <v>58</v>
      </c>
      <c r="C75" s="1089"/>
      <c r="D75" s="1223"/>
      <c r="E75" s="1089"/>
      <c r="F75" s="1089" t="s">
        <v>707</v>
      </c>
      <c r="G75" s="1089"/>
      <c r="H75" s="1141"/>
      <c r="I75" s="1261">
        <f>INDEX(TEMPLATE_NUMBER_POINT_FHD,B75,MATCH(TEMPLATE_SPHERE,TEMPLATE_SPHERE_LIST_FOR_NOTE,0))</f>
        <v>0</v>
      </c>
      <c r="J75" s="1261">
        <f>INDEX(TEMPLATE_DATA_POINT_FHD,B75,MATCH(TEMPLATE_SPHERE,TEMPLATE_SPHERE_LIST_FOR_NOTE,0))</f>
        <v>0</v>
      </c>
      <c r="K75" s="1261">
        <f>INDEX(TEMPLATE_NOTE_POINT_FHD,B75,MATCH(TEMPLATE_SPHERE,TEMPLATE_SPHERE_LIST_FOR_NOTE,0))</f>
        <v>0</v>
      </c>
      <c r="L75" s="1090" t="str">
        <f>IF(I75=0,"",I75)</f>
        <v/>
      </c>
      <c r="M75" s="1090" t="str">
        <f>IF(J75=0,"",J75)</f>
        <v/>
      </c>
      <c r="N75" s="1090" t="str">
        <f>IF(K75=0,"",K75)</f>
        <v/>
      </c>
      <c r="O75" s="1213"/>
      <c r="P75" s="1213"/>
      <c r="Q75" s="1213"/>
      <c r="R75" s="1213" t="s">
        <v>93</v>
      </c>
      <c r="S75" s="1213"/>
      <c r="T75" s="1089"/>
      <c r="U75" s="1089"/>
      <c r="V75" s="1089"/>
      <c r="W75" s="1089" t="s">
        <v>729</v>
      </c>
      <c r="X75" s="1089"/>
      <c r="Y75" s="1256"/>
      <c r="Z75" s="1092"/>
      <c r="AA75" s="1095"/>
      <c r="AB75" s="1092"/>
      <c r="AC75" s="1092"/>
      <c r="AD75" s="1092"/>
    </row>
    <row customHeight="1" ht="36">
      <c r="A76" s="1091"/>
      <c r="B76" s="1151">
        <v>59</v>
      </c>
      <c r="C76" s="1089"/>
      <c r="D76" s="1223"/>
      <c r="E76" s="1089"/>
      <c r="F76" s="1089" t="s">
        <v>709</v>
      </c>
      <c r="G76" s="1089"/>
      <c r="H76" s="1141"/>
      <c r="I76" s="1261">
        <f>INDEX(TEMPLATE_NUMBER_POINT_FHD,B76,MATCH(TEMPLATE_SPHERE,TEMPLATE_SPHERE_LIST_FOR_NOTE,0))</f>
        <v>0</v>
      </c>
      <c r="J76" s="1261">
        <f>INDEX(TEMPLATE_DATA_POINT_FHD,B76,MATCH(TEMPLATE_SPHERE,TEMPLATE_SPHERE_LIST_FOR_NOTE,0))</f>
        <v>0</v>
      </c>
      <c r="K76" s="1261">
        <f>INDEX(TEMPLATE_NOTE_POINT_FHD,B76,MATCH(TEMPLATE_SPHERE,TEMPLATE_SPHERE_LIST_FOR_NOTE,0))</f>
        <v>0</v>
      </c>
      <c r="L76" s="1090" t="str">
        <f>IF(I76=0,"",I76)</f>
        <v/>
      </c>
      <c r="M76" s="1090" t="str">
        <f>IF(J76=0,"",J76)</f>
        <v/>
      </c>
      <c r="N76" s="1090" t="str">
        <f>IF(K76=0,"",K76)</f>
        <v/>
      </c>
      <c r="O76" s="1213"/>
      <c r="P76" s="1213"/>
      <c r="Q76" s="1213"/>
      <c r="R76" s="1213" t="s">
        <v>112</v>
      </c>
      <c r="S76" s="1213"/>
      <c r="T76" s="1089"/>
      <c r="U76" s="1089"/>
      <c r="V76" s="1089"/>
      <c r="W76" s="1089" t="s">
        <v>730</v>
      </c>
      <c r="X76" s="1089"/>
      <c r="Y76" s="1256"/>
      <c r="Z76" s="1092"/>
      <c r="AA76" s="1095"/>
      <c r="AB76" s="1092"/>
      <c r="AC76" s="1092"/>
      <c r="AD76" s="1092"/>
    </row>
    <row customHeight="1" ht="18">
      <c r="A77" s="1091"/>
      <c r="B77" s="1151">
        <v>60</v>
      </c>
      <c r="C77" s="1089"/>
      <c r="D77" s="1223"/>
      <c r="E77" s="1089"/>
      <c r="F77" s="1089" t="s">
        <v>711</v>
      </c>
      <c r="G77" s="1089"/>
      <c r="H77" s="1141"/>
      <c r="I77" s="1261">
        <f>INDEX(TEMPLATE_NUMBER_POINT_FHD,B77,MATCH(TEMPLATE_SPHERE,TEMPLATE_SPHERE_LIST_FOR_NOTE,0))</f>
        <v>0</v>
      </c>
      <c r="J77" s="1261">
        <f>INDEX(TEMPLATE_DATA_POINT_FHD,B77,MATCH(TEMPLATE_SPHERE,TEMPLATE_SPHERE_LIST_FOR_NOTE,0))</f>
        <v>0</v>
      </c>
      <c r="K77" s="1261">
        <f>INDEX(TEMPLATE_NOTE_POINT_FHD,B77,MATCH(TEMPLATE_SPHERE,TEMPLATE_SPHERE_LIST_FOR_NOTE,0))</f>
        <v>0</v>
      </c>
      <c r="L77" s="1090" t="str">
        <f>IF(I77=0,"",I77)</f>
        <v/>
      </c>
      <c r="M77" s="1090" t="str">
        <f>IF(J77=0,"",J77)</f>
        <v/>
      </c>
      <c r="N77" s="1090" t="str">
        <f>IF(K77=0,"",K77)</f>
        <v/>
      </c>
      <c r="O77" s="1213"/>
      <c r="P77" s="1213"/>
      <c r="Q77" s="1213"/>
      <c r="R77" s="1213" t="s">
        <v>136</v>
      </c>
      <c r="S77" s="1213"/>
      <c r="T77" s="1089"/>
      <c r="U77" s="1089"/>
      <c r="V77" s="1089"/>
      <c r="W77" s="1089" t="s">
        <v>731</v>
      </c>
      <c r="X77" s="1089"/>
      <c r="Y77" s="1256"/>
      <c r="Z77" s="1092"/>
      <c r="AA77" s="1095"/>
      <c r="AB77" s="1092"/>
      <c r="AC77" s="1092"/>
      <c r="AD77" s="1092"/>
    </row>
    <row customHeight="1" ht="72">
      <c r="A78" s="1091"/>
      <c r="B78" s="1151">
        <v>61</v>
      </c>
      <c r="C78" s="1089" t="s">
        <v>707</v>
      </c>
      <c r="D78" s="1223"/>
      <c r="E78" s="1089"/>
      <c r="F78" s="1089"/>
      <c r="G78" s="1089"/>
      <c r="H78" s="1141"/>
      <c r="I78" s="1261" t="str">
        <f>INDEX(TEMPLATE_NUMBER_POINT_FHD,B78,MATCH(TEMPLATE_SPHERE,TEMPLATE_SPHERE_LIST_FOR_NOTE,0))</f>
        <v>7</v>
      </c>
      <c r="J78" s="1261" t="str">
        <f>INDEX(TEMPLATE_DATA_POINT_FHD,B78,MATCH(TEMPLATE_SPHERE,TEMPLATE_SPHERE_LIST_FOR_NOTE,0))</f>
        <v>Установленная тепловая мощность объектов основных фондов, используемых для теплоснабжения, в том числе по каждому источнику тепловой энергии</v>
      </c>
      <c r="K78" s="1261" t="str">
        <f>INDEX(TEMPLATE_NOTE_POINT_FHD,B78,MATCH(TEMPLATE_SPHERE,TEMPLATE_SPHERE_LIST_FOR_NOTE,0))</f>
        <v>Указывается суммарная установленная тепловая мощность объектов основных фондов, используемых для осуществления теплоснабжения.
Регулируемыми организациями указывается информация по объектам, используемым для осуществления регулируемых видов деятельности.</v>
      </c>
      <c r="L78" s="1090" t="str">
        <f>IF(I78=0,"",I78)</f>
        <v>7</v>
      </c>
      <c r="M78" s="1090" t="str">
        <f>IF(J78=0,"",J78)</f>
        <v>Установленная тепловая мощность объектов основных фондов, используемых для теплоснабжения, в том числе по каждому источнику тепловой энергии</v>
      </c>
      <c r="N78" s="1090" t="str">
        <f>IF(K78=0,"",K78)</f>
        <v>Указывается суммарная установленная тепловая мощность объектов основных фондов, используемых для осуществления теплоснабжения.
Регулируемыми организациями указывается информация по объектам, используемым для осуществления регулируемых видов деятельности.</v>
      </c>
      <c r="O78" s="1213" t="s">
        <v>93</v>
      </c>
      <c r="P78" s="1213"/>
      <c r="Q78" s="1213"/>
      <c r="R78" s="1213"/>
      <c r="S78" s="1213"/>
      <c r="T78" s="1089" t="s">
        <v>732</v>
      </c>
      <c r="U78" s="1089"/>
      <c r="V78" s="1089"/>
      <c r="W78" s="1089"/>
      <c r="X78" s="1089"/>
      <c r="Y78" s="1256"/>
      <c r="Z78" s="1092" t="s">
        <v>733</v>
      </c>
      <c r="AA78" s="1095"/>
      <c r="AB78" s="1092"/>
      <c r="AC78" s="1092"/>
      <c r="AD78" s="1092"/>
    </row>
    <row customHeight="1" ht="36">
      <c r="A79" s="1091"/>
      <c r="B79" s="1151">
        <v>62</v>
      </c>
      <c r="C79" s="1089" t="s">
        <v>709</v>
      </c>
      <c r="D79" s="1223"/>
      <c r="E79" s="1089"/>
      <c r="F79" s="1089"/>
      <c r="G79" s="1089"/>
      <c r="H79" s="1141"/>
      <c r="I79" s="1261" t="str">
        <f>INDEX(TEMPLATE_NUMBER_POINT_FHD,B79,MATCH(TEMPLATE_SPHERE,TEMPLATE_SPHERE_LIST_FOR_NOTE,0))</f>
        <v>8</v>
      </c>
      <c r="J79" s="1261" t="str">
        <f>INDEX(TEMPLATE_DATA_POINT_FHD,B79,MATCH(TEMPLATE_SPHERE,TEMPLATE_SPHERE_LIST_FOR_NOTE,0))</f>
        <v>Тепловая нагрузка по договорам, заключенным в рамках осуществления регулируемых видов деятельности</v>
      </c>
      <c r="K79" s="1261" t="str">
        <f>INDEX(TEMPLATE_NOTE_POINT_FHD,B79,MATCH(TEMPLATE_SPHERE,TEMPLATE_SPHERE_LIST_FOR_NOTE,0))</f>
        <v>Регулируемыми организациями указывается информация по договорам, заключенным в рамках осуществления регулируемых видов деятельности</v>
      </c>
      <c r="L79" s="1090" t="str">
        <f>IF(I79=0,"",I79)</f>
        <v>8</v>
      </c>
      <c r="M79" s="1090" t="str">
        <f>IF(J79=0,"",J79)</f>
        <v>Тепловая нагрузка по договорам, заключенным в рамках осуществления регулируемых видов деятельности</v>
      </c>
      <c r="N79" s="1090" t="str">
        <f>IF(K79=0,"",K79)</f>
        <v>Регулируемыми организациями указывается информация по договорам, заключенным в рамках осуществления регулируемых видов деятельности</v>
      </c>
      <c r="O79" s="1213" t="s">
        <v>112</v>
      </c>
      <c r="P79" s="1213"/>
      <c r="Q79" s="1213"/>
      <c r="R79" s="1213"/>
      <c r="S79" s="1213"/>
      <c r="T79" s="1089" t="s">
        <v>734</v>
      </c>
      <c r="U79" s="1089"/>
      <c r="V79" s="1089"/>
      <c r="W79" s="1089"/>
      <c r="X79" s="1089"/>
      <c r="Y79" s="1256"/>
      <c r="Z79" s="1092" t="s">
        <v>735</v>
      </c>
      <c r="AA79" s="1095"/>
      <c r="AB79" s="1092"/>
      <c r="AC79" s="1092"/>
      <c r="AD79" s="1092"/>
    </row>
    <row customHeight="1" ht="45">
      <c r="A80" s="1091"/>
      <c r="B80" s="1151">
        <v>63</v>
      </c>
      <c r="C80" s="1089" t="s">
        <v>711</v>
      </c>
      <c r="D80" s="1223"/>
      <c r="E80" s="1089"/>
      <c r="F80" s="1089"/>
      <c r="G80" s="1089"/>
      <c r="H80" s="1141"/>
      <c r="I80" s="1261" t="str">
        <f>INDEX(TEMPLATE_NUMBER_POINT_FHD,B80,MATCH(TEMPLATE_SPHERE,TEMPLATE_SPHERE_LIST_FOR_NOTE,0))</f>
        <v>9</v>
      </c>
      <c r="J80" s="1261" t="str">
        <f>INDEX(TEMPLATE_DATA_POINT_FHD,B80,MATCH(TEMPLATE_SPHERE,TEMPLATE_SPHERE_LIST_FOR_NOTE,0))</f>
        <v>Объем вырабатываемой регулируемой организацией тепловой энергии в рамках осуществления регулируемых видов деятельности</v>
      </c>
      <c r="K80" s="1261" t="str">
        <f>INDEX(TEMPLATE_NOTE_POINT_FHD,B80,MATCH(TEMPLATE_SPHERE,TEMPLATE_SPHERE_LIST_FOR_NOTE,0))</f>
        <v>Регулируемыми организациями указывается информация тепловой энергии, выработанной в рамках осуществления регулируемых видов деятельности.</v>
      </c>
      <c r="L80" s="1090" t="str">
        <f>IF(I80=0,"",I80)</f>
        <v>9</v>
      </c>
      <c r="M80" s="1090" t="str">
        <f>IF(J80=0,"",J80)</f>
        <v>Объем вырабатываемой регулируемой организацией тепловой энергии в рамках осуществления регулируемых видов деятельности</v>
      </c>
      <c r="N80" s="1090" t="str">
        <f>IF(K80=0,"",K80)</f>
        <v>Регулируемыми организациями указывается информация тепловой энергии, выработанной в рамках осуществления регулируемых видов деятельности.</v>
      </c>
      <c r="O80" s="1213" t="s">
        <v>136</v>
      </c>
      <c r="P80" s="1213"/>
      <c r="Q80" s="1213"/>
      <c r="R80" s="1213"/>
      <c r="S80" s="1213"/>
      <c r="T80" s="1089" t="s">
        <v>736</v>
      </c>
      <c r="U80" s="1089"/>
      <c r="V80" s="1089"/>
      <c r="W80" s="1089"/>
      <c r="X80" s="1089"/>
      <c r="Y80" s="1256"/>
      <c r="Z80" s="1092" t="s">
        <v>737</v>
      </c>
      <c r="AA80" s="1095"/>
      <c r="AB80" s="1092"/>
      <c r="AC80" s="1092"/>
      <c r="AD80" s="1092"/>
    </row>
    <row customHeight="1" ht="36">
      <c r="A81" s="1091"/>
      <c r="B81" s="1151">
        <v>64</v>
      </c>
      <c r="C81" s="1089" t="s">
        <v>713</v>
      </c>
      <c r="D81" s="1223"/>
      <c r="E81" s="1089"/>
      <c r="F81" s="1089"/>
      <c r="G81" s="1089"/>
      <c r="H81" s="1141"/>
      <c r="I81" s="1261" t="str">
        <f>INDEX(TEMPLATE_NUMBER_POINT_FHD,B81,MATCH(TEMPLATE_SPHERE,TEMPLATE_SPHERE_LIST_FOR_NOTE,0))</f>
        <v>9.1</v>
      </c>
      <c r="J81" s="1261" t="str">
        <f>INDEX(TEMPLATE_DATA_POINT_FHD,B81,MATCH(TEMPLATE_SPHERE,TEMPLATE_SPHERE_LIST_FOR_NOTE,0))</f>
        <v>Объем приобретаемой регулируемой организацией тепловой энергии в рамках осуществления регулируемых видов деятельности</v>
      </c>
      <c r="K81" s="1261" t="str">
        <f>INDEX(TEMPLATE_NOTE_POINT_FHD,B81,MATCH(TEMPLATE_SPHERE,TEMPLATE_SPHERE_LIST_FOR_NOTE,0))</f>
        <v>Информация указывается только едиными теплоснабжающими организациями.</v>
      </c>
      <c r="L81" s="1090" t="str">
        <f>IF(I81=0,"",I81)</f>
        <v>9.1</v>
      </c>
      <c r="M81" s="1090" t="str">
        <f>IF(J81=0,"",J81)</f>
        <v>Объем приобретаемой регулируемой организацией тепловой энергии в рамках осуществления регулируемых видов деятельности</v>
      </c>
      <c r="N81" s="1090" t="str">
        <f>IF(K81=0,"",K81)</f>
        <v>Информация указывается только едиными теплоснабжающими организациями.</v>
      </c>
      <c r="O81" s="1213" t="s">
        <v>598</v>
      </c>
      <c r="P81" s="1213"/>
      <c r="Q81" s="1213"/>
      <c r="R81" s="1213"/>
      <c r="S81" s="1213"/>
      <c r="T81" s="1089" t="s">
        <v>738</v>
      </c>
      <c r="U81" s="1089"/>
      <c r="V81" s="1089"/>
      <c r="W81" s="1089"/>
      <c r="X81" s="1089"/>
      <c r="Y81" s="1256"/>
      <c r="Z81" s="1092" t="s">
        <v>739</v>
      </c>
      <c r="AA81" s="1095"/>
      <c r="AB81" s="1092"/>
      <c r="AC81" s="1092"/>
      <c r="AD81" s="1092"/>
    </row>
    <row customHeight="1" ht="90">
      <c r="A82" s="1091"/>
      <c r="B82" s="1151">
        <v>65</v>
      </c>
      <c r="C82" s="1089" t="s">
        <v>722</v>
      </c>
      <c r="D82" s="1223"/>
      <c r="E82" s="1089"/>
      <c r="F82" s="1089"/>
      <c r="G82" s="1089"/>
      <c r="H82" s="1141"/>
      <c r="I82" s="1261" t="str">
        <f>INDEX(TEMPLATE_NUMBER_POINT_FHD,B82,MATCH(TEMPLATE_SPHERE,TEMPLATE_SPHERE_LIST_FOR_NOTE,0))</f>
        <v>10</v>
      </c>
      <c r="J82" s="1261" t="str">
        <f>INDEX(TEMPLATE_DATA_POINT_FHD,B82,MATCH(TEMPLATE_SPHERE,TEMPLATE_SPHERE_LIST_FOR_NOTE,0))</f>
        <v>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v>
      </c>
      <c r="K82" s="1261" t="str">
        <f>INDEX(TEMPLATE_NOTE_POINT_FHD,B82,MATCH(TEMPLATE_SPHERE,TEMPLATE_SPHERE_LIST_FOR_NOTE,0))</f>
        <v>Указывается общий объем тепловой энергии, отпускаемой потребителям.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v>
      </c>
      <c r="L82" s="1090" t="str">
        <f>IF(I82=0,"",I82)</f>
        <v>10</v>
      </c>
      <c r="M82" s="1090" t="str">
        <f>IF(J82=0,"",J82)</f>
        <v>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v>
      </c>
      <c r="N82" s="1090" t="str">
        <f>IF(K82=0,"",K82)</f>
        <v>Указывается общий объем тепловой энергии, отпускаемой потребителям.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v>
      </c>
      <c r="O82" s="1213" t="s">
        <v>139</v>
      </c>
      <c r="P82" s="1213"/>
      <c r="Q82" s="1213"/>
      <c r="R82" s="1213"/>
      <c r="S82" s="1213"/>
      <c r="T82" s="1089" t="s">
        <v>740</v>
      </c>
      <c r="U82" s="1089"/>
      <c r="V82" s="1089"/>
      <c r="W82" s="1089"/>
      <c r="X82" s="1089"/>
      <c r="Y82" s="1256"/>
      <c r="Z82" s="1092" t="s">
        <v>741</v>
      </c>
      <c r="AA82" s="1095"/>
      <c r="AB82" s="1092"/>
      <c r="AC82" s="1092"/>
      <c r="AD82" s="1092"/>
    </row>
    <row customHeight="1" ht="9">
      <c r="A83" s="1091"/>
      <c r="B83" s="1151">
        <v>66</v>
      </c>
      <c r="C83" s="1089"/>
      <c r="D83" s="1223"/>
      <c r="E83" s="1089"/>
      <c r="F83" s="1089"/>
      <c r="G83" s="1089"/>
      <c r="H83" s="1141"/>
      <c r="I83" s="1261" t="str">
        <f>INDEX(TEMPLATE_NUMBER_POINT_FHD,B83,MATCH(TEMPLATE_SPHERE,TEMPLATE_SPHERE_LIST_FOR_NOTE,0))</f>
        <v>10.1</v>
      </c>
      <c r="J83" s="1261" t="str">
        <f>INDEX(TEMPLATE_DATA_POINT_FHD,B83,MATCH(TEMPLATE_SPHERE,TEMPLATE_SPHERE_LIST_FOR_NOTE,0))</f>
        <v>По приборам учёта </v>
      </c>
      <c r="K83" s="1261">
        <f>INDEX(TEMPLATE_NOTE_POINT_FHD,B83,MATCH(TEMPLATE_SPHERE,TEMPLATE_SPHERE_LIST_FOR_NOTE,0))</f>
        <v>0</v>
      </c>
      <c r="L83" s="1090" t="str">
        <f>IF(I83=0,"",I83)</f>
        <v>10.1</v>
      </c>
      <c r="M83" s="1090" t="str">
        <f>IF(J83=0,"",J83)</f>
        <v>По приборам учёта </v>
      </c>
      <c r="N83" s="1090" t="str">
        <f>IF(K83=0,"",K83)</f>
        <v/>
      </c>
      <c r="O83" s="1213" t="s">
        <v>610</v>
      </c>
      <c r="P83" s="1213"/>
      <c r="Q83" s="1213"/>
      <c r="R83" s="1213"/>
      <c r="S83" s="1213"/>
      <c r="T83" s="1089" t="s">
        <v>742</v>
      </c>
      <c r="U83" s="1089"/>
      <c r="V83" s="1089"/>
      <c r="W83" s="1089"/>
      <c r="X83" s="1089"/>
      <c r="Y83" s="1256"/>
      <c r="Z83" s="1092"/>
      <c r="AA83" s="1095"/>
      <c r="AB83" s="1092"/>
      <c r="AC83" s="1092"/>
      <c r="AD83" s="1092"/>
    </row>
    <row customHeight="1" ht="54">
      <c r="A84" s="1091"/>
      <c r="B84" s="1151">
        <v>67</v>
      </c>
      <c r="C84" s="1089"/>
      <c r="D84" s="1223"/>
      <c r="E84" s="1089"/>
      <c r="F84" s="1089"/>
      <c r="G84" s="1089"/>
      <c r="H84" s="1141"/>
      <c r="I84" s="1261" t="str">
        <f>INDEX(TEMPLATE_NUMBER_POINT_FHD,B84,MATCH(TEMPLATE_SPHERE,TEMPLATE_SPHERE_LIST_FOR_NOTE,0))</f>
        <v>10.1.1</v>
      </c>
      <c r="J84" s="1261" t="str">
        <f>INDEX(TEMPLATE_DATA_POINT_FHD,B84,MATCH(TEMPLATE_SPHERE,TEMPLATE_SPHERE_LIST_FOR_NOTE,0))</f>
        <v>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v>
      </c>
      <c r="K84" s="1261">
        <f>INDEX(TEMPLATE_NOTE_POINT_FHD,B84,MATCH(TEMPLATE_SPHERE,TEMPLATE_SPHERE_LIST_FOR_NOTE,0))</f>
        <v>0</v>
      </c>
      <c r="L84" s="1090" t="str">
        <f>IF(I84=0,"",I84)</f>
        <v>10.1.1</v>
      </c>
      <c r="M84" s="1090" t="str">
        <f>IF(J84=0,"",J84)</f>
        <v>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v>
      </c>
      <c r="N84" s="1090" t="str">
        <f>IF(K84=0,"",K84)</f>
        <v/>
      </c>
      <c r="O84" s="1213" t="s">
        <v>743</v>
      </c>
      <c r="P84" s="1213"/>
      <c r="Q84" s="1213"/>
      <c r="R84" s="1213"/>
      <c r="S84" s="1213"/>
      <c r="T84" s="1089" t="s">
        <v>744</v>
      </c>
      <c r="U84" s="1089"/>
      <c r="V84" s="1089"/>
      <c r="W84" s="1089"/>
      <c r="X84" s="1089"/>
      <c r="Y84" s="1256"/>
      <c r="Z84" s="1092"/>
      <c r="AA84" s="1095"/>
      <c r="AB84" s="1092"/>
      <c r="AC84" s="1092"/>
      <c r="AD84" s="1092"/>
    </row>
    <row customHeight="1" ht="9">
      <c r="A85" s="1091"/>
      <c r="B85" s="1151">
        <v>68</v>
      </c>
      <c r="C85" s="1089"/>
      <c r="D85" s="1223"/>
      <c r="E85" s="1089"/>
      <c r="F85" s="1089"/>
      <c r="G85" s="1089"/>
      <c r="H85" s="1141"/>
      <c r="I85" s="1261" t="str">
        <f>INDEX(TEMPLATE_NUMBER_POINT_FHD,B85,MATCH(TEMPLATE_SPHERE,TEMPLATE_SPHERE_LIST_FOR_NOTE,0))</f>
        <v>10.2</v>
      </c>
      <c r="J85" s="1261" t="str">
        <f>INDEX(TEMPLATE_DATA_POINT_FHD,B85,MATCH(TEMPLATE_SPHERE,TEMPLATE_SPHERE_LIST_FOR_NOTE,0))</f>
        <v>Расчётным путём</v>
      </c>
      <c r="K85" s="1261">
        <f>INDEX(TEMPLATE_NOTE_POINT_FHD,B85,MATCH(TEMPLATE_SPHERE,TEMPLATE_SPHERE_LIST_FOR_NOTE,0))</f>
        <v>0</v>
      </c>
      <c r="L85" s="1090" t="str">
        <f>IF(I85=0,"",I85)</f>
        <v>10.2</v>
      </c>
      <c r="M85" s="1090" t="str">
        <f>IF(J85=0,"",J85)</f>
        <v>Расчётным путём</v>
      </c>
      <c r="N85" s="1090" t="str">
        <f>IF(K85=0,"",K85)</f>
        <v/>
      </c>
      <c r="O85" s="1213" t="s">
        <v>614</v>
      </c>
      <c r="P85" s="1213"/>
      <c r="Q85" s="1213"/>
      <c r="R85" s="1213"/>
      <c r="S85" s="1213"/>
      <c r="T85" s="1089" t="s">
        <v>745</v>
      </c>
      <c r="U85" s="1089"/>
      <c r="V85" s="1089"/>
      <c r="W85" s="1089"/>
      <c r="X85" s="1089"/>
      <c r="Y85" s="1256"/>
      <c r="Z85" s="1092"/>
      <c r="AA85" s="1095"/>
      <c r="AB85" s="1092"/>
      <c r="AC85" s="1092"/>
      <c r="AD85" s="1092"/>
    </row>
    <row customHeight="1" ht="27">
      <c r="A86" s="1091"/>
      <c r="B86" s="1151">
        <v>69</v>
      </c>
      <c r="C86" s="1089"/>
      <c r="D86" s="1223"/>
      <c r="E86" s="1089"/>
      <c r="F86" s="1089"/>
      <c r="G86" s="1089"/>
      <c r="H86" s="1141"/>
      <c r="I86" s="1261" t="str">
        <f>INDEX(TEMPLATE_NUMBER_POINT_FHD,B86,MATCH(TEMPLATE_SPHERE,TEMPLATE_SPHERE_LIST_FOR_NOTE,0))</f>
        <v>10.3</v>
      </c>
      <c r="J86" s="1261" t="str">
        <f>INDEX(TEMPLATE_DATA_POINT_FHD,B86,MATCH(TEMPLATE_SPHERE,TEMPLATE_SPHERE_LIST_FOR_NOTE,0))</f>
        <v>По нормативам потребления коммунальных услуг и нормативам потребления коммунальных ресурсов</v>
      </c>
      <c r="K86" s="1261">
        <f>INDEX(TEMPLATE_NOTE_POINT_FHD,B86,MATCH(TEMPLATE_SPHERE,TEMPLATE_SPHERE_LIST_FOR_NOTE,0))</f>
        <v>0</v>
      </c>
      <c r="L86" s="1090" t="str">
        <f>IF(I86=0,"",I86)</f>
        <v>10.3</v>
      </c>
      <c r="M86" s="1090" t="str">
        <f>IF(J86=0,"",J86)</f>
        <v>По нормативам потребления коммунальных услуг и нормативам потребления коммунальных ресурсов</v>
      </c>
      <c r="N86" s="1090" t="str">
        <f>IF(K86=0,"",K86)</f>
        <v/>
      </c>
      <c r="O86" s="1213" t="s">
        <v>746</v>
      </c>
      <c r="P86" s="1213"/>
      <c r="Q86" s="1213"/>
      <c r="R86" s="1213"/>
      <c r="S86" s="1213"/>
      <c r="T86" s="1089" t="s">
        <v>747</v>
      </c>
      <c r="U86" s="1089"/>
      <c r="V86" s="1089"/>
      <c r="W86" s="1089"/>
      <c r="X86" s="1089"/>
      <c r="Y86" s="1256"/>
      <c r="Z86" s="1092"/>
      <c r="AA86" s="1095"/>
      <c r="AB86" s="1092"/>
      <c r="AC86" s="1092"/>
      <c r="AD86" s="1092"/>
    </row>
    <row customHeight="1" ht="36">
      <c r="A87" s="1091"/>
      <c r="B87" s="1151">
        <v>70</v>
      </c>
      <c r="C87" s="1089" t="s">
        <v>748</v>
      </c>
      <c r="D87" s="1223"/>
      <c r="E87" s="1089"/>
      <c r="F87" s="1089"/>
      <c r="G87" s="1089"/>
      <c r="H87" s="1141"/>
      <c r="I87" s="1261" t="str">
        <f>INDEX(TEMPLATE_NUMBER_POINT_FHD,B87,MATCH(TEMPLATE_SPHERE,TEMPLATE_SPHERE_LIST_FOR_NOTE,0))</f>
        <v>11</v>
      </c>
      <c r="J87" s="1261" t="str">
        <f>INDEX(TEMPLATE_DATA_POINT_FHD,B87,MATCH(TEMPLATE_SPHERE,TEMPLATE_SPHERE_LIST_FOR_NOTE,0))</f>
        <v>Нормативы технологических потерь при передаче тепловой энергии, теплоносителя по тепловым сетям, утвержденные уполномоченным органом</v>
      </c>
      <c r="K87" s="1261">
        <f>INDEX(TEMPLATE_NOTE_POINT_FHD,B87,MATCH(TEMPLATE_SPHERE,TEMPLATE_SPHERE_LIST_FOR_NOTE,0))</f>
        <v>0</v>
      </c>
      <c r="L87" s="1090" t="str">
        <f>IF(I87=0,"",I87)</f>
        <v>11</v>
      </c>
      <c r="M87" s="1090" t="str">
        <f>IF(J87=0,"",J87)</f>
        <v>Нормативы технологических потерь при передаче тепловой энергии, теплоносителя по тепловым сетям, утвержденные уполномоченным органом</v>
      </c>
      <c r="N87" s="1090" t="str">
        <f>IF(K87=0,"",K87)</f>
        <v/>
      </c>
      <c r="O87" s="1213" t="s">
        <v>142</v>
      </c>
      <c r="P87" s="1213"/>
      <c r="Q87" s="1213"/>
      <c r="R87" s="1213"/>
      <c r="S87" s="1213"/>
      <c r="T87" s="1089" t="s">
        <v>749</v>
      </c>
      <c r="U87" s="1089"/>
      <c r="V87" s="1089"/>
      <c r="W87" s="1089"/>
      <c r="X87" s="1089"/>
      <c r="Y87" s="1256"/>
      <c r="Z87" s="1092"/>
      <c r="AA87" s="1095"/>
      <c r="AB87" s="1092"/>
      <c r="AC87" s="1092"/>
      <c r="AD87" s="1092"/>
    </row>
    <row customHeight="1" ht="18">
      <c r="A88" s="1091"/>
      <c r="B88" s="1151">
        <v>71</v>
      </c>
      <c r="C88" s="1089" t="s">
        <v>750</v>
      </c>
      <c r="D88" s="1223"/>
      <c r="E88" s="1089"/>
      <c r="F88" s="1089"/>
      <c r="G88" s="1089"/>
      <c r="H88" s="1141"/>
      <c r="I88" s="1261" t="str">
        <f>INDEX(TEMPLATE_NUMBER_POINT_FHD,B88,MATCH(TEMPLATE_SPHERE,TEMPLATE_SPHERE_LIST_FOR_NOTE,0))</f>
        <v>12</v>
      </c>
      <c r="J88" s="1261" t="str">
        <f>INDEX(TEMPLATE_DATA_POINT_FHD,B88,MATCH(TEMPLATE_SPHERE,TEMPLATE_SPHERE_LIST_FOR_NOTE,0))</f>
        <v>Фактический объем потерь при передаче тепловой энергии</v>
      </c>
      <c r="K88" s="1261">
        <f>INDEX(TEMPLATE_NOTE_POINT_FHD,B88,MATCH(TEMPLATE_SPHERE,TEMPLATE_SPHERE_LIST_FOR_NOTE,0))</f>
        <v>0</v>
      </c>
      <c r="L88" s="1090" t="str">
        <f>IF(I88=0,"",I88)</f>
        <v>12</v>
      </c>
      <c r="M88" s="1090" t="str">
        <f>IF(J88=0,"",J88)</f>
        <v>Фактический объем потерь при передаче тепловой энергии</v>
      </c>
      <c r="N88" s="1090" t="str">
        <f>IF(K88=0,"",K88)</f>
        <v/>
      </c>
      <c r="O88" s="1213" t="s">
        <v>145</v>
      </c>
      <c r="P88" s="1213"/>
      <c r="Q88" s="1213"/>
      <c r="R88" s="1213"/>
      <c r="S88" s="1213"/>
      <c r="T88" s="1089" t="s">
        <v>751</v>
      </c>
      <c r="U88" s="1089"/>
      <c r="V88" s="1089"/>
      <c r="W88" s="1089"/>
      <c r="X88" s="1089"/>
      <c r="Y88" s="1256"/>
      <c r="Z88" s="1092"/>
      <c r="AA88" s="1095"/>
      <c r="AB88" s="1092"/>
      <c r="AC88" s="1092"/>
      <c r="AD88" s="1092"/>
    </row>
    <row customHeight="1" ht="18">
      <c r="A89" s="1091"/>
      <c r="B89" s="1151">
        <v>72</v>
      </c>
      <c r="C89" s="1089" t="s">
        <v>752</v>
      </c>
      <c r="D89" s="1223" t="s">
        <v>748</v>
      </c>
      <c r="E89" s="1089" t="s">
        <v>748</v>
      </c>
      <c r="F89" s="1089" t="s">
        <v>713</v>
      </c>
      <c r="G89" s="1089"/>
      <c r="H89" s="1141"/>
      <c r="I89" s="1261" t="str">
        <f>INDEX(TEMPLATE_NUMBER_POINT_FHD,B89,MATCH(TEMPLATE_SPHERE,TEMPLATE_SPHERE_LIST_FOR_NOTE,0))</f>
        <v>13</v>
      </c>
      <c r="J89" s="1261" t="str">
        <f>INDEX(TEMPLATE_DATA_POINT_FHD,B89,MATCH(TEMPLATE_SPHERE,TEMPLATE_SPHERE_LIST_FOR_NOTE,0))</f>
        <v>Среднесписочная численность основного производственного персонала</v>
      </c>
      <c r="K89" s="1261">
        <f>INDEX(TEMPLATE_NOTE_POINT_FHD,B89,MATCH(TEMPLATE_SPHERE,TEMPLATE_SPHERE_LIST_FOR_NOTE,0))</f>
        <v>0</v>
      </c>
      <c r="L89" s="1090" t="str">
        <f>IF(I89=0,"",I89)</f>
        <v>13</v>
      </c>
      <c r="M89" s="1090" t="str">
        <f>IF(J89=0,"",J89)</f>
        <v>Среднесписочная численность основного производственного персонала</v>
      </c>
      <c r="N89" s="1090" t="str">
        <f>IF(K89=0,"",K89)</f>
        <v/>
      </c>
      <c r="O89" s="1213" t="s">
        <v>148</v>
      </c>
      <c r="P89" s="1213" t="s">
        <v>145</v>
      </c>
      <c r="Q89" s="1213" t="s">
        <v>145</v>
      </c>
      <c r="R89" s="1213" t="s">
        <v>139</v>
      </c>
      <c r="S89" s="1213"/>
      <c r="T89" s="1089" t="s">
        <v>753</v>
      </c>
      <c r="U89" s="1089" t="s">
        <v>753</v>
      </c>
      <c r="V89" s="1089" t="s">
        <v>753</v>
      </c>
      <c r="W89" s="1089" t="s">
        <v>753</v>
      </c>
      <c r="X89" s="1089"/>
      <c r="Y89" s="1256"/>
      <c r="Z89" s="1092"/>
      <c r="AA89" s="1095"/>
      <c r="AB89" s="1092"/>
      <c r="AC89" s="1092"/>
      <c r="AD89" s="1092"/>
    </row>
    <row customHeight="1" ht="27">
      <c r="A90" s="1091"/>
      <c r="B90" s="1151">
        <v>73</v>
      </c>
      <c r="C90" s="1089" t="s">
        <v>754</v>
      </c>
      <c r="D90" s="1223"/>
      <c r="E90" s="1089"/>
      <c r="F90" s="1089"/>
      <c r="G90" s="1089"/>
      <c r="H90" s="1141"/>
      <c r="I90" s="1261" t="str">
        <f>INDEX(TEMPLATE_NUMBER_POINT_FHD,B90,MATCH(TEMPLATE_SPHERE,TEMPLATE_SPHERE_LIST_FOR_NOTE,0))</f>
        <v>14</v>
      </c>
      <c r="J90" s="1261" t="str">
        <f>INDEX(TEMPLATE_DATA_POINT_FHD,B90,MATCH(TEMPLATE_SPHERE,TEMPLATE_SPHERE_LIST_FOR_NOTE,0))</f>
        <v>Среднесписочная численность административно-управленческого персонала</v>
      </c>
      <c r="K90" s="1261">
        <f>INDEX(TEMPLATE_NOTE_POINT_FHD,B90,MATCH(TEMPLATE_SPHERE,TEMPLATE_SPHERE_LIST_FOR_NOTE,0))</f>
        <v>0</v>
      </c>
      <c r="L90" s="1090" t="str">
        <f>IF(I90=0,"",I90)</f>
        <v>14</v>
      </c>
      <c r="M90" s="1090" t="str">
        <f>IF(J90=0,"",J90)</f>
        <v>Среднесписочная численность административно-управленческого персонала</v>
      </c>
      <c r="N90" s="1090" t="str">
        <f>IF(K90=0,"",K90)</f>
        <v/>
      </c>
      <c r="O90" s="1213" t="s">
        <v>151</v>
      </c>
      <c r="P90" s="1213"/>
      <c r="Q90" s="1213"/>
      <c r="R90" s="1213"/>
      <c r="S90" s="1213"/>
      <c r="T90" s="1089" t="s">
        <v>755</v>
      </c>
      <c r="U90" s="1089"/>
      <c r="V90" s="1089"/>
      <c r="W90" s="1089"/>
      <c r="X90" s="1089"/>
      <c r="Y90" s="1256"/>
      <c r="Z90" s="1092"/>
      <c r="AA90" s="1095"/>
      <c r="AB90" s="1092"/>
      <c r="AC90" s="1092"/>
      <c r="AD90" s="1092"/>
    </row>
    <row customHeight="1" ht="18">
      <c r="A91" s="1091"/>
      <c r="B91" s="1151">
        <v>74</v>
      </c>
      <c r="C91" s="1089"/>
      <c r="D91" s="1223" t="s">
        <v>750</v>
      </c>
      <c r="E91" s="1089" t="s">
        <v>750</v>
      </c>
      <c r="F91" s="1089"/>
      <c r="G91" s="1089"/>
      <c r="H91" s="1141"/>
      <c r="I91" s="1261">
        <f>INDEX(TEMPLATE_NUMBER_POINT_FHD,B91,MATCH(TEMPLATE_SPHERE,TEMPLATE_SPHERE_LIST_FOR_NOTE,0))</f>
        <v>0</v>
      </c>
      <c r="J91" s="1261">
        <f>INDEX(TEMPLATE_DATA_POINT_FHD,B91,MATCH(TEMPLATE_SPHERE,TEMPLATE_SPHERE_LIST_FOR_NOTE,0))</f>
        <v>0</v>
      </c>
      <c r="K91" s="1261">
        <f>INDEX(TEMPLATE_NOTE_POINT_FHD,B91,MATCH(TEMPLATE_SPHERE,TEMPLATE_SPHERE_LIST_FOR_NOTE,0))</f>
        <v>0</v>
      </c>
      <c r="L91" s="1090" t="str">
        <f>IF(I91=0,"",I91)</f>
        <v/>
      </c>
      <c r="M91" s="1090" t="str">
        <f>IF(J91=0,"",J91)</f>
        <v/>
      </c>
      <c r="N91" s="1090" t="str">
        <f>IF(K91=0,"",K91)</f>
        <v/>
      </c>
      <c r="O91" s="1213"/>
      <c r="P91" s="1213" t="s">
        <v>148</v>
      </c>
      <c r="Q91" s="1213" t="s">
        <v>148</v>
      </c>
      <c r="R91" s="1213"/>
      <c r="S91" s="1213"/>
      <c r="T91" s="1089"/>
      <c r="U91" s="1089" t="s">
        <v>756</v>
      </c>
      <c r="V91" s="1089" t="s">
        <v>756</v>
      </c>
      <c r="W91" s="1089"/>
      <c r="X91" s="1089"/>
      <c r="Y91" s="1256"/>
      <c r="Z91" s="1092"/>
      <c r="AA91" s="1095"/>
      <c r="AB91" s="1092"/>
      <c r="AC91" s="1092"/>
      <c r="AD91" s="1092"/>
    </row>
    <row customHeight="1" ht="27">
      <c r="A92" s="1091"/>
      <c r="B92" s="1151">
        <v>75</v>
      </c>
      <c r="C92" s="1089"/>
      <c r="D92" s="1223" t="s">
        <v>752</v>
      </c>
      <c r="E92" s="1089"/>
      <c r="F92" s="1089"/>
      <c r="G92" s="1089"/>
      <c r="H92" s="1141"/>
      <c r="I92" s="1261">
        <f>INDEX(TEMPLATE_NUMBER_POINT_FHD,B92,MATCH(TEMPLATE_SPHERE,TEMPLATE_SPHERE_LIST_FOR_NOTE,0))</f>
        <v>0</v>
      </c>
      <c r="J92" s="1261">
        <f>INDEX(TEMPLATE_DATA_POINT_FHD,B92,MATCH(TEMPLATE_SPHERE,TEMPLATE_SPHERE_LIST_FOR_NOTE,0))</f>
        <v>0</v>
      </c>
      <c r="K92" s="1261">
        <f>INDEX(TEMPLATE_NOTE_POINT_FHD,B92,MATCH(TEMPLATE_SPHERE,TEMPLATE_SPHERE_LIST_FOR_NOTE,0))</f>
        <v>0</v>
      </c>
      <c r="L92" s="1090" t="str">
        <f>IF(I92=0,"",I92)</f>
        <v/>
      </c>
      <c r="M92" s="1090" t="str">
        <f>IF(J92=0,"",J92)</f>
        <v/>
      </c>
      <c r="N92" s="1090" t="str">
        <f>IF(K92=0,"",K92)</f>
        <v/>
      </c>
      <c r="O92" s="1213"/>
      <c r="P92" s="1213" t="s">
        <v>151</v>
      </c>
      <c r="Q92" s="1213"/>
      <c r="R92" s="1213"/>
      <c r="S92" s="1213"/>
      <c r="T92" s="1089"/>
      <c r="U92" s="1089" t="s">
        <v>757</v>
      </c>
      <c r="V92" s="1089"/>
      <c r="W92" s="1089"/>
      <c r="X92" s="1089"/>
      <c r="Y92" s="1256"/>
      <c r="Z92" s="1092"/>
      <c r="AA92" s="1095" t="s">
        <v>758</v>
      </c>
      <c r="AB92" s="1092"/>
      <c r="AC92" s="1092"/>
      <c r="AD92" s="1092"/>
    </row>
    <row customHeight="1" ht="27">
      <c r="A93" s="1091"/>
      <c r="B93" s="1151">
        <v>76</v>
      </c>
      <c r="C93" s="1089"/>
      <c r="D93" s="1223"/>
      <c r="E93" s="1089"/>
      <c r="F93" s="1089"/>
      <c r="G93" s="1089"/>
      <c r="H93" s="1141"/>
      <c r="I93" s="1261">
        <f>INDEX(TEMPLATE_NUMBER_POINT_FHD,B93,MATCH(TEMPLATE_SPHERE,TEMPLATE_SPHERE_LIST_FOR_NOTE,0))</f>
        <v>0</v>
      </c>
      <c r="J93" s="1261">
        <f>INDEX(TEMPLATE_DATA_POINT_FHD,B93,MATCH(TEMPLATE_SPHERE,TEMPLATE_SPHERE_LIST_FOR_NOTE,0))</f>
        <v>0</v>
      </c>
      <c r="K93" s="1261">
        <f>INDEX(TEMPLATE_NOTE_POINT_FHD,B93,MATCH(TEMPLATE_SPHERE,TEMPLATE_SPHERE_LIST_FOR_NOTE,0))</f>
        <v>0</v>
      </c>
      <c r="L93" s="1090" t="str">
        <f>IF(I93=0,"",I93)</f>
        <v/>
      </c>
      <c r="M93" s="1090" t="str">
        <f>IF(J93=0,"",J93)</f>
        <v/>
      </c>
      <c r="N93" s="1090" t="str">
        <f>IF(K93=0,"",K93)</f>
        <v/>
      </c>
      <c r="O93" s="1213"/>
      <c r="P93" s="1213" t="s">
        <v>644</v>
      </c>
      <c r="Q93" s="1213"/>
      <c r="R93" s="1213"/>
      <c r="S93" s="1213"/>
      <c r="T93" s="1089"/>
      <c r="U93" s="1089" t="s">
        <v>759</v>
      </c>
      <c r="V93" s="1089"/>
      <c r="W93" s="1089"/>
      <c r="X93" s="1089"/>
      <c r="Y93" s="1256"/>
      <c r="Z93" s="1092"/>
      <c r="AA93" s="1095" t="s">
        <v>760</v>
      </c>
      <c r="AB93" s="1092"/>
      <c r="AC93" s="1092"/>
      <c r="AD93" s="1092"/>
    </row>
    <row customHeight="1" ht="45">
      <c r="A94" s="1091"/>
      <c r="B94" s="1151">
        <v>77</v>
      </c>
      <c r="C94" s="1089"/>
      <c r="D94" s="1223" t="s">
        <v>754</v>
      </c>
      <c r="E94" s="1089"/>
      <c r="F94" s="1089"/>
      <c r="G94" s="1089"/>
      <c r="H94" s="1141"/>
      <c r="I94" s="1261">
        <f>INDEX(TEMPLATE_NUMBER_POINT_FHD,B94,MATCH(TEMPLATE_SPHERE,TEMPLATE_SPHERE_LIST_FOR_NOTE,0))</f>
        <v>0</v>
      </c>
      <c r="J94" s="1261">
        <f>INDEX(TEMPLATE_DATA_POINT_FHD,B94,MATCH(TEMPLATE_SPHERE,TEMPLATE_SPHERE_LIST_FOR_NOTE,0))</f>
        <v>0</v>
      </c>
      <c r="K94" s="1261">
        <f>INDEX(TEMPLATE_NOTE_POINT_FHD,B94,MATCH(TEMPLATE_SPHERE,TEMPLATE_SPHERE_LIST_FOR_NOTE,0))</f>
        <v>0</v>
      </c>
      <c r="L94" s="1090" t="str">
        <f>IF(I94=0,"",I94)</f>
        <v/>
      </c>
      <c r="M94" s="1090" t="str">
        <f>IF(J94=0,"",J94)</f>
        <v/>
      </c>
      <c r="N94" s="1090" t="str">
        <f>IF(K94=0,"",K94)</f>
        <v/>
      </c>
      <c r="O94" s="1213"/>
      <c r="P94" s="1213" t="s">
        <v>154</v>
      </c>
      <c r="Q94" s="1213"/>
      <c r="R94" s="1213"/>
      <c r="S94" s="1213"/>
      <c r="T94" s="1089"/>
      <c r="U94" s="1089" t="s">
        <v>761</v>
      </c>
      <c r="V94" s="1089"/>
      <c r="W94" s="1089"/>
      <c r="X94" s="1089"/>
      <c r="Y94" s="1256"/>
      <c r="Z94" s="1092"/>
      <c r="AA94" s="1095" t="s">
        <v>762</v>
      </c>
      <c r="AB94" s="1092"/>
      <c r="AC94" s="1092"/>
      <c r="AD94" s="1092"/>
    </row>
    <row customHeight="1" ht="99">
      <c r="A95" s="1091"/>
      <c r="B95" s="1151">
        <v>78</v>
      </c>
      <c r="C95" s="1089" t="s">
        <v>763</v>
      </c>
      <c r="D95" s="1223"/>
      <c r="E95" s="1089"/>
      <c r="F95" s="1089"/>
      <c r="G95" s="1089"/>
      <c r="H95" s="1141"/>
      <c r="I95" s="1261" t="str">
        <f>INDEX(TEMPLATE_NUMBER_POINT_FHD,B95,MATCH(TEMPLATE_SPHERE,TEMPLATE_SPHERE_LIST_FOR_NOTE,0))</f>
        <v>15</v>
      </c>
      <c r="J95" s="1261" t="str">
        <f>INDEX(TEMPLATE_DATA_POINT_FHD,B95,MATCH(TEMPLATE_SPHERE,TEMPLATE_SPHERE_LIST_FOR_NOTE,0))</f>
        <v>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v>
      </c>
      <c r="K95" s="1261">
        <f>INDEX(TEMPLATE_NOTE_POINT_FHD,B95,MATCH(TEMPLATE_SPHERE,TEMPLATE_SPHERE_LIST_FOR_NOTE,0))</f>
        <v>0</v>
      </c>
      <c r="L95" s="1090" t="str">
        <f>IF(I95=0,"",I95)</f>
        <v>15</v>
      </c>
      <c r="M95" s="1090" t="str">
        <f>IF(J95=0,"",J95)</f>
        <v>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v>
      </c>
      <c r="N95" s="1090" t="str">
        <f>IF(K95=0,"",K95)</f>
        <v/>
      </c>
      <c r="O95" s="1213" t="s">
        <v>154</v>
      </c>
      <c r="P95" s="1213"/>
      <c r="Q95" s="1213"/>
      <c r="R95" s="1213"/>
      <c r="S95" s="1213"/>
      <c r="T95" s="1089" t="s">
        <v>764</v>
      </c>
      <c r="U95" s="1089"/>
      <c r="V95" s="1089"/>
      <c r="W95" s="1089"/>
      <c r="X95" s="1089"/>
      <c r="Y95" s="1256"/>
      <c r="Z95" s="1092"/>
      <c r="AA95" s="1095"/>
      <c r="AB95" s="1092"/>
      <c r="AC95" s="1092"/>
      <c r="AD95" s="1092"/>
    </row>
    <row customHeight="1" ht="99">
      <c r="A96" s="1091"/>
      <c r="B96" s="1151">
        <v>79</v>
      </c>
      <c r="C96" s="1089" t="s">
        <v>765</v>
      </c>
      <c r="D96" s="1223"/>
      <c r="E96" s="1089"/>
      <c r="F96" s="1089"/>
      <c r="G96" s="1089"/>
      <c r="H96" s="1141"/>
      <c r="I96" s="1261" t="str">
        <f>INDEX(TEMPLATE_NUMBER_POINT_FHD,B96,MATCH(TEMPLATE_SPHERE,TEMPLATE_SPHERE_LIST_FOR_NOTE,0))</f>
        <v>16</v>
      </c>
      <c r="J96" s="1261" t="str">
        <f>INDEX(TEMPLATE_DATA_POINT_FHD,B96,MATCH(TEMPLATE_SPHERE,TEMPLATE_SPHERE_LIST_FOR_NOTE,0))</f>
        <v>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v>
      </c>
      <c r="K96" s="1261" t="str">
        <f>INDEX(TEMPLATE_NOTE_POINT_FHD,B96,MATCH(TEMPLATE_SPHERE,TEMPLATE_SPHERE_LIST_FOR_NOTE,0))</f>
        <v>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v>
      </c>
      <c r="L96" s="1090" t="str">
        <f>IF(I96=0,"",I96)</f>
        <v>16</v>
      </c>
      <c r="M96" s="1090" t="str">
        <f>IF(J96=0,"",J96)</f>
        <v>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v>
      </c>
      <c r="N96" s="1090" t="str">
        <f>IF(K96=0,"",K96)</f>
        <v>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v>
      </c>
      <c r="O96" s="1213" t="s">
        <v>157</v>
      </c>
      <c r="P96" s="1213"/>
      <c r="Q96" s="1213"/>
      <c r="R96" s="1213"/>
      <c r="S96" s="1213"/>
      <c r="T96" s="1089" t="s">
        <v>766</v>
      </c>
      <c r="U96" s="1089"/>
      <c r="V96" s="1089"/>
      <c r="W96" s="1089"/>
      <c r="X96" s="1089"/>
      <c r="Y96" s="1256"/>
      <c r="Z96" s="1092" t="s">
        <v>767</v>
      </c>
      <c r="AA96" s="1095"/>
      <c r="AB96" s="1092"/>
      <c r="AC96" s="1092"/>
      <c r="AD96" s="1092"/>
    </row>
    <row customHeight="1" ht="63">
      <c r="A97" s="1091"/>
      <c r="B97" s="1151">
        <v>80</v>
      </c>
      <c r="C97" s="1089" t="s">
        <v>768</v>
      </c>
      <c r="D97" s="1223"/>
      <c r="E97" s="1089"/>
      <c r="F97" s="1089"/>
      <c r="G97" s="1089"/>
      <c r="H97" s="1141"/>
      <c r="I97" s="1261" t="str">
        <f>INDEX(TEMPLATE_NUMBER_POINT_FHD,B97,MATCH(TEMPLATE_SPHERE,TEMPLATE_SPHERE_LIST_FOR_NOTE,0))</f>
        <v>17</v>
      </c>
      <c r="J97" s="1261" t="str">
        <f>INDEX(TEMPLATE_DATA_POINT_FHD,B97,MATCH(TEMPLATE_SPHERE,TEMPLATE_SPHERE_LIST_FOR_NOTE,0))</f>
        <v>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v>
      </c>
      <c r="K97" s="1261" t="str">
        <f>INDEX(TEMPLATE_NOTE_POINT_FHD,B97,MATCH(TEMPLATE_SPHERE,TEMPLATE_SPHERE_LIST_FOR_NOTE,0))</f>
        <v>Регулируемыми организациями указывается информация с по договорам, заключенным в рамках осуществления регулируемой деятельности.</v>
      </c>
      <c r="L97" s="1090" t="str">
        <f>IF(I97=0,"",I97)</f>
        <v>17</v>
      </c>
      <c r="M97" s="1090" t="str">
        <f>IF(J97=0,"",J97)</f>
        <v>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v>
      </c>
      <c r="N97" s="1090" t="str">
        <f>IF(K97=0,"",K97)</f>
        <v>Регулируемыми организациями указывается информация с по договорам, заключенным в рамках осуществления регулируемой деятельности.</v>
      </c>
      <c r="O97" s="1213" t="s">
        <v>160</v>
      </c>
      <c r="P97" s="1213"/>
      <c r="Q97" s="1213"/>
      <c r="R97" s="1213"/>
      <c r="S97" s="1213"/>
      <c r="T97" s="1089" t="s">
        <v>769</v>
      </c>
      <c r="U97" s="1089"/>
      <c r="V97" s="1089"/>
      <c r="W97" s="1089"/>
      <c r="X97" s="1089"/>
      <c r="Y97" s="1256"/>
      <c r="Z97" s="1092" t="s">
        <v>770</v>
      </c>
      <c r="AA97" s="1095"/>
      <c r="AB97" s="1092"/>
      <c r="AC97" s="1092"/>
      <c r="AD97" s="1092"/>
    </row>
    <row customHeight="1" ht="63">
      <c r="A98" s="1091"/>
      <c r="B98" s="1151">
        <v>81</v>
      </c>
      <c r="C98" s="1089" t="s">
        <v>771</v>
      </c>
      <c r="D98" s="1223"/>
      <c r="E98" s="1089"/>
      <c r="F98" s="1089"/>
      <c r="G98" s="1089"/>
      <c r="H98" s="1141"/>
      <c r="I98" s="1261" t="str">
        <f>INDEX(TEMPLATE_NUMBER_POINT_FHD,B98,MATCH(TEMPLATE_SPHERE,TEMPLATE_SPHERE_LIST_FOR_NOTE,0))</f>
        <v>18</v>
      </c>
      <c r="J98" s="1261" t="str">
        <f>INDEX(TEMPLATE_DATA_POINT_FHD,B98,MATCH(TEMPLATE_SPHERE,TEMPLATE_SPHERE_LIST_FOR_NOTE,0))</f>
        <v>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v>
      </c>
      <c r="K98" s="1261" t="str">
        <f>INDEX(TEMPLATE_NOTE_POINT_FHD,B98,MATCH(TEMPLATE_SPHERE,TEMPLATE_SPHERE_LIST_FOR_NOTE,0))</f>
        <v>Регулируемыми организациями указывается информация с по договорам, заключенным в рамках осуществления регулируемой деятельности.</v>
      </c>
      <c r="L98" s="1090" t="str">
        <f>IF(I98=0,"",I98)</f>
        <v>18</v>
      </c>
      <c r="M98" s="1090" t="str">
        <f>IF(J98=0,"",J98)</f>
        <v>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v>
      </c>
      <c r="N98" s="1090" t="str">
        <f>IF(K98=0,"",K98)</f>
        <v>Регулируемыми организациями указывается информация с по договорам, заключенным в рамках осуществления регулируемой деятельности.</v>
      </c>
      <c r="O98" s="1213" t="s">
        <v>163</v>
      </c>
      <c r="P98" s="1213"/>
      <c r="Q98" s="1213"/>
      <c r="R98" s="1213"/>
      <c r="S98" s="1213"/>
      <c r="T98" s="1089" t="s">
        <v>772</v>
      </c>
      <c r="U98" s="1089"/>
      <c r="V98" s="1089"/>
      <c r="W98" s="1089"/>
      <c r="X98" s="1089"/>
      <c r="Y98" s="1256"/>
      <c r="Z98" s="1092" t="s">
        <v>770</v>
      </c>
      <c r="AA98" s="1095"/>
      <c r="AB98" s="1092"/>
      <c r="AC98" s="1092"/>
      <c r="AD98" s="1092"/>
    </row>
    <row customHeight="1" ht="90">
      <c r="A99" s="1091"/>
      <c r="B99" s="1151">
        <v>82</v>
      </c>
      <c r="C99" s="1089" t="s">
        <v>773</v>
      </c>
      <c r="D99" s="1223"/>
      <c r="E99" s="1089"/>
      <c r="F99" s="1089"/>
      <c r="G99" s="1089"/>
      <c r="H99" s="1141"/>
      <c r="I99" s="1261" t="str">
        <f>INDEX(TEMPLATE_NUMBER_POINT_FHD,B99,MATCH(TEMPLATE_SPHERE,TEMPLATE_SPHERE_LIST_FOR_NOTE,0))</f>
        <v>19</v>
      </c>
      <c r="J99" s="1261" t="str">
        <f>INDEX(TEMPLATE_DATA_POINT_FHD,B99,MATCH(TEMPLATE_SPHERE,TEMPLATE_SPHERE_LIST_FOR_NOTE,0))</f>
        <v>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v>
      </c>
      <c r="K99" s="1261" t="str">
        <f>INDEX(TEMPLATE_NOTE_POINT_FHD,B99,MATCH(TEMPLATE_SPHERE,TEMPLATE_SPHERE_LIST_FOR_NOTE,0))</f>
        <v>Указывается ссылка на документ, предварительно загруженный в хранилище файлов ФГИС ЕИАС.</v>
      </c>
      <c r="L99" s="1090" t="str">
        <f>IF(I99=0,"",I99)</f>
        <v>19</v>
      </c>
      <c r="M99" s="1090" t="str">
        <f>IF(J99=0,"",J99)</f>
        <v>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v>
      </c>
      <c r="N99" s="1090" t="str">
        <f>IF(K99=0,"",K99)</f>
        <v>Указывается ссылка на документ, предварительно загруженный в хранилище файлов ФГИС ЕИАС.</v>
      </c>
      <c r="O99" s="1213" t="s">
        <v>166</v>
      </c>
      <c r="P99" s="1213"/>
      <c r="Q99" s="1213"/>
      <c r="R99" s="1213"/>
      <c r="S99" s="1213"/>
      <c r="T99" s="1089" t="s">
        <v>774</v>
      </c>
      <c r="U99" s="1089"/>
      <c r="V99" s="1089"/>
      <c r="W99" s="1089"/>
      <c r="X99" s="1089"/>
      <c r="Y99" s="1256"/>
      <c r="Z99" s="1092" t="s">
        <v>775</v>
      </c>
      <c r="AA99" s="1095"/>
      <c r="AB99" s="1092"/>
      <c r="AC99" s="1092"/>
      <c r="AD99" s="1092"/>
    </row>
    <row customHeight="1" ht="27">
      <c r="A100" s="1091"/>
      <c r="B100" s="1151">
        <v>83</v>
      </c>
      <c r="C100" s="1089"/>
      <c r="D100" s="1223"/>
      <c r="E100" s="1089"/>
      <c r="F100" s="1089"/>
      <c r="G100" s="1089"/>
      <c r="H100" s="1141"/>
      <c r="I100" s="1261" t="str">
        <f>INDEX(TEMPLATE_NUMBER_POINT_FHD,B100,MATCH(TEMPLATE_SPHERE,TEMPLATE_SPHERE_LIST_FOR_NOTE,0))</f>
        <v>19.1</v>
      </c>
      <c r="J100" s="1261" t="str">
        <f>INDEX(TEMPLATE_DATA_POINT_FHD,B100,MATCH(TEMPLATE_SPHERE,TEMPLATE_SPHERE_LIST_FOR_NOTE,0))</f>
        <v>Информация о показателях физического износа объектов теплоснабжения</v>
      </c>
      <c r="K100" s="1261" t="str">
        <f>INDEX(TEMPLATE_NOTE_POINT_FHD,B100,MATCH(TEMPLATE_SPHERE,TEMPLATE_SPHERE_LIST_FOR_NOTE,0))</f>
        <v>Указывается ссылка на документ, предварительно загруженный в хранилище файлов ФГИС ЕИАС.</v>
      </c>
      <c r="L100" s="1090" t="str">
        <f>IF(I100=0,"",I100)</f>
        <v>19.1</v>
      </c>
      <c r="M100" s="1090" t="str">
        <f>IF(J100=0,"",J100)</f>
        <v>Информация о показателях физического износа объектов теплоснабжения</v>
      </c>
      <c r="N100" s="1090" t="str">
        <f>IF(K100=0,"",K100)</f>
        <v>Указывается ссылка на документ, предварительно загруженный в хранилище файлов ФГИС ЕИАС.</v>
      </c>
      <c r="O100" s="1213" t="s">
        <v>776</v>
      </c>
      <c r="P100" s="1213"/>
      <c r="Q100" s="1213"/>
      <c r="R100" s="1213"/>
      <c r="S100" s="1213"/>
      <c r="T100" s="1089" t="s">
        <v>777</v>
      </c>
      <c r="U100" s="1089"/>
      <c r="V100" s="1089"/>
      <c r="W100" s="1089"/>
      <c r="X100" s="1089"/>
      <c r="Y100" s="1256"/>
      <c r="Z100" s="1092" t="s">
        <v>775</v>
      </c>
      <c r="AA100" s="1095"/>
      <c r="AB100" s="1092"/>
      <c r="AC100" s="1092"/>
      <c r="AD100" s="1092"/>
    </row>
    <row customHeight="1" ht="27">
      <c r="A101" s="1091"/>
      <c r="B101" s="1151">
        <v>84</v>
      </c>
      <c r="C101" s="1089"/>
      <c r="D101" s="1223"/>
      <c r="E101" s="1089"/>
      <c r="F101" s="1089"/>
      <c r="G101" s="1089"/>
      <c r="H101" s="1141"/>
      <c r="I101" s="1261" t="str">
        <f>INDEX(TEMPLATE_NUMBER_POINT_FHD,B101,MATCH(TEMPLATE_SPHERE,TEMPLATE_SPHERE_LIST_FOR_NOTE,0))</f>
        <v>19.2</v>
      </c>
      <c r="J101" s="1261" t="str">
        <f>INDEX(TEMPLATE_DATA_POINT_FHD,B101,MATCH(TEMPLATE_SPHERE,TEMPLATE_SPHERE_LIST_FOR_NOTE,0))</f>
        <v>Информация о показателях энергетической эффективности объектов теплоснабжения</v>
      </c>
      <c r="K101" s="1261" t="str">
        <f>INDEX(TEMPLATE_NOTE_POINT_FHD,B101,MATCH(TEMPLATE_SPHERE,TEMPLATE_SPHERE_LIST_FOR_NOTE,0))</f>
        <v>Указывается ссылка на документ, предварительно загруженный в хранилище файлов ФГИС ЕИАС.</v>
      </c>
      <c r="L101" s="1090" t="str">
        <f>IF(I101=0,"",I101)</f>
        <v>19.2</v>
      </c>
      <c r="M101" s="1090" t="str">
        <f>IF(J101=0,"",J101)</f>
        <v>Информация о показателях энергетической эффективности объектов теплоснабжения</v>
      </c>
      <c r="N101" s="1090" t="str">
        <f>IF(K101=0,"",K101)</f>
        <v>Указывается ссылка на документ, предварительно загруженный в хранилище файлов ФГИС ЕИАС.</v>
      </c>
      <c r="O101" s="1213" t="s">
        <v>778</v>
      </c>
      <c r="P101" s="1213"/>
      <c r="Q101" s="1213"/>
      <c r="R101" s="1213"/>
      <c r="S101" s="1213"/>
      <c r="T101" s="1089" t="s">
        <v>779</v>
      </c>
      <c r="U101" s="1089"/>
      <c r="V101" s="1089"/>
      <c r="W101" s="1089"/>
      <c r="X101" s="1089"/>
      <c r="Y101" s="1256"/>
      <c r="Z101" s="1092" t="s">
        <v>775</v>
      </c>
      <c r="AA101" s="1095"/>
      <c r="AB101" s="1092"/>
      <c r="AC101" s="1092"/>
      <c r="AD101" s="1092"/>
    </row>
    <row customHeight="1" ht="9">
      <c r="A102" s="1091"/>
      <c r="B102" s="1091"/>
      <c r="C102" s="1089"/>
      <c r="D102" s="1089"/>
      <c r="E102" s="1089"/>
      <c r="F102" s="1089"/>
      <c r="G102" s="1089"/>
      <c r="H102" s="1141"/>
      <c r="I102" s="1141"/>
      <c r="J102" s="1141"/>
      <c r="K102" s="1141"/>
      <c r="L102" s="1141"/>
      <c r="M102" s="1089"/>
      <c r="N102" s="1140"/>
      <c r="O102" s="1213"/>
      <c r="P102" s="1213"/>
      <c r="Q102" s="1213"/>
      <c r="R102" s="1213"/>
      <c r="S102" s="1089"/>
      <c r="T102" s="1089"/>
      <c r="U102" s="1089"/>
      <c r="V102" s="1089"/>
      <c r="W102" s="1089"/>
      <c r="X102" s="1089"/>
      <c r="Y102" s="1256"/>
      <c r="Z102" s="1092"/>
      <c r="AA102" s="1095"/>
      <c r="AB102" s="1092"/>
      <c r="AC102" s="1092"/>
      <c r="AD102" s="1092"/>
    </row>
    <row customHeight="1" ht="9">
      <c r="A103" s="1091"/>
      <c r="B103" s="1091"/>
      <c r="C103" s="1089"/>
      <c r="D103" s="1089"/>
      <c r="E103" s="1089"/>
      <c r="F103" s="1089"/>
      <c r="G103" s="1089"/>
      <c r="H103" s="1141"/>
      <c r="I103" s="1141"/>
      <c r="J103" s="1141"/>
      <c r="K103" s="1141"/>
      <c r="L103" s="1141"/>
      <c r="M103" s="1089"/>
      <c r="N103" s="1140"/>
      <c r="O103" s="1213"/>
      <c r="P103" s="1213"/>
      <c r="Q103" s="1213"/>
      <c r="R103" s="1213"/>
      <c r="S103" s="1089"/>
      <c r="T103" s="1089"/>
      <c r="U103" s="1089"/>
      <c r="V103" s="1089"/>
      <c r="W103" s="1089"/>
      <c r="X103" s="1089"/>
      <c r="Y103" s="1256"/>
      <c r="Z103" s="1092"/>
      <c r="AA103" s="1095"/>
      <c r="AB103" s="1092"/>
      <c r="AC103" s="1092"/>
      <c r="AD103" s="1092"/>
    </row>
    <row customHeight="1" ht="9">
      <c r="A104" s="1091"/>
      <c r="B104" s="1091"/>
      <c r="C104" s="1089"/>
      <c r="D104" s="1089"/>
      <c r="E104" s="1089"/>
      <c r="F104" s="1089"/>
      <c r="G104" s="1089"/>
      <c r="H104" s="1141"/>
      <c r="I104" s="1141"/>
      <c r="J104" s="1141"/>
      <c r="K104" s="1141"/>
      <c r="L104" s="1141"/>
      <c r="M104" s="1089"/>
      <c r="N104" s="1140"/>
      <c r="O104" s="1213"/>
      <c r="P104" s="1213"/>
      <c r="Q104" s="1213"/>
      <c r="R104" s="1213"/>
      <c r="S104" s="1089"/>
      <c r="T104" s="1089"/>
      <c r="U104" s="1089"/>
      <c r="V104" s="1089"/>
      <c r="W104" s="1089"/>
      <c r="X104" s="1089"/>
      <c r="Y104" s="1256"/>
      <c r="Z104" s="1092"/>
      <c r="AA104" s="1095"/>
      <c r="AB104" s="1092"/>
      <c r="AC104" s="1092"/>
      <c r="AD104" s="1092"/>
    </row>
    <row customHeight="1" ht="9">
      <c r="A105" s="1091"/>
      <c r="B105" s="1091"/>
      <c r="C105" s="1089"/>
      <c r="D105" s="1089"/>
      <c r="E105" s="1089"/>
      <c r="F105" s="1089"/>
      <c r="G105" s="1089"/>
      <c r="H105" s="1141"/>
      <c r="I105" s="1141"/>
      <c r="J105" s="1141"/>
      <c r="K105" s="1141"/>
      <c r="L105" s="1141"/>
      <c r="M105" s="1089"/>
      <c r="N105" s="1140"/>
      <c r="O105" s="1213"/>
      <c r="P105" s="1213"/>
      <c r="Q105" s="1213"/>
      <c r="R105" s="1213"/>
      <c r="S105" s="1089"/>
      <c r="T105" s="1089"/>
      <c r="U105" s="1089"/>
      <c r="V105" s="1089"/>
      <c r="W105" s="1089"/>
      <c r="X105" s="1089"/>
      <c r="Y105" s="1256"/>
      <c r="Z105" s="1092"/>
      <c r="AA105" s="1095"/>
      <c r="AB105" s="1092"/>
      <c r="AC105" s="1092"/>
      <c r="AD105" s="1092"/>
    </row>
    <row customHeight="1" ht="9">
      <c r="A106" s="1091"/>
      <c r="B106" s="1091"/>
      <c r="C106" s="1089"/>
      <c r="D106" s="1089"/>
      <c r="E106" s="1089"/>
      <c r="F106" s="1089"/>
      <c r="G106" s="1089"/>
      <c r="H106" s="1141"/>
      <c r="I106" s="1141"/>
      <c r="J106" s="1141"/>
      <c r="K106" s="1141"/>
      <c r="L106" s="1141"/>
      <c r="M106" s="1089"/>
      <c r="N106" s="1140"/>
      <c r="O106" s="1213"/>
      <c r="P106" s="1213"/>
      <c r="Q106" s="1213"/>
      <c r="R106" s="1213"/>
      <c r="S106" s="1089"/>
      <c r="T106" s="1089"/>
      <c r="U106" s="1089"/>
      <c r="V106" s="1089"/>
      <c r="W106" s="1089"/>
      <c r="X106" s="1089"/>
      <c r="Y106" s="1256"/>
      <c r="Z106" s="1092"/>
      <c r="AA106" s="1095"/>
      <c r="AB106" s="1092"/>
      <c r="AC106" s="1092"/>
      <c r="AD106" s="1092"/>
    </row>
    <row customHeight="1" ht="9">
      <c r="A107" s="1091"/>
      <c r="B107" s="1091"/>
      <c r="C107" s="1089"/>
      <c r="D107" s="1089"/>
      <c r="E107" s="1089"/>
      <c r="F107" s="1089"/>
      <c r="G107" s="1089"/>
      <c r="H107" s="1141"/>
      <c r="I107" s="1141"/>
      <c r="J107" s="1141"/>
      <c r="K107" s="1141"/>
      <c r="L107" s="1141"/>
      <c r="M107" s="1089"/>
      <c r="N107" s="1140"/>
      <c r="O107" s="1213"/>
      <c r="P107" s="1213"/>
      <c r="Q107" s="1213"/>
      <c r="R107" s="1213"/>
      <c r="S107" s="1089"/>
      <c r="T107" s="1089"/>
      <c r="U107" s="1089"/>
      <c r="V107" s="1089"/>
      <c r="W107" s="1089"/>
      <c r="X107" s="1089"/>
      <c r="Y107" s="1256"/>
      <c r="Z107" s="1092"/>
      <c r="AA107" s="1095"/>
      <c r="AB107" s="1092"/>
      <c r="AC107" s="1092"/>
      <c r="AD107" s="1092"/>
    </row>
    <row customHeight="1" ht="9">
      <c r="A108" s="1091"/>
      <c r="B108" s="1091"/>
      <c r="C108" s="1089"/>
      <c r="D108" s="1089"/>
      <c r="E108" s="1089"/>
      <c r="F108" s="1089"/>
      <c r="G108" s="1089"/>
      <c r="H108" s="1141"/>
      <c r="I108" s="1141"/>
      <c r="J108" s="1141"/>
      <c r="K108" s="1141"/>
      <c r="L108" s="1141"/>
      <c r="M108" s="1089"/>
      <c r="N108" s="1140"/>
      <c r="O108" s="1213"/>
      <c r="P108" s="1213"/>
      <c r="Q108" s="1213"/>
      <c r="R108" s="1213"/>
      <c r="S108" s="1089"/>
      <c r="T108" s="1089"/>
      <c r="U108" s="1089"/>
      <c r="V108" s="1089"/>
      <c r="W108" s="1089"/>
      <c r="X108" s="1089"/>
      <c r="Y108" s="1256"/>
      <c r="Z108" s="1092"/>
      <c r="AA108" s="1095"/>
      <c r="AB108" s="1092"/>
      <c r="AC108" s="1092"/>
      <c r="AD108" s="1092"/>
    </row>
    <row customHeight="1" ht="9">
      <c r="A109" s="1091"/>
      <c r="B109" s="1091"/>
      <c r="C109" s="1089"/>
      <c r="D109" s="1089"/>
      <c r="E109" s="1089"/>
      <c r="F109" s="1089"/>
      <c r="G109" s="1089"/>
      <c r="H109" s="1141"/>
      <c r="I109" s="1141"/>
      <c r="J109" s="1141"/>
      <c r="K109" s="1141"/>
      <c r="L109" s="1141"/>
      <c r="M109" s="1089"/>
      <c r="N109" s="1140"/>
      <c r="O109" s="1213"/>
      <c r="P109" s="1213"/>
      <c r="Q109" s="1213"/>
      <c r="R109" s="1213"/>
      <c r="S109" s="1089"/>
      <c r="T109" s="1089"/>
      <c r="U109" s="1089"/>
      <c r="V109" s="1089"/>
      <c r="W109" s="1089"/>
      <c r="X109" s="1089"/>
      <c r="Y109" s="1256"/>
      <c r="Z109" s="1092"/>
      <c r="AA109" s="1095"/>
      <c r="AB109" s="1092"/>
      <c r="AC109" s="1092"/>
      <c r="AD109" s="1092"/>
    </row>
    <row customHeight="1" ht="9">
      <c r="A110" s="1091"/>
      <c r="B110" s="1091"/>
      <c r="C110" s="1089"/>
      <c r="D110" s="1089"/>
      <c r="E110" s="1089"/>
      <c r="F110" s="1089"/>
      <c r="G110" s="1089"/>
      <c r="H110" s="1141"/>
      <c r="I110" s="1141"/>
      <c r="J110" s="1141"/>
      <c r="K110" s="1141"/>
      <c r="L110" s="1141"/>
      <c r="M110" s="1089"/>
      <c r="N110" s="1140"/>
      <c r="O110" s="1213"/>
      <c r="P110" s="1213"/>
      <c r="Q110" s="1213"/>
      <c r="R110" s="1213"/>
      <c r="S110" s="1089"/>
      <c r="T110" s="1089"/>
      <c r="U110" s="1089"/>
      <c r="V110" s="1089"/>
      <c r="W110" s="1089"/>
      <c r="X110" s="1089"/>
      <c r="Y110" s="1256"/>
      <c r="Z110" s="1092"/>
      <c r="AA110" s="1095"/>
      <c r="AB110" s="1092"/>
      <c r="AC110" s="1092"/>
      <c r="AD110" s="1092"/>
    </row>
    <row customHeight="1" ht="9">
      <c r="A111" s="1091"/>
      <c r="B111" s="1091"/>
      <c r="C111" s="1089"/>
      <c r="D111" s="1089"/>
      <c r="E111" s="1089"/>
      <c r="F111" s="1089"/>
      <c r="G111" s="1089"/>
      <c r="H111" s="1141"/>
      <c r="I111" s="1141"/>
      <c r="J111" s="1141"/>
      <c r="K111" s="1141"/>
      <c r="L111" s="1141"/>
      <c r="M111" s="1089"/>
      <c r="N111" s="1140"/>
      <c r="O111" s="1213"/>
      <c r="P111" s="1213"/>
      <c r="Q111" s="1213"/>
      <c r="R111" s="1213"/>
      <c r="S111" s="1089"/>
      <c r="T111" s="1089"/>
      <c r="U111" s="1089"/>
      <c r="V111" s="1089"/>
      <c r="W111" s="1089"/>
      <c r="X111" s="1089"/>
      <c r="Y111" s="1256"/>
      <c r="Z111" s="1092"/>
      <c r="AA111" s="1095"/>
      <c r="AB111" s="1092"/>
      <c r="AC111" s="1092"/>
      <c r="AD111" s="1092"/>
    </row>
    <row customHeight="1" ht="9">
      <c r="A112" s="1091"/>
      <c r="B112" s="1091"/>
      <c r="C112" s="1089"/>
      <c r="D112" s="1089"/>
      <c r="E112" s="1089"/>
      <c r="F112" s="1089"/>
      <c r="G112" s="1089"/>
      <c r="H112" s="1141"/>
      <c r="I112" s="1141"/>
      <c r="J112" s="1141"/>
      <c r="K112" s="1141"/>
      <c r="L112" s="1141"/>
      <c r="M112" s="1089"/>
      <c r="N112" s="1140"/>
      <c r="O112" s="1213"/>
      <c r="P112" s="1213"/>
      <c r="Q112" s="1213"/>
      <c r="R112" s="1213"/>
      <c r="S112" s="1089"/>
      <c r="T112" s="1089"/>
      <c r="U112" s="1089"/>
      <c r="V112" s="1089"/>
      <c r="W112" s="1089"/>
      <c r="X112" s="1089"/>
      <c r="Y112" s="1256"/>
      <c r="Z112" s="1092"/>
      <c r="AA112" s="1095"/>
      <c r="AB112" s="1092"/>
      <c r="AC112" s="1092"/>
      <c r="AD112" s="1092"/>
    </row>
    <row customHeight="1" ht="9">
      <c r="A113" s="1091"/>
      <c r="B113" s="1091"/>
      <c r="C113" s="1089"/>
      <c r="D113" s="1089"/>
      <c r="E113" s="1089"/>
      <c r="F113" s="1089"/>
      <c r="G113" s="1089"/>
      <c r="H113" s="1141"/>
      <c r="I113" s="1141"/>
      <c r="J113" s="1141"/>
      <c r="K113" s="1141"/>
      <c r="L113" s="1141"/>
      <c r="M113" s="1089"/>
      <c r="N113" s="1140"/>
      <c r="O113" s="1213"/>
      <c r="P113" s="1213"/>
      <c r="Q113" s="1213"/>
      <c r="R113" s="1213"/>
      <c r="S113" s="1089"/>
      <c r="T113" s="1089"/>
      <c r="U113" s="1089"/>
      <c r="V113" s="1089"/>
      <c r="W113" s="1089"/>
      <c r="X113" s="1089"/>
      <c r="Y113" s="1256"/>
      <c r="Z113" s="1092"/>
      <c r="AA113" s="1095"/>
      <c r="AB113" s="1092"/>
      <c r="AC113" s="1092"/>
      <c r="AD113" s="1092"/>
    </row>
    <row customHeight="1" ht="9">
      <c r="A114" s="1091"/>
      <c r="B114" s="1091"/>
      <c r="C114" s="1089"/>
      <c r="D114" s="1089"/>
      <c r="E114" s="1089"/>
      <c r="F114" s="1089"/>
      <c r="G114" s="1089"/>
      <c r="H114" s="1141"/>
      <c r="I114" s="1141"/>
      <c r="J114" s="1141"/>
      <c r="K114" s="1141"/>
      <c r="L114" s="1141"/>
      <c r="M114" s="1089"/>
      <c r="N114" s="1140"/>
      <c r="O114" s="1213"/>
      <c r="P114" s="1213"/>
      <c r="Q114" s="1213"/>
      <c r="R114" s="1213"/>
      <c r="S114" s="1089"/>
      <c r="T114" s="1089"/>
      <c r="U114" s="1089"/>
      <c r="V114" s="1089"/>
      <c r="W114" s="1089"/>
      <c r="X114" s="1089"/>
      <c r="Y114" s="1256"/>
      <c r="Z114" s="1092"/>
      <c r="AA114" s="1095"/>
      <c r="AB114" s="1092"/>
      <c r="AC114" s="1092"/>
      <c r="AD114" s="1092"/>
    </row>
    <row customHeight="1" ht="9">
      <c r="A115" s="1091"/>
      <c r="B115" s="1091"/>
      <c r="C115" s="1089"/>
      <c r="D115" s="1089"/>
      <c r="E115" s="1089"/>
      <c r="F115" s="1089"/>
      <c r="G115" s="1089"/>
      <c r="H115" s="1141"/>
      <c r="I115" s="1141"/>
      <c r="J115" s="1141"/>
      <c r="K115" s="1141"/>
      <c r="L115" s="1141"/>
      <c r="M115" s="1089"/>
      <c r="N115" s="1140"/>
      <c r="O115" s="1213"/>
      <c r="P115" s="1213"/>
      <c r="Q115" s="1213"/>
      <c r="R115" s="1213"/>
      <c r="S115" s="1089"/>
      <c r="T115" s="1089"/>
      <c r="U115" s="1089"/>
      <c r="V115" s="1089"/>
      <c r="W115" s="1089"/>
      <c r="X115" s="1089"/>
      <c r="Y115" s="1256"/>
      <c r="Z115" s="1092"/>
      <c r="AA115" s="1095"/>
      <c r="AB115" s="1092"/>
      <c r="AC115" s="1092"/>
      <c r="AD115" s="1092"/>
    </row>
    <row customHeight="1" ht="9">
      <c r="A116" s="1091"/>
      <c r="B116" s="1091"/>
      <c r="C116" s="1089"/>
      <c r="D116" s="1089"/>
      <c r="E116" s="1089"/>
      <c r="F116" s="1089"/>
      <c r="G116" s="1089"/>
      <c r="H116" s="1141"/>
      <c r="I116" s="1141"/>
      <c r="J116" s="1141"/>
      <c r="K116" s="1141"/>
      <c r="L116" s="1141"/>
      <c r="M116" s="1089"/>
      <c r="N116" s="1140"/>
      <c r="O116" s="1213"/>
      <c r="P116" s="1213"/>
      <c r="Q116" s="1213"/>
      <c r="R116" s="1213"/>
      <c r="S116" s="1089"/>
      <c r="T116" s="1089"/>
      <c r="U116" s="1089"/>
      <c r="V116" s="1089"/>
      <c r="W116" s="1089"/>
      <c r="X116" s="1089"/>
      <c r="Y116" s="1256"/>
      <c r="Z116" s="1092"/>
      <c r="AA116" s="1095"/>
      <c r="AB116" s="1092"/>
      <c r="AC116" s="1092"/>
      <c r="AD116" s="1092"/>
    </row>
    <row customHeight="1" ht="9">
      <c r="A117" s="1091"/>
      <c r="B117" s="1091"/>
      <c r="C117" s="1089"/>
      <c r="D117" s="1089"/>
      <c r="E117" s="1089"/>
      <c r="F117" s="1089"/>
      <c r="G117" s="1089"/>
      <c r="H117" s="1141"/>
      <c r="I117" s="1141"/>
      <c r="J117" s="1141"/>
      <c r="K117" s="1141"/>
      <c r="L117" s="1141"/>
      <c r="M117" s="1089"/>
      <c r="N117" s="1140"/>
      <c r="O117" s="1213"/>
      <c r="P117" s="1213"/>
      <c r="Q117" s="1213"/>
      <c r="R117" s="1213"/>
      <c r="S117" s="1089"/>
      <c r="T117" s="1089"/>
      <c r="U117" s="1089"/>
      <c r="V117" s="1089"/>
      <c r="W117" s="1089"/>
      <c r="X117" s="1089"/>
      <c r="Y117" s="1256"/>
      <c r="Z117" s="1092"/>
      <c r="AA117" s="1095"/>
      <c r="AB117" s="1092"/>
      <c r="AC117" s="1092"/>
      <c r="AD117" s="1092"/>
    </row>
    <row customHeight="1" ht="9">
      <c r="A118" s="1091"/>
      <c r="B118" s="1091"/>
      <c r="C118" s="1089"/>
      <c r="D118" s="1089"/>
      <c r="E118" s="1089"/>
      <c r="F118" s="1089"/>
      <c r="G118" s="1089"/>
      <c r="H118" s="1141"/>
      <c r="I118" s="1141"/>
      <c r="J118" s="1141"/>
      <c r="K118" s="1141"/>
      <c r="L118" s="1141"/>
      <c r="M118" s="1089"/>
      <c r="N118" s="1140"/>
      <c r="O118" s="1213"/>
      <c r="P118" s="1213"/>
      <c r="Q118" s="1213"/>
      <c r="R118" s="1213"/>
      <c r="S118" s="1089"/>
      <c r="T118" s="1089"/>
      <c r="U118" s="1089"/>
      <c r="V118" s="1089"/>
      <c r="W118" s="1089"/>
      <c r="X118" s="1089"/>
      <c r="Y118" s="1256"/>
      <c r="Z118" s="1092"/>
      <c r="AA118" s="1095"/>
      <c r="AB118" s="1092"/>
      <c r="AC118" s="1092"/>
      <c r="AD118" s="1092"/>
    </row>
    <row customHeight="1" ht="9">
      <c r="A119" s="1091"/>
      <c r="B119" s="1091"/>
      <c r="C119" s="1089"/>
      <c r="D119" s="1089"/>
      <c r="E119" s="1089"/>
      <c r="F119" s="1089"/>
      <c r="G119" s="1089"/>
      <c r="H119" s="1141"/>
      <c r="I119" s="1141"/>
      <c r="J119" s="1141"/>
      <c r="K119" s="1141"/>
      <c r="L119" s="1141"/>
      <c r="M119" s="1089"/>
      <c r="N119" s="1140"/>
      <c r="O119" s="1213"/>
      <c r="P119" s="1213"/>
      <c r="Q119" s="1213"/>
      <c r="R119" s="1213"/>
      <c r="S119" s="1089"/>
      <c r="T119" s="1089"/>
      <c r="U119" s="1089"/>
      <c r="V119" s="1089"/>
      <c r="W119" s="1089"/>
      <c r="X119" s="1089"/>
      <c r="Y119" s="1256"/>
      <c r="Z119" s="1092"/>
      <c r="AA119" s="1095"/>
      <c r="AB119" s="1092"/>
      <c r="AC119" s="1092"/>
      <c r="AD119" s="1092"/>
    </row>
    <row customHeight="1" ht="9">
      <c r="A120" s="1091"/>
      <c r="B120" s="1091"/>
      <c r="C120" s="1089"/>
      <c r="D120" s="1089"/>
      <c r="E120" s="1089"/>
      <c r="F120" s="1089"/>
      <c r="G120" s="1089"/>
      <c r="H120" s="1141"/>
      <c r="I120" s="1141"/>
      <c r="J120" s="1141"/>
      <c r="K120" s="1141"/>
      <c r="L120" s="1141"/>
      <c r="M120" s="1089"/>
      <c r="N120" s="1140"/>
      <c r="O120" s="1213"/>
      <c r="P120" s="1213"/>
      <c r="Q120" s="1213"/>
      <c r="R120" s="1213"/>
      <c r="S120" s="1089"/>
      <c r="T120" s="1089"/>
      <c r="U120" s="1089"/>
      <c r="V120" s="1089"/>
      <c r="W120" s="1089"/>
      <c r="X120" s="1089"/>
      <c r="Y120" s="1256"/>
      <c r="Z120" s="1092"/>
      <c r="AA120" s="1095"/>
      <c r="AB120" s="1092"/>
      <c r="AC120" s="1092"/>
      <c r="AD120" s="1092"/>
    </row>
    <row customHeight="1" ht="9">
      <c r="A121" s="1091"/>
      <c r="B121" s="1091"/>
      <c r="C121" s="1089"/>
      <c r="D121" s="1089"/>
      <c r="E121" s="1089"/>
      <c r="F121" s="1089"/>
      <c r="G121" s="1089"/>
      <c r="H121" s="1141"/>
      <c r="I121" s="1141"/>
      <c r="J121" s="1141"/>
      <c r="K121" s="1141"/>
      <c r="L121" s="1141"/>
      <c r="M121" s="1089"/>
      <c r="N121" s="1140"/>
      <c r="O121" s="1213"/>
      <c r="P121" s="1213"/>
      <c r="Q121" s="1213"/>
      <c r="R121" s="1213"/>
      <c r="S121" s="1089"/>
      <c r="T121" s="1089"/>
      <c r="U121" s="1089"/>
      <c r="V121" s="1089"/>
      <c r="W121" s="1089"/>
      <c r="X121" s="1089"/>
      <c r="Y121" s="1256"/>
      <c r="Z121" s="1092"/>
      <c r="AA121" s="1095"/>
      <c r="AB121" s="1092"/>
      <c r="AC121" s="1092"/>
      <c r="AD121" s="1092"/>
    </row>
    <row customHeight="1" ht="9">
      <c r="A122" s="1091"/>
      <c r="B122" s="1091"/>
      <c r="C122" s="1089"/>
      <c r="D122" s="1089"/>
      <c r="E122" s="1089"/>
      <c r="F122" s="1089"/>
      <c r="G122" s="1089"/>
      <c r="H122" s="1141"/>
      <c r="I122" s="1141"/>
      <c r="J122" s="1141"/>
      <c r="K122" s="1141"/>
      <c r="L122" s="1141"/>
      <c r="M122" s="1089"/>
      <c r="N122" s="1140"/>
      <c r="O122" s="1213"/>
      <c r="P122" s="1213"/>
      <c r="Q122" s="1213"/>
      <c r="R122" s="1213"/>
      <c r="S122" s="1089"/>
      <c r="T122" s="1089"/>
      <c r="U122" s="1089"/>
      <c r="V122" s="1089"/>
      <c r="W122" s="1089"/>
      <c r="X122" s="1089"/>
      <c r="Y122" s="1256"/>
      <c r="Z122" s="1092"/>
      <c r="AA122" s="1095"/>
      <c r="AB122" s="1092"/>
      <c r="AC122" s="1092"/>
      <c r="AD122" s="1092"/>
    </row>
    <row customHeight="1" ht="9">
      <c r="A123" s="1091"/>
      <c r="B123" s="1091"/>
      <c r="C123" s="1089"/>
      <c r="D123" s="1089"/>
      <c r="E123" s="1089"/>
      <c r="F123" s="1089"/>
      <c r="G123" s="1089"/>
      <c r="H123" s="1141"/>
      <c r="I123" s="1141"/>
      <c r="J123" s="1141"/>
      <c r="K123" s="1141"/>
      <c r="L123" s="1141"/>
      <c r="M123" s="1089"/>
      <c r="N123" s="1140"/>
      <c r="O123" s="1213"/>
      <c r="P123" s="1213"/>
      <c r="Q123" s="1213"/>
      <c r="R123" s="1213"/>
      <c r="S123" s="1089"/>
      <c r="T123" s="1089"/>
      <c r="U123" s="1089"/>
      <c r="V123" s="1089"/>
      <c r="W123" s="1089"/>
      <c r="X123" s="1089"/>
      <c r="Y123" s="1256"/>
      <c r="Z123" s="1092"/>
      <c r="AA123" s="1095"/>
      <c r="AB123" s="1092"/>
      <c r="AC123" s="1092"/>
      <c r="AD123" s="1092"/>
    </row>
    <row customHeight="1" ht="9">
      <c r="A124" s="1091"/>
      <c r="B124" s="1091"/>
      <c r="C124" s="1089"/>
      <c r="D124" s="1089"/>
      <c r="E124" s="1089"/>
      <c r="F124" s="1089"/>
      <c r="G124" s="1089"/>
      <c r="H124" s="1141"/>
      <c r="I124" s="1141"/>
      <c r="J124" s="1141"/>
      <c r="K124" s="1141"/>
      <c r="L124" s="1141"/>
      <c r="M124" s="1089"/>
      <c r="N124" s="1140"/>
      <c r="O124" s="1213"/>
      <c r="P124" s="1213"/>
      <c r="Q124" s="1213"/>
      <c r="R124" s="1213"/>
      <c r="S124" s="1089"/>
      <c r="T124" s="1089"/>
      <c r="U124" s="1089"/>
      <c r="V124" s="1089"/>
      <c r="W124" s="1089"/>
      <c r="X124" s="1089"/>
      <c r="Y124" s="1256"/>
      <c r="Z124" s="1092"/>
      <c r="AA124" s="1095"/>
      <c r="AB124" s="1092"/>
      <c r="AC124" s="1092"/>
      <c r="AD124" s="1092"/>
    </row>
    <row customHeight="1" ht="9">
      <c r="A125" s="1091"/>
      <c r="B125" s="1091"/>
      <c r="C125" s="1089"/>
      <c r="D125" s="1089"/>
      <c r="E125" s="1089"/>
      <c r="F125" s="1089"/>
      <c r="G125" s="1089"/>
      <c r="H125" s="1141"/>
      <c r="I125" s="1141"/>
      <c r="J125" s="1141"/>
      <c r="K125" s="1141"/>
      <c r="L125" s="1141"/>
      <c r="M125" s="1089"/>
      <c r="N125" s="1140"/>
      <c r="O125" s="1213"/>
      <c r="P125" s="1213"/>
      <c r="Q125" s="1213"/>
      <c r="R125" s="1213"/>
      <c r="S125" s="1089"/>
      <c r="T125" s="1089"/>
      <c r="U125" s="1089"/>
      <c r="V125" s="1089"/>
      <c r="W125" s="1089"/>
      <c r="X125" s="1089"/>
      <c r="Y125" s="1256"/>
      <c r="Z125" s="1092"/>
      <c r="AA125" s="1095"/>
      <c r="AB125" s="1092"/>
      <c r="AC125" s="1092"/>
      <c r="AD125" s="1092"/>
    </row>
    <row customHeight="1" ht="9">
      <c r="A126" s="1091"/>
      <c r="B126" s="1091"/>
      <c r="C126" s="1089"/>
      <c r="D126" s="1089"/>
      <c r="E126" s="1089"/>
      <c r="F126" s="1089"/>
      <c r="G126" s="1089"/>
      <c r="H126" s="1141"/>
      <c r="I126" s="1141"/>
      <c r="J126" s="1141"/>
      <c r="K126" s="1141"/>
      <c r="L126" s="1141"/>
      <c r="M126" s="1089"/>
      <c r="N126" s="1140"/>
      <c r="O126" s="1213"/>
      <c r="P126" s="1213"/>
      <c r="Q126" s="1213"/>
      <c r="R126" s="1213"/>
      <c r="S126" s="1089"/>
      <c r="T126" s="1089"/>
      <c r="U126" s="1089"/>
      <c r="V126" s="1089"/>
      <c r="W126" s="1089"/>
      <c r="X126" s="1089"/>
      <c r="Y126" s="1256"/>
      <c r="Z126" s="1092"/>
      <c r="AA126" s="1095"/>
      <c r="AB126" s="1092"/>
      <c r="AC126" s="1092"/>
      <c r="AD126" s="1092"/>
    </row>
    <row customHeight="1" ht="9">
      <c r="A127" s="1091"/>
      <c r="B127" s="1091"/>
      <c r="C127" s="1089"/>
      <c r="D127" s="1089"/>
      <c r="E127" s="1089"/>
      <c r="F127" s="1089"/>
      <c r="G127" s="1089"/>
      <c r="H127" s="1141"/>
      <c r="I127" s="1141"/>
      <c r="J127" s="1141"/>
      <c r="K127" s="1141"/>
      <c r="L127" s="1141"/>
      <c r="M127" s="1089"/>
      <c r="N127" s="1140"/>
      <c r="O127" s="1213"/>
      <c r="P127" s="1213"/>
      <c r="Q127" s="1213"/>
      <c r="R127" s="1213"/>
      <c r="S127" s="1089"/>
      <c r="T127" s="1089"/>
      <c r="U127" s="1089"/>
      <c r="V127" s="1089"/>
      <c r="W127" s="1089"/>
      <c r="X127" s="1089"/>
      <c r="Y127" s="1256"/>
      <c r="Z127" s="1092"/>
      <c r="AA127" s="1095"/>
      <c r="AB127" s="1092"/>
      <c r="AC127" s="1092"/>
      <c r="AD127" s="1092"/>
    </row>
    <row customHeight="1" ht="9">
      <c r="A128" s="1091"/>
      <c r="B128" s="1091"/>
      <c r="C128" s="1089"/>
      <c r="D128" s="1089"/>
      <c r="E128" s="1089"/>
      <c r="F128" s="1089"/>
      <c r="G128" s="1089"/>
      <c r="H128" s="1141"/>
      <c r="I128" s="1141"/>
      <c r="J128" s="1141"/>
      <c r="K128" s="1141"/>
      <c r="L128" s="1141"/>
      <c r="M128" s="1089"/>
      <c r="N128" s="1140"/>
      <c r="O128" s="1213"/>
      <c r="P128" s="1213"/>
      <c r="Q128" s="1213"/>
      <c r="R128" s="1213"/>
      <c r="S128" s="1089"/>
      <c r="T128" s="1089"/>
      <c r="U128" s="1089"/>
      <c r="V128" s="1089"/>
      <c r="W128" s="1089"/>
      <c r="X128" s="1089"/>
      <c r="Y128" s="1256"/>
      <c r="Z128" s="1092"/>
      <c r="AA128" s="1095"/>
      <c r="AB128" s="1092"/>
      <c r="AC128" s="1092"/>
      <c r="AD128" s="1092"/>
    </row>
    <row customHeight="1" ht="9">
      <c r="A129" s="1091"/>
      <c r="B129" s="1091"/>
      <c r="C129" s="1089"/>
      <c r="D129" s="1089"/>
      <c r="E129" s="1089"/>
      <c r="F129" s="1089"/>
      <c r="G129" s="1089"/>
      <c r="H129" s="1141"/>
      <c r="I129" s="1141"/>
      <c r="J129" s="1141"/>
      <c r="K129" s="1141"/>
      <c r="L129" s="1141"/>
      <c r="M129" s="1089"/>
      <c r="N129" s="1140"/>
      <c r="O129" s="1213"/>
      <c r="P129" s="1213"/>
      <c r="Q129" s="1213"/>
      <c r="R129" s="1213"/>
      <c r="S129" s="1089"/>
      <c r="T129" s="1089"/>
      <c r="U129" s="1089"/>
      <c r="V129" s="1089"/>
      <c r="W129" s="1089"/>
      <c r="X129" s="1089"/>
      <c r="Y129" s="1256"/>
      <c r="Z129" s="1092"/>
      <c r="AA129" s="1095"/>
      <c r="AB129" s="1092"/>
      <c r="AC129" s="1092"/>
      <c r="AD129" s="1092"/>
    </row>
    <row customHeight="1" ht="9">
      <c r="A130" s="1091"/>
      <c r="B130" s="1091"/>
      <c r="C130" s="1089"/>
      <c r="D130" s="1089"/>
      <c r="E130" s="1089"/>
      <c r="F130" s="1089"/>
      <c r="G130" s="1089"/>
      <c r="H130" s="1141"/>
      <c r="I130" s="1141"/>
      <c r="J130" s="1141"/>
      <c r="K130" s="1141"/>
      <c r="L130" s="1141"/>
      <c r="M130" s="1089"/>
      <c r="N130" s="1140"/>
      <c r="O130" s="1215"/>
      <c r="P130" s="1215"/>
      <c r="Q130" s="1215"/>
      <c r="R130" s="1215"/>
      <c r="S130" s="1089"/>
      <c r="T130" s="1089"/>
      <c r="U130" s="1089"/>
      <c r="V130" s="1089"/>
      <c r="W130" s="1089"/>
      <c r="X130" s="1089"/>
      <c r="Y130" s="1256"/>
      <c r="Z130" s="1092"/>
      <c r="AA130" s="1095"/>
      <c r="AB130" s="1092"/>
      <c r="AC130" s="1092"/>
      <c r="AD130" s="1092"/>
    </row>
    <row customHeight="1" ht="9">
      <c r="A131" s="1091"/>
      <c r="B131" s="1091"/>
      <c r="C131" s="1089"/>
      <c r="D131" s="1089"/>
      <c r="E131" s="1089"/>
      <c r="F131" s="1089"/>
      <c r="G131" s="1089"/>
      <c r="H131" s="1141"/>
      <c r="I131" s="1141"/>
      <c r="J131" s="1141"/>
      <c r="K131" s="1141"/>
      <c r="L131" s="1141"/>
      <c r="M131" s="1089"/>
      <c r="N131" s="1140"/>
      <c r="O131" s="1216"/>
      <c r="P131" s="1216"/>
      <c r="Q131" s="1216"/>
      <c r="R131" s="1216"/>
      <c r="S131" s="1089"/>
      <c r="T131" s="1089"/>
      <c r="U131" s="1089"/>
      <c r="V131" s="1089"/>
      <c r="W131" s="1089"/>
      <c r="X131" s="1089"/>
      <c r="Y131" s="1256"/>
      <c r="Z131" s="1092"/>
      <c r="AA131" s="1095"/>
      <c r="AB131" s="1092"/>
      <c r="AC131" s="1092"/>
      <c r="AD131" s="1092"/>
    </row>
    <row customHeight="1" ht="9">
      <c r="A132" s="1091"/>
      <c r="B132" s="1091"/>
      <c r="C132" s="1089"/>
      <c r="D132" s="1089"/>
      <c r="E132" s="1089"/>
      <c r="F132" s="1089"/>
      <c r="G132" s="1089"/>
      <c r="H132" s="1141"/>
      <c r="I132" s="1141"/>
      <c r="J132" s="1141"/>
      <c r="K132" s="1141"/>
      <c r="L132" s="1141"/>
      <c r="M132" s="1089"/>
      <c r="N132" s="1140"/>
      <c r="O132" s="1215"/>
      <c r="P132" s="1215"/>
      <c r="Q132" s="1215"/>
      <c r="R132" s="1215"/>
      <c r="S132" s="1089"/>
      <c r="T132" s="1089"/>
      <c r="U132" s="1089"/>
      <c r="V132" s="1089"/>
      <c r="W132" s="1089"/>
      <c r="X132" s="1089"/>
      <c r="Y132" s="1256"/>
      <c r="Z132" s="1092"/>
      <c r="AA132" s="1095"/>
      <c r="AB132" s="1092"/>
      <c r="AC132" s="1092"/>
      <c r="AD132" s="1092"/>
    </row>
    <row customHeight="1" ht="9">
      <c r="A133" s="1091"/>
      <c r="B133" s="1091"/>
      <c r="C133" s="1089"/>
      <c r="D133" s="1089"/>
      <c r="E133" s="1089"/>
      <c r="F133" s="1089"/>
      <c r="G133" s="1089"/>
      <c r="H133" s="1141"/>
      <c r="I133" s="1141"/>
      <c r="J133" s="1141"/>
      <c r="K133" s="1141"/>
      <c r="L133" s="1141"/>
      <c r="M133" s="1089"/>
      <c r="N133" s="1140"/>
      <c r="O133" s="1216"/>
      <c r="P133" s="1216"/>
      <c r="Q133" s="1216"/>
      <c r="R133" s="1216"/>
      <c r="S133" s="1089"/>
      <c r="T133" s="1089"/>
      <c r="U133" s="1089"/>
      <c r="V133" s="1089"/>
      <c r="W133" s="1089"/>
      <c r="X133" s="1089"/>
      <c r="Y133" s="1256"/>
      <c r="Z133" s="1092"/>
      <c r="AA133" s="1095"/>
      <c r="AB133" s="1092"/>
      <c r="AC133" s="1092"/>
      <c r="AD133" s="1092"/>
    </row>
    <row customHeight="1" ht="9">
      <c r="A134" s="1091"/>
      <c r="B134" s="1091"/>
      <c r="C134" s="1089"/>
      <c r="D134" s="1089"/>
      <c r="E134" s="1089"/>
      <c r="F134" s="1089"/>
      <c r="G134" s="1089"/>
      <c r="H134" s="1141"/>
      <c r="I134" s="1141"/>
      <c r="J134" s="1141"/>
      <c r="K134" s="1141"/>
      <c r="L134" s="1141"/>
      <c r="M134" s="1089"/>
      <c r="N134" s="1140"/>
      <c r="O134" s="1213"/>
      <c r="P134" s="1213"/>
      <c r="Q134" s="1213"/>
      <c r="R134" s="1213"/>
      <c r="S134" s="1089"/>
      <c r="T134" s="1089"/>
      <c r="U134" s="1089"/>
      <c r="V134" s="1089"/>
      <c r="W134" s="1089"/>
      <c r="X134" s="1089"/>
      <c r="Y134" s="1256"/>
      <c r="Z134" s="1092"/>
      <c r="AA134" s="1095"/>
      <c r="AB134" s="1092"/>
      <c r="AC134" s="1092"/>
      <c r="AD134" s="1092"/>
    </row>
    <row customHeight="1" ht="9">
      <c r="A135" s="1091"/>
      <c r="B135" s="1091"/>
      <c r="C135" s="1089"/>
      <c r="D135" s="1089"/>
      <c r="E135" s="1089"/>
      <c r="F135" s="1089"/>
      <c r="G135" s="1089"/>
      <c r="H135" s="1141"/>
      <c r="I135" s="1141"/>
      <c r="J135" s="1141"/>
      <c r="K135" s="1141"/>
      <c r="L135" s="1141"/>
      <c r="M135" s="1089"/>
      <c r="N135" s="1140"/>
      <c r="O135" s="1213"/>
      <c r="P135" s="1213"/>
      <c r="Q135" s="1213"/>
      <c r="R135" s="1213"/>
      <c r="S135" s="1089"/>
      <c r="T135" s="1089"/>
      <c r="U135" s="1089"/>
      <c r="V135" s="1089"/>
      <c r="W135" s="1089"/>
      <c r="X135" s="1089"/>
      <c r="Y135" s="1256"/>
      <c r="Z135" s="1092"/>
      <c r="AA135" s="1095"/>
      <c r="AB135" s="1092"/>
      <c r="AC135" s="1092"/>
      <c r="AD135" s="1092"/>
    </row>
    <row customHeight="1" ht="9">
      <c r="A136" s="1091"/>
      <c r="B136" s="1091"/>
      <c r="C136" s="1089"/>
      <c r="D136" s="1089"/>
      <c r="E136" s="1089"/>
      <c r="F136" s="1089"/>
      <c r="G136" s="1089"/>
      <c r="H136" s="1141"/>
      <c r="I136" s="1141"/>
      <c r="J136" s="1141"/>
      <c r="K136" s="1141"/>
      <c r="L136" s="1141"/>
      <c r="M136" s="1089"/>
      <c r="N136" s="1140"/>
      <c r="O136" s="1213"/>
      <c r="P136" s="1213"/>
      <c r="Q136" s="1213"/>
      <c r="R136" s="1213"/>
      <c r="S136" s="1089"/>
      <c r="T136" s="1089"/>
      <c r="U136" s="1089"/>
      <c r="V136" s="1089"/>
      <c r="W136" s="1089"/>
      <c r="X136" s="1089"/>
      <c r="Y136" s="1256"/>
      <c r="Z136" s="1092"/>
      <c r="AA136" s="1095"/>
      <c r="AB136" s="1092"/>
      <c r="AC136" s="1092"/>
      <c r="AD136" s="1092"/>
    </row>
    <row customHeight="1" ht="9">
      <c r="A137" s="1091"/>
      <c r="B137" s="1091"/>
      <c r="C137" s="1089"/>
      <c r="D137" s="1089"/>
      <c r="E137" s="1089"/>
      <c r="F137" s="1089"/>
      <c r="G137" s="1089"/>
      <c r="H137" s="1141"/>
      <c r="I137" s="1141"/>
      <c r="J137" s="1141"/>
      <c r="K137" s="1141"/>
      <c r="L137" s="1141"/>
      <c r="M137" s="1089"/>
      <c r="N137" s="1140"/>
      <c r="O137" s="1217"/>
      <c r="P137" s="1217"/>
      <c r="Q137" s="1217"/>
      <c r="R137" s="1217"/>
      <c r="S137" s="1089"/>
      <c r="T137" s="1089"/>
      <c r="U137" s="1089"/>
      <c r="V137" s="1089"/>
      <c r="W137" s="1089"/>
      <c r="X137" s="1089"/>
      <c r="Y137" s="1256"/>
      <c r="Z137" s="1092"/>
      <c r="AA137" s="1095"/>
      <c r="AB137" s="1092"/>
      <c r="AC137" s="1092"/>
      <c r="AD137" s="1092"/>
    </row>
    <row customHeight="1" ht="9">
      <c r="A138" s="1091"/>
      <c r="B138" s="1091"/>
      <c r="C138" s="1089"/>
      <c r="D138" s="1089"/>
      <c r="E138" s="1089"/>
      <c r="F138" s="1089"/>
      <c r="G138" s="1089"/>
      <c r="H138" s="1141"/>
      <c r="I138" s="1141"/>
      <c r="J138" s="1141"/>
      <c r="K138" s="1141"/>
      <c r="L138" s="1141"/>
      <c r="M138" s="1089"/>
      <c r="N138" s="1140"/>
      <c r="O138" s="1214"/>
      <c r="P138" s="1214"/>
      <c r="Q138" s="1214"/>
      <c r="R138" s="1214"/>
      <c r="S138" s="1089"/>
      <c r="T138" s="1089"/>
      <c r="U138" s="1089"/>
      <c r="V138" s="1089"/>
      <c r="W138" s="1089"/>
      <c r="X138" s="1089"/>
      <c r="Y138" s="1256"/>
      <c r="Z138" s="1092"/>
      <c r="AA138" s="1095"/>
      <c r="AB138" s="1092"/>
      <c r="AC138" s="1092"/>
      <c r="AD138" s="1092"/>
    </row>
    <row customHeight="1" ht="9">
      <c r="A139" s="1091"/>
      <c r="B139" s="1091"/>
      <c r="C139" s="1089"/>
      <c r="D139" s="1089"/>
      <c r="E139" s="1089"/>
      <c r="F139" s="1089"/>
      <c r="G139" s="1089"/>
      <c r="H139" s="1141"/>
      <c r="I139" s="1141"/>
      <c r="J139" s="1141"/>
      <c r="K139" s="1141"/>
      <c r="L139" s="1141"/>
      <c r="M139" s="1089"/>
      <c r="N139" s="1140"/>
      <c r="O139" s="1089"/>
      <c r="P139" s="1089"/>
      <c r="Q139" s="1089"/>
      <c r="R139" s="1089"/>
      <c r="S139" s="1089"/>
      <c r="T139" s="1089"/>
      <c r="U139" s="1089"/>
      <c r="V139" s="1089"/>
      <c r="W139" s="1089"/>
      <c r="X139" s="1089"/>
      <c r="Y139" s="1256"/>
      <c r="Z139" s="1092"/>
      <c r="AA139" s="1095"/>
      <c r="AB139" s="1092"/>
      <c r="AC139" s="1092"/>
      <c r="AD139" s="1092"/>
    </row>
    <row customHeight="1" ht="9">
      <c r="A140" s="1091"/>
      <c r="B140" s="1091"/>
      <c r="C140" s="1089"/>
      <c r="D140" s="1089"/>
      <c r="E140" s="1089"/>
      <c r="F140" s="1089"/>
      <c r="G140" s="1089"/>
      <c r="H140" s="1141"/>
      <c r="I140" s="1141"/>
      <c r="J140" s="1141"/>
      <c r="K140" s="1141"/>
      <c r="L140" s="1141"/>
      <c r="M140" s="1089"/>
      <c r="N140" s="1140"/>
      <c r="O140" s="1089"/>
      <c r="P140" s="1089"/>
      <c r="Q140" s="1089"/>
      <c r="R140" s="1089"/>
      <c r="S140" s="1089"/>
      <c r="T140" s="1089"/>
      <c r="U140" s="1089"/>
      <c r="V140" s="1089"/>
      <c r="W140" s="1089"/>
      <c r="X140" s="1089"/>
      <c r="Y140" s="1256"/>
      <c r="Z140" s="1092"/>
      <c r="AA140" s="1095"/>
      <c r="AB140" s="1092"/>
      <c r="AC140" s="1092"/>
      <c r="AD140" s="1092"/>
    </row>
    <row customHeight="1" ht="9">
      <c r="A141" s="1091"/>
      <c r="B141" s="1091"/>
      <c r="C141" s="1089"/>
      <c r="D141" s="1089"/>
      <c r="E141" s="1089"/>
      <c r="F141" s="1089"/>
      <c r="G141" s="1089"/>
      <c r="H141" s="1141"/>
      <c r="I141" s="1141"/>
      <c r="J141" s="1141"/>
      <c r="K141" s="1141"/>
      <c r="L141" s="1141"/>
      <c r="M141" s="1089"/>
      <c r="N141" s="1140"/>
      <c r="O141" s="1089"/>
      <c r="P141" s="1089"/>
      <c r="Q141" s="1089"/>
      <c r="R141" s="1089"/>
      <c r="S141" s="1089"/>
      <c r="T141" s="1089"/>
      <c r="U141" s="1089"/>
      <c r="V141" s="1089"/>
      <c r="W141" s="1089"/>
      <c r="X141" s="1089"/>
      <c r="Y141" s="1256"/>
      <c r="Z141" s="1092"/>
      <c r="AA141" s="1095"/>
      <c r="AB141" s="1092"/>
      <c r="AC141" s="1092"/>
      <c r="AD141" s="1092"/>
    </row>
    <row customHeight="1" ht="9">
      <c r="A142" s="1091"/>
      <c r="B142" s="1091"/>
      <c r="C142" s="1089"/>
      <c r="D142" s="1089"/>
      <c r="E142" s="1089"/>
      <c r="F142" s="1089"/>
      <c r="G142" s="1089"/>
      <c r="H142" s="1141"/>
      <c r="I142" s="1141"/>
      <c r="J142" s="1141"/>
      <c r="K142" s="1141"/>
      <c r="L142" s="1141"/>
      <c r="M142" s="1089"/>
      <c r="N142" s="1140"/>
      <c r="O142" s="1089"/>
      <c r="P142" s="1089"/>
      <c r="Q142" s="1089"/>
      <c r="R142" s="1089"/>
      <c r="S142" s="1089"/>
      <c r="T142" s="1089"/>
      <c r="U142" s="1089"/>
      <c r="V142" s="1089"/>
      <c r="W142" s="1089"/>
      <c r="X142" s="1089"/>
      <c r="Y142" s="1256"/>
      <c r="Z142" s="1092"/>
      <c r="AA142" s="1095"/>
      <c r="AB142" s="1092"/>
      <c r="AC142" s="1092"/>
      <c r="AD142" s="1092"/>
    </row>
    <row customHeight="1" ht="9">
      <c r="A143" s="1091"/>
      <c r="B143" s="1091"/>
      <c r="C143" s="1089"/>
      <c r="D143" s="1089"/>
      <c r="E143" s="1089"/>
      <c r="F143" s="1089"/>
      <c r="G143" s="1089"/>
      <c r="H143" s="1141"/>
      <c r="I143" s="1141"/>
      <c r="J143" s="1141"/>
      <c r="K143" s="1141"/>
      <c r="L143" s="1141"/>
      <c r="M143" s="1089"/>
      <c r="N143" s="1140"/>
      <c r="O143" s="1089"/>
      <c r="P143" s="1089"/>
      <c r="Q143" s="1089"/>
      <c r="R143" s="1089"/>
      <c r="S143" s="1089"/>
      <c r="T143" s="1089"/>
      <c r="U143" s="1089"/>
      <c r="V143" s="1089"/>
      <c r="W143" s="1089"/>
      <c r="X143" s="1089"/>
      <c r="Y143" s="1256"/>
      <c r="Z143" s="1092"/>
      <c r="AA143" s="1095"/>
      <c r="AB143" s="1092"/>
      <c r="AC143" s="1092"/>
      <c r="AD143" s="1092"/>
    </row>
    <row customHeight="1" ht="9">
      <c r="A144" s="1091"/>
      <c r="B144" s="1091"/>
      <c r="C144" s="1089"/>
      <c r="D144" s="1089"/>
      <c r="E144" s="1089"/>
      <c r="F144" s="1089"/>
      <c r="G144" s="1089"/>
      <c r="H144" s="1141"/>
      <c r="I144" s="1141"/>
      <c r="J144" s="1141"/>
      <c r="K144" s="1141"/>
      <c r="L144" s="1141"/>
      <c r="M144" s="1089"/>
      <c r="N144" s="1140"/>
      <c r="O144" s="1089"/>
      <c r="P144" s="1089"/>
      <c r="Q144" s="1089"/>
      <c r="R144" s="1089"/>
      <c r="S144" s="1089"/>
      <c r="T144" s="1089"/>
      <c r="U144" s="1089"/>
      <c r="V144" s="1089"/>
      <c r="W144" s="1089"/>
      <c r="X144" s="1089"/>
      <c r="Y144" s="1256"/>
      <c r="Z144" s="1092"/>
      <c r="AA144" s="1095"/>
      <c r="AB144" s="1092"/>
      <c r="AC144" s="1092"/>
      <c r="AD144" s="1092"/>
    </row>
    <row customHeight="1" ht="9">
      <c r="A145" s="1091"/>
      <c r="B145" s="1091"/>
      <c r="C145" s="1089"/>
      <c r="D145" s="1089"/>
      <c r="E145" s="1089"/>
      <c r="F145" s="1089"/>
      <c r="G145" s="1089"/>
      <c r="H145" s="1141"/>
      <c r="I145" s="1141"/>
      <c r="J145" s="1141"/>
      <c r="K145" s="1141"/>
      <c r="L145" s="1141"/>
      <c r="M145" s="1089"/>
      <c r="N145" s="1140"/>
      <c r="O145" s="1089"/>
      <c r="P145" s="1089"/>
      <c r="Q145" s="1089"/>
      <c r="R145" s="1089"/>
      <c r="S145" s="1089"/>
      <c r="T145" s="1089"/>
      <c r="U145" s="1089"/>
      <c r="V145" s="1089"/>
      <c r="W145" s="1089"/>
      <c r="X145" s="1089"/>
      <c r="Y145" s="1256"/>
      <c r="Z145" s="1092"/>
      <c r="AA145" s="1095"/>
      <c r="AB145" s="1092"/>
      <c r="AC145" s="1092"/>
      <c r="AD145" s="1092"/>
    </row>
    <row customHeight="1" ht="9">
      <c r="A146" s="1091"/>
      <c r="B146" s="1091"/>
      <c r="C146" s="1089"/>
      <c r="D146" s="1089"/>
      <c r="E146" s="1089"/>
      <c r="F146" s="1089"/>
      <c r="G146" s="1089"/>
      <c r="H146" s="1141"/>
      <c r="I146" s="1141"/>
      <c r="J146" s="1141"/>
      <c r="K146" s="1141"/>
      <c r="L146" s="1141"/>
      <c r="M146" s="1089"/>
      <c r="N146" s="1140"/>
      <c r="O146" s="1089"/>
      <c r="P146" s="1089"/>
      <c r="Q146" s="1089"/>
      <c r="R146" s="1089"/>
      <c r="S146" s="1089"/>
      <c r="T146" s="1089"/>
      <c r="U146" s="1089"/>
      <c r="V146" s="1089"/>
      <c r="W146" s="1089"/>
      <c r="X146" s="1089"/>
      <c r="Y146" s="1256"/>
      <c r="Z146" s="1092"/>
      <c r="AA146" s="1095"/>
      <c r="AB146" s="1092"/>
      <c r="AC146" s="1092"/>
      <c r="AD146" s="1092"/>
    </row>
    <row customHeight="1" ht="9">
      <c r="A147" s="1091"/>
      <c r="B147" s="1091"/>
      <c r="C147" s="1091"/>
      <c r="D147" s="1091"/>
      <c r="E147" s="1091"/>
      <c r="F147" s="1091"/>
      <c r="G147" s="1091"/>
      <c r="H147" s="1091"/>
      <c r="I147" s="1091"/>
      <c r="J147" s="1091"/>
      <c r="K147" s="1091"/>
      <c r="L147" s="1091"/>
      <c r="M147" s="1091"/>
      <c r="N147" s="1091"/>
      <c r="O147" s="1091"/>
      <c r="P147" s="1091"/>
      <c r="Q147" s="1091"/>
      <c r="R147" s="1091"/>
      <c r="S147" s="1091"/>
      <c r="T147" s="1091"/>
      <c r="U147" s="1091"/>
      <c r="V147" s="1091"/>
      <c r="W147" s="1091"/>
      <c r="X147" s="1091"/>
      <c r="Y147" s="1091"/>
      <c r="Z147" s="1091"/>
      <c r="AA147" s="1091"/>
      <c r="AB147" s="1091"/>
      <c r="AC147" s="1091"/>
      <c r="AD147" s="1091"/>
    </row>
    <row customHeight="1" ht="90">
      <c r="A148" s="1091" t="s">
        <v>780</v>
      </c>
      <c r="B148" s="1091"/>
      <c r="C148" s="1089" t="s">
        <v>781</v>
      </c>
      <c r="D148" s="1089" t="s">
        <v>187</v>
      </c>
      <c r="E148" s="1089" t="s">
        <v>782</v>
      </c>
      <c r="F148" s="1089" t="s">
        <v>783</v>
      </c>
      <c r="G148" s="1089"/>
      <c r="H148" s="1089"/>
      <c r="I148" s="1219"/>
      <c r="J148" s="1219"/>
      <c r="K148" s="1219"/>
      <c r="L148" s="1219"/>
      <c r="M148" s="1143" t="str">
        <f>IF(TEMPLATE_SPHERE="HEAT",T148,IF(TEMPLATE_SPHERE="TKO",X148,U148))</f>
        <v>Сведения об условиях публичных договоров регулируемых организаций,  сведения об условиях публичных договоров, заключаемых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в том числе</v>
      </c>
      <c r="N148" s="1094"/>
      <c r="O148" s="1089"/>
      <c r="P148" s="1090"/>
      <c r="Q148" s="1090"/>
      <c r="R148" s="1090"/>
      <c r="S148" s="1089"/>
      <c r="T148" s="1089" t="s">
        <v>784</v>
      </c>
      <c r="U148" s="1090" t="str">
        <f>"Сведения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"&amp;TEMPLATE_SPHERE_RUS</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теплоснабжения</v>
      </c>
      <c r="V148" s="1090"/>
      <c r="W148" s="1090"/>
      <c r="X148" s="1089" t="s">
        <v>785</v>
      </c>
      <c r="Y148" s="1256"/>
      <c r="Z148" s="1092"/>
      <c r="AA148" s="1095"/>
      <c r="AB148" s="1092"/>
      <c r="AC148" s="1092"/>
      <c r="AD148" s="1092"/>
    </row>
    <row customHeight="1" ht="9">
      <c r="A149" s="1091"/>
      <c r="B149" s="1091"/>
      <c r="C149" s="1091"/>
      <c r="D149" s="1091"/>
      <c r="E149" s="1091"/>
      <c r="F149" s="1091"/>
      <c r="G149" s="1091"/>
      <c r="H149" s="1091"/>
      <c r="I149" s="1091"/>
      <c r="J149" s="1091"/>
      <c r="K149" s="1091"/>
      <c r="L149" s="1091"/>
      <c r="M149" s="1091"/>
      <c r="N149" s="1091"/>
      <c r="O149" s="1091"/>
      <c r="P149" s="1091"/>
      <c r="Q149" s="1091"/>
      <c r="R149" s="1091"/>
      <c r="S149" s="1091"/>
      <c r="T149" s="1091"/>
      <c r="U149" s="1091"/>
      <c r="V149" s="1091"/>
      <c r="W149" s="1091"/>
      <c r="X149" s="1091"/>
      <c r="Y149" s="1091"/>
      <c r="Z149" s="1091"/>
      <c r="AA149" s="1091"/>
      <c r="AB149" s="1091"/>
      <c r="AC149" s="1091"/>
      <c r="AD149" s="1091"/>
    </row>
    <row customHeight="1" ht="9">
      <c r="A150" s="1091" t="s">
        <v>786</v>
      </c>
      <c r="B150" s="1091"/>
      <c r="C150" s="1089"/>
      <c r="D150" s="1089"/>
      <c r="E150" s="1089"/>
      <c r="F150" s="1089"/>
      <c r="G150" s="1089"/>
      <c r="H150" s="1089"/>
      <c r="I150" s="1089"/>
      <c r="J150" s="1089"/>
      <c r="K150" s="1089"/>
      <c r="L150" s="1089"/>
      <c r="M150" s="1089"/>
      <c r="N150" s="1089"/>
      <c r="O150" s="1089"/>
      <c r="P150" s="1089"/>
      <c r="Q150" s="1089"/>
      <c r="R150" s="1089"/>
      <c r="S150" s="1089"/>
      <c r="T150" s="1089"/>
      <c r="U150" s="1089"/>
      <c r="V150" s="1089"/>
      <c r="W150" s="1089"/>
      <c r="X150" s="1089"/>
      <c r="Y150" s="1256"/>
      <c r="Z150" s="1092"/>
      <c r="AA150" s="1095"/>
      <c r="AB150" s="1092"/>
      <c r="AC150" s="1092"/>
      <c r="AD150" s="1092"/>
    </row>
    <row customHeight="1" ht="9">
      <c r="A151" s="1091"/>
      <c r="B151" s="1091"/>
      <c r="C151" s="1091"/>
      <c r="D151" s="1091"/>
      <c r="E151" s="1091"/>
      <c r="F151" s="1091"/>
      <c r="G151" s="1091"/>
      <c r="H151" s="1091"/>
      <c r="I151" s="1091"/>
      <c r="J151" s="1091"/>
      <c r="K151" s="1091"/>
      <c r="L151" s="1091"/>
      <c r="M151" s="1091"/>
      <c r="N151" s="1091"/>
      <c r="O151" s="1091"/>
      <c r="P151" s="1091"/>
      <c r="Q151" s="1091"/>
      <c r="R151" s="1091"/>
      <c r="S151" s="1091"/>
      <c r="T151" s="1091"/>
      <c r="U151" s="1091"/>
      <c r="V151" s="1091"/>
      <c r="W151" s="1091"/>
      <c r="X151" s="1091"/>
      <c r="Y151" s="1091"/>
      <c r="Z151" s="1091"/>
      <c r="AA151" s="1091"/>
      <c r="AB151" s="1091"/>
      <c r="AC151" s="1091"/>
      <c r="AD151" s="1091"/>
    </row>
    <row customHeight="1" ht="9">
      <c r="A152" s="1091" t="s">
        <v>787</v>
      </c>
      <c r="B152" s="1091"/>
      <c r="C152" s="1089"/>
      <c r="D152" s="1089"/>
      <c r="E152" s="1089"/>
      <c r="F152" s="1089"/>
      <c r="G152" s="1089"/>
      <c r="H152" s="1089"/>
      <c r="I152" s="1089"/>
      <c r="J152" s="1089"/>
      <c r="K152" s="1089"/>
      <c r="L152" s="1089"/>
      <c r="M152" s="1089"/>
      <c r="N152" s="1089"/>
      <c r="O152" s="1089"/>
      <c r="P152" s="1089"/>
      <c r="Q152" s="1089"/>
      <c r="R152" s="1089"/>
      <c r="S152" s="1089"/>
      <c r="T152" s="1089"/>
      <c r="U152" s="1089"/>
      <c r="V152" s="1089"/>
      <c r="W152" s="1089"/>
      <c r="X152" s="1089"/>
      <c r="Y152" s="1256"/>
      <c r="Z152" s="1092"/>
      <c r="AA152" s="1095"/>
      <c r="AB152" s="1092"/>
      <c r="AC152" s="1092"/>
      <c r="AD152" s="1092"/>
    </row>
    <row customHeight="1" ht="9">
      <c r="A153" s="1091"/>
      <c r="B153" s="1091"/>
      <c r="C153" s="1091"/>
      <c r="D153" s="1091"/>
      <c r="E153" s="1091"/>
      <c r="F153" s="1091"/>
      <c r="G153" s="1091"/>
      <c r="H153" s="1091"/>
      <c r="I153" s="1091"/>
      <c r="J153" s="1091"/>
      <c r="K153" s="1091"/>
      <c r="L153" s="1091"/>
      <c r="M153" s="1091"/>
      <c r="N153" s="1091"/>
      <c r="O153" s="1091"/>
      <c r="P153" s="1091"/>
      <c r="Q153" s="1091"/>
      <c r="R153" s="1091"/>
      <c r="S153" s="1091"/>
      <c r="T153" s="1091"/>
      <c r="U153" s="1091"/>
      <c r="V153" s="1091"/>
      <c r="W153" s="1091"/>
      <c r="X153" s="1091"/>
      <c r="Y153" s="1091"/>
      <c r="Z153" s="1091"/>
      <c r="AA153" s="1091"/>
      <c r="AB153" s="1091"/>
      <c r="AC153" s="1091"/>
      <c r="AD153" s="1091"/>
    </row>
    <row customHeight="1" ht="9">
      <c r="A154" s="1091" t="s">
        <v>788</v>
      </c>
      <c r="B154" s="1091"/>
      <c r="C154" s="1089"/>
      <c r="D154" s="1089"/>
      <c r="E154" s="1089"/>
      <c r="F154" s="1089"/>
      <c r="G154" s="1089"/>
      <c r="H154" s="1089"/>
      <c r="I154" s="1089"/>
      <c r="J154" s="1089"/>
      <c r="K154" s="1089"/>
      <c r="L154" s="1089"/>
      <c r="M154" s="1089"/>
      <c r="N154" s="1089"/>
      <c r="O154" s="1089"/>
      <c r="P154" s="1089"/>
      <c r="Q154" s="1089"/>
      <c r="R154" s="1089"/>
      <c r="S154" s="1089"/>
      <c r="T154" s="1089"/>
      <c r="U154" s="1089"/>
      <c r="V154" s="1089"/>
      <c r="W154" s="1089"/>
      <c r="X154" s="1089"/>
      <c r="Y154" s="1256"/>
      <c r="Z154" s="1092"/>
      <c r="AA154" s="1095"/>
      <c r="AB154" s="1092"/>
      <c r="AC154" s="1092"/>
      <c r="AD154" s="1092"/>
    </row>
  </sheetData>
  <sheetProtection sort="0" autoFilter="0" insertRows="0" insertColumns="1" deleteRows="0" deleteColumns="0"/>
  <mergeCells count="12">
    <mergeCell ref="T1:X1"/>
    <mergeCell ref="Z1:AD1"/>
    <mergeCell ref="A11:A15"/>
    <mergeCell ref="H13:H14"/>
    <mergeCell ref="H15:H16"/>
    <mergeCell ref="C3:F3"/>
    <mergeCell ref="C11:C16"/>
    <mergeCell ref="D11:D16"/>
    <mergeCell ref="E11:E16"/>
    <mergeCell ref="F11:F16"/>
    <mergeCell ref="G11:G16"/>
    <mergeCell ref="O1:S1"/>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legacy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4944E667-F03D-8CAF-5288-BF0C4665DA66}" mc:Ignorable="x14ac xr xr2 xr3">
  <sheetPr>
    <tabColor rgb="FFFFCC99"/>
  </sheetPr>
  <dimension ref="A1:EL118"/>
  <sheetViews>
    <sheetView topLeftCell="A1" showGridLines="0" workbookViewId="0">
      <selection activeCell="A1" sqref="A1"/>
    </sheetView>
  </sheetViews>
  <sheetFormatPr defaultColWidth="9.140625" customHeight="1" defaultRowHeight="11.25"/>
  <cols>
    <col min="1" max="1" style="11218" width="32.57421875" customWidth="1"/>
    <col min="2" max="2" style="11403" width="11.00390625" customWidth="1"/>
    <col min="3" max="3" style="11403" width="9.140625"/>
    <col min="4" max="4" style="11403" width="26.57421875" customWidth="1"/>
    <col min="5" max="5" style="11265" width="27.7109375" customWidth="1"/>
    <col min="6" max="6" style="11265" width="23.57421875" customWidth="1"/>
    <col min="7" max="7" style="11265" width="31.421875" customWidth="1"/>
    <col min="8" max="8" style="11265" width="40.8515625" customWidth="1"/>
    <col min="9" max="9" style="11265" width="14.57421875" customWidth="1"/>
    <col min="10" max="10" style="11265" width="26.8515625" customWidth="1"/>
    <col min="11" max="11" style="11265" width="50.00390625" customWidth="1"/>
    <col min="12" max="13" style="11265" width="10.7109375" customWidth="1"/>
    <col min="14" max="14" style="11265" width="55.140625" customWidth="1"/>
    <col min="15" max="15" style="11265" width="31.8515625" customWidth="1"/>
    <col min="16" max="16" style="11265" width="23.8515625" customWidth="1"/>
    <col min="17" max="17" style="11265" width="46.57421875" customWidth="1"/>
    <col min="18" max="18" style="11265" width="24.00390625" customWidth="1"/>
    <col min="19" max="19" style="11265" width="20.57421875" customWidth="1"/>
    <col min="20" max="20" style="11265" width="22.00390625" customWidth="1"/>
    <col min="21" max="22" style="11265" width="26.421875" customWidth="1"/>
    <col min="23" max="23" style="11265" width="8.28125" hidden="1" customWidth="1"/>
    <col min="24" max="24" style="11265" width="59.7109375" customWidth="1"/>
    <col min="25" max="25" style="11265" width="49.140625" customWidth="1"/>
    <col min="26" max="26" style="11265" width="11.140625" customWidth="1"/>
    <col min="27" max="30" style="11265" width="29.00390625" customWidth="1"/>
    <col min="31" max="31" style="11265" width="9.140625"/>
    <col min="32" max="32" style="11265" width="34.7109375" customWidth="1"/>
    <col min="33" max="33" style="11265" width="9.140625"/>
    <col min="34" max="35" style="11265" width="34.421875" customWidth="1"/>
    <col min="36" max="36" style="11265" width="9.140625"/>
    <col min="37" max="37" style="11265" width="24.57421875" customWidth="1"/>
    <col min="38" max="38" style="11265" width="9.140625"/>
    <col min="39" max="39" style="11265" width="26.140625" customWidth="1"/>
    <col min="40" max="40" style="11265" width="1.7109375" customWidth="1"/>
    <col min="41" max="41" style="11265" width="9.140625"/>
    <col min="42" max="43" style="11265" width="47.8515625" customWidth="1"/>
    <col min="44" max="44" style="11265" width="1.7109375" customWidth="1"/>
    <col min="45" max="45" style="11265" width="21.421875" customWidth="1"/>
    <col min="46" max="46" style="11265" width="1.7109375" customWidth="1"/>
    <col min="47" max="47" style="11265" width="31.28125" customWidth="1"/>
    <col min="48" max="48" style="11265" width="1.7109375" customWidth="1"/>
    <col min="49" max="50" style="11265" width="9.140625"/>
    <col min="51" max="51" style="11265" width="3.7109375" customWidth="1"/>
    <col min="52" max="52" style="11265" width="55.00390625" customWidth="1"/>
    <col min="53" max="53" style="11265" width="9.140625"/>
    <col min="54" max="54" style="11265" width="35.140625" customWidth="1"/>
    <col min="55" max="55" style="11265" width="9.140625"/>
    <col min="56" max="56" style="11265" width="1.7109375" customWidth="1"/>
    <col min="57" max="57" style="10041" width="12.57421875" customWidth="1"/>
    <col min="58" max="58" style="10041" width="14.28125" customWidth="1"/>
    <col min="59" max="59" style="11265" width="30.7109375" customWidth="1"/>
    <col min="60" max="60" style="9534" width="40.7109375" customWidth="1"/>
    <col min="61" max="61" style="9534" width="15.00390625" customWidth="1"/>
    <col min="62" max="62" style="9534" width="40.7109375" customWidth="1"/>
    <col min="63" max="63" style="9534" width="2.7109375" customWidth="1"/>
    <col min="64" max="64" style="9534" width="44.7109375" customWidth="1"/>
    <col min="65" max="65" style="9534" width="2.7109375" customWidth="1"/>
    <col min="66" max="66" style="9534" width="40.7109375" customWidth="1"/>
    <col min="67" max="68" style="11265" width="9.140625"/>
    <col min="69" max="69" style="11265" width="18.140625" customWidth="1"/>
    <col min="70" max="70" style="11265" width="57.8515625" customWidth="1"/>
    <col min="71" max="71" style="11265" width="1.7109375" customWidth="1"/>
    <col min="72" max="72" style="11265" width="22.57421875" customWidth="1"/>
    <col min="73" max="73" style="11265" width="57.8515625" customWidth="1"/>
    <col min="74" max="74" style="11265" width="1.7109375" customWidth="1"/>
    <col min="75" max="75" style="11265" width="22.57421875" customWidth="1"/>
    <col min="76" max="76" style="11265" width="57.8515625" customWidth="1"/>
    <col min="77" max="77" style="11265" width="1.7109375" customWidth="1"/>
    <col min="78" max="78" style="11265" width="22.57421875" customWidth="1"/>
    <col min="79" max="79" style="11265" width="57.8515625" customWidth="1"/>
    <col min="80" max="81" style="11265" width="9.140625"/>
    <col min="82" max="82" style="11265" width="49.57421875" customWidth="1"/>
  </cols>
  <sheetData>
    <row s="9139" customFormat="1" customHeight="1" ht="11.25">
      <c r="A1" s="1327" t="s">
        <v>789</v>
      </c>
      <c r="B1" s="1327" t="s">
        <v>790</v>
      </c>
      <c r="C1" s="1327" t="s">
        <v>791</v>
      </c>
      <c r="D1" s="1327" t="s">
        <v>792</v>
      </c>
      <c r="E1" s="1327" t="s">
        <v>793</v>
      </c>
      <c r="F1" s="1327" t="s">
        <v>794</v>
      </c>
      <c r="G1" s="1327" t="s">
        <v>795</v>
      </c>
      <c r="H1" s="1327" t="s">
        <v>796</v>
      </c>
      <c r="I1" s="1327" t="s">
        <v>797</v>
      </c>
      <c r="J1" s="1327" t="s">
        <v>798</v>
      </c>
      <c r="K1" s="1327" t="s">
        <v>799</v>
      </c>
      <c r="L1" s="1327"/>
      <c r="M1" s="1327"/>
      <c r="N1" s="1327" t="s">
        <v>800</v>
      </c>
      <c r="O1" s="1327" t="s">
        <v>801</v>
      </c>
      <c r="P1" s="1327" t="s">
        <v>802</v>
      </c>
      <c r="Q1" s="1327" t="s">
        <v>803</v>
      </c>
      <c r="R1" s="1327" t="s">
        <v>804</v>
      </c>
      <c r="S1" s="1327" t="s">
        <v>805</v>
      </c>
      <c r="T1" s="1327" t="s">
        <v>806</v>
      </c>
      <c r="U1" s="1327" t="s">
        <v>807</v>
      </c>
      <c r="V1" s="1327"/>
      <c r="W1" s="1037" t="s">
        <v>808</v>
      </c>
      <c r="X1" s="1327" t="s">
        <v>809</v>
      </c>
      <c r="Y1" s="1327" t="s">
        <v>810</v>
      </c>
      <c r="Z1" s="1327"/>
      <c r="AA1" s="1327" t="s">
        <v>811</v>
      </c>
      <c r="AB1" s="1327"/>
      <c r="AC1" s="1327" t="s">
        <v>812</v>
      </c>
      <c r="AD1" s="1327"/>
      <c r="AF1" s="1327" t="s">
        <v>813</v>
      </c>
      <c r="AH1" s="1327" t="s">
        <v>814</v>
      </c>
      <c r="AI1" s="1327" t="s">
        <v>815</v>
      </c>
      <c r="AK1" s="1327" t="s">
        <v>816</v>
      </c>
      <c r="AM1" s="1327" t="s">
        <v>817</v>
      </c>
      <c r="AP1" s="1327" t="s">
        <v>818</v>
      </c>
      <c r="AQ1" s="1327" t="s">
        <v>819</v>
      </c>
      <c r="AS1" s="1327" t="s">
        <v>820</v>
      </c>
      <c r="AU1" s="1327" t="s">
        <v>821</v>
      </c>
      <c r="AW1" s="1327" t="s">
        <v>822</v>
      </c>
      <c r="AX1" s="1327" t="s">
        <v>823</v>
      </c>
      <c r="AZ1" s="1413" t="s">
        <v>824</v>
      </c>
      <c r="BB1" s="1327" t="s">
        <v>825</v>
      </c>
      <c r="BC1" s="1327"/>
      <c r="BE1" s="1327" t="s">
        <v>826</v>
      </c>
      <c r="BF1" s="1327" t="s">
        <v>827</v>
      </c>
      <c r="BH1" s="1329" t="s">
        <v>462</v>
      </c>
      <c r="BI1" s="1330"/>
      <c r="BJ1" s="1331" t="s">
        <v>828</v>
      </c>
      <c r="BK1" s="1330"/>
      <c r="BL1" s="1332" t="s">
        <v>464</v>
      </c>
      <c r="BM1" s="1330"/>
      <c r="BN1" s="1333" t="s">
        <v>829</v>
      </c>
      <c r="BS1" s="1724"/>
    </row>
    <row customHeight="1" ht="11.25">
      <c r="A2" s="1334" t="s">
        <v>830</v>
      </c>
      <c r="B2" s="1335">
        <v>2000</v>
      </c>
      <c r="C2" s="1335">
        <v>2022</v>
      </c>
      <c r="D2" s="1335" t="s">
        <v>67</v>
      </c>
      <c r="E2" s="1336" t="s">
        <v>831</v>
      </c>
      <c r="F2" s="1336" t="s">
        <v>832</v>
      </c>
      <c r="G2" s="1336" t="s">
        <v>833</v>
      </c>
      <c r="H2" s="1337" t="s">
        <v>55</v>
      </c>
      <c r="I2" s="1336" t="s">
        <v>109</v>
      </c>
      <c r="J2" s="1336" t="s">
        <v>834</v>
      </c>
      <c r="K2" s="1338" t="s">
        <v>835</v>
      </c>
      <c r="L2" s="1339" t="s">
        <v>835</v>
      </c>
      <c r="M2" s="1338">
        <v>1</v>
      </c>
      <c r="N2" s="1423" t="s">
        <v>836</v>
      </c>
      <c r="O2" s="1337" t="s">
        <v>837</v>
      </c>
      <c r="P2" s="1340" t="s">
        <v>33</v>
      </c>
      <c r="Q2" s="1341" t="s">
        <v>838</v>
      </c>
      <c r="R2" s="349" t="s">
        <v>839</v>
      </c>
      <c r="S2" s="349" t="s">
        <v>840</v>
      </c>
      <c r="T2" s="1342" t="s">
        <v>841</v>
      </c>
      <c r="U2" s="1339" t="s">
        <v>842</v>
      </c>
      <c r="V2" s="1343">
        <v>1</v>
      </c>
      <c r="W2" s="1344"/>
      <c r="X2" s="1344" t="s">
        <v>843</v>
      </c>
      <c r="Y2" s="1335" t="s">
        <v>844</v>
      </c>
      <c r="Z2" s="1345"/>
      <c r="AA2" s="1335" t="s">
        <v>845</v>
      </c>
      <c r="AB2" s="1346" t="s">
        <v>845</v>
      </c>
      <c r="AC2" s="1335" t="s">
        <v>846</v>
      </c>
      <c r="AD2" s="1346" t="s">
        <v>846</v>
      </c>
      <c r="AF2" s="1337" t="s">
        <v>842</v>
      </c>
      <c r="AH2" s="1336" t="s">
        <v>847</v>
      </c>
      <c r="AI2" s="1336" t="s">
        <v>847</v>
      </c>
      <c r="AK2" s="1336" t="s">
        <v>848</v>
      </c>
      <c r="AM2" s="1336" t="s">
        <v>849</v>
      </c>
      <c r="AP2" s="1347" t="s">
        <v>843</v>
      </c>
      <c r="AQ2" s="1348" t="s">
        <v>843</v>
      </c>
      <c r="AS2" s="1335" t="s">
        <v>850</v>
      </c>
      <c r="AU2" s="1381" t="s">
        <v>851</v>
      </c>
      <c r="AW2" s="1381" t="s">
        <v>852</v>
      </c>
      <c r="AX2" s="1381" t="s">
        <v>852</v>
      </c>
      <c r="AZ2" s="1381" t="s">
        <v>53</v>
      </c>
      <c r="BB2" s="1381" t="s">
        <v>853</v>
      </c>
      <c r="BC2" s="1381" t="s">
        <v>854</v>
      </c>
      <c r="BE2" s="1381">
        <v>2000</v>
      </c>
      <c r="BF2" s="1381" t="s">
        <v>855</v>
      </c>
    </row>
    <row customHeight="1" ht="11.25">
      <c r="A3" s="1334" t="s">
        <v>856</v>
      </c>
      <c r="B3" s="1335">
        <v>2001</v>
      </c>
      <c r="C3" s="1335">
        <v>2023</v>
      </c>
      <c r="D3" s="1335" t="s">
        <v>57</v>
      </c>
      <c r="E3" s="1336" t="s">
        <v>857</v>
      </c>
      <c r="F3" s="1336" t="s">
        <v>858</v>
      </c>
      <c r="G3" s="1336" t="s">
        <v>859</v>
      </c>
      <c r="H3" s="1337" t="s">
        <v>860</v>
      </c>
      <c r="I3" s="1336" t="s">
        <v>110</v>
      </c>
      <c r="J3" s="1336" t="s">
        <v>861</v>
      </c>
      <c r="K3" s="1338" t="s">
        <v>862</v>
      </c>
      <c r="L3" s="1338" t="s">
        <v>862</v>
      </c>
      <c r="M3" s="1338">
        <v>2</v>
      </c>
      <c r="N3" s="1423" t="s">
        <v>863</v>
      </c>
      <c r="O3" s="1337" t="s">
        <v>864</v>
      </c>
      <c r="P3" s="1340" t="s">
        <v>865</v>
      </c>
      <c r="Q3" s="1341" t="s">
        <v>866</v>
      </c>
      <c r="R3" s="349" t="s">
        <v>867</v>
      </c>
      <c r="S3" s="349" t="s">
        <v>868</v>
      </c>
      <c r="T3" s="1342" t="s">
        <v>869</v>
      </c>
      <c r="U3" s="1339" t="s">
        <v>870</v>
      </c>
      <c r="V3" s="1343">
        <v>2</v>
      </c>
      <c r="W3" s="1344"/>
      <c r="X3" s="1344" t="s">
        <v>871</v>
      </c>
      <c r="Y3" s="1335" t="s">
        <v>844</v>
      </c>
      <c r="Z3" s="1345"/>
      <c r="AA3" s="1335" t="s">
        <v>872</v>
      </c>
      <c r="AB3" s="1346" t="s">
        <v>872</v>
      </c>
      <c r="AC3" s="1335" t="s">
        <v>873</v>
      </c>
      <c r="AD3" s="1346" t="s">
        <v>873</v>
      </c>
      <c r="AF3" s="1337" t="s">
        <v>870</v>
      </c>
      <c r="AH3" s="1336" t="s">
        <v>874</v>
      </c>
      <c r="AI3" s="1336" t="s">
        <v>875</v>
      </c>
      <c r="AK3" s="1336" t="s">
        <v>876</v>
      </c>
      <c r="AM3" s="1336" t="s">
        <v>877</v>
      </c>
      <c r="AP3" s="1347" t="s">
        <v>878</v>
      </c>
      <c r="AQ3" s="1348" t="s">
        <v>878</v>
      </c>
      <c r="AS3" s="1335" t="s">
        <v>879</v>
      </c>
      <c r="AU3" s="1381" t="s">
        <v>880</v>
      </c>
      <c r="AW3" s="1381" t="s">
        <v>881</v>
      </c>
      <c r="AX3" s="1381" t="s">
        <v>881</v>
      </c>
      <c r="AZ3" s="1381" t="s">
        <v>882</v>
      </c>
      <c r="BB3" s="1381" t="s">
        <v>883</v>
      </c>
      <c r="BC3" s="1381" t="s">
        <v>854</v>
      </c>
      <c r="BE3" s="1381">
        <v>2001</v>
      </c>
      <c r="BF3" s="1381" t="s">
        <v>884</v>
      </c>
      <c r="BH3" s="1327" t="s">
        <v>885</v>
      </c>
      <c r="BJ3" s="1327" t="s">
        <v>886</v>
      </c>
      <c r="BL3" s="1327" t="s">
        <v>887</v>
      </c>
      <c r="BN3" s="1327" t="s">
        <v>888</v>
      </c>
      <c r="BR3" s="1327" t="s">
        <v>889</v>
      </c>
      <c r="BS3" s="1725"/>
      <c r="BT3" s="1330"/>
      <c r="BU3" s="1327" t="s">
        <v>890</v>
      </c>
      <c r="BV3" s="1330"/>
      <c r="BW3" s="2003"/>
      <c r="BX3" s="2005" t="s">
        <v>891</v>
      </c>
      <c r="CA3" s="1327" t="s">
        <v>892</v>
      </c>
    </row>
    <row customHeight="1" ht="11.25">
      <c r="A4" s="1334" t="s">
        <v>893</v>
      </c>
      <c r="B4" s="1335">
        <v>2002</v>
      </c>
      <c r="C4" s="1335">
        <v>2024</v>
      </c>
      <c r="E4" s="1336" t="s">
        <v>894</v>
      </c>
      <c r="F4" s="1336" t="s">
        <v>895</v>
      </c>
      <c r="H4" s="1337" t="s">
        <v>896</v>
      </c>
      <c r="I4" s="1336" t="s">
        <v>90</v>
      </c>
      <c r="J4" s="1336" t="s">
        <v>897</v>
      </c>
      <c r="K4" s="1338" t="s">
        <v>898</v>
      </c>
      <c r="L4" s="1338" t="s">
        <v>898</v>
      </c>
      <c r="M4" s="1338">
        <v>3</v>
      </c>
      <c r="N4" s="1423" t="s">
        <v>899</v>
      </c>
      <c r="O4" s="1336" t="s">
        <v>900</v>
      </c>
      <c r="Q4" s="1341" t="s">
        <v>901</v>
      </c>
      <c r="R4" s="349" t="s">
        <v>902</v>
      </c>
      <c r="S4" s="349" t="s">
        <v>903</v>
      </c>
      <c r="T4" s="1342" t="s">
        <v>904</v>
      </c>
      <c r="U4" s="1339" t="s">
        <v>905</v>
      </c>
      <c r="V4" s="1343">
        <v>3</v>
      </c>
      <c r="W4" s="1344"/>
      <c r="X4" s="1344" t="s">
        <v>906</v>
      </c>
      <c r="Y4" s="1335" t="s">
        <v>844</v>
      </c>
      <c r="Z4" s="1351"/>
      <c r="AC4" s="1335" t="s">
        <v>907</v>
      </c>
      <c r="AD4" s="1346" t="s">
        <v>907</v>
      </c>
      <c r="AF4" s="1337" t="s">
        <v>905</v>
      </c>
      <c r="AH4" s="1337" t="s">
        <v>908</v>
      </c>
      <c r="AK4" s="1336" t="s">
        <v>909</v>
      </c>
      <c r="AM4" s="1336" t="s">
        <v>910</v>
      </c>
      <c r="AP4" s="1347" t="s">
        <v>871</v>
      </c>
      <c r="AQ4" s="1348" t="s">
        <v>871</v>
      </c>
      <c r="AS4" s="1335" t="s">
        <v>911</v>
      </c>
      <c r="AU4" s="1381" t="s">
        <v>912</v>
      </c>
      <c r="AW4" s="1381" t="s">
        <v>913</v>
      </c>
      <c r="AX4" s="1381" t="s">
        <v>913</v>
      </c>
      <c r="AZ4" s="1381" t="s">
        <v>914</v>
      </c>
      <c r="BB4" s="1381" t="s">
        <v>915</v>
      </c>
      <c r="BC4" s="1381" t="s">
        <v>916</v>
      </c>
      <c r="BE4" s="1381">
        <v>2002</v>
      </c>
      <c r="BF4" s="1381" t="s">
        <v>917</v>
      </c>
      <c r="BH4" s="1328" t="s">
        <v>918</v>
      </c>
      <c r="BJ4" s="1328" t="s">
        <v>918</v>
      </c>
      <c r="BL4" s="1328" t="s">
        <v>918</v>
      </c>
      <c r="BN4" s="1328" t="s">
        <v>918</v>
      </c>
      <c r="BQ4" s="1729" t="s">
        <v>919</v>
      </c>
      <c r="BR4" s="1420" t="s">
        <v>920</v>
      </c>
      <c r="BS4" s="482"/>
      <c r="BT4" s="1729" t="s">
        <v>921</v>
      </c>
      <c r="BU4" s="1420" t="s">
        <v>922</v>
      </c>
      <c r="BV4" s="1330"/>
      <c r="BW4" s="2010" t="s">
        <v>923</v>
      </c>
      <c r="BX4" s="2004" t="s">
        <v>924</v>
      </c>
      <c r="BZ4" s="1729" t="s">
        <v>925</v>
      </c>
      <c r="CA4" s="1420" t="s">
        <v>926</v>
      </c>
    </row>
    <row customHeight="1" ht="11.25">
      <c r="A5" s="1334" t="s">
        <v>927</v>
      </c>
      <c r="B5" s="1335">
        <v>2003</v>
      </c>
      <c r="C5" s="1335">
        <v>2025</v>
      </c>
      <c r="E5" s="1336" t="s">
        <v>928</v>
      </c>
      <c r="F5" s="1336" t="s">
        <v>30</v>
      </c>
      <c r="H5" s="1337" t="s">
        <v>929</v>
      </c>
      <c r="I5" s="1336" t="s">
        <v>91</v>
      </c>
      <c r="K5" s="1338" t="s">
        <v>930</v>
      </c>
      <c r="L5" s="1338" t="s">
        <v>930</v>
      </c>
      <c r="M5" s="1338">
        <v>4</v>
      </c>
      <c r="N5" s="1352" t="s">
        <v>931</v>
      </c>
      <c r="O5" s="1336" t="s">
        <v>932</v>
      </c>
      <c r="Q5" s="1341" t="s">
        <v>933</v>
      </c>
      <c r="R5" s="349" t="s">
        <v>934</v>
      </c>
      <c r="T5" s="1337" t="s">
        <v>935</v>
      </c>
      <c r="U5" s="1339" t="s">
        <v>936</v>
      </c>
      <c r="V5" s="1343">
        <v>4</v>
      </c>
      <c r="W5" s="1344"/>
      <c r="X5" s="1344" t="s">
        <v>239</v>
      </c>
      <c r="Y5" s="1335" t="s">
        <v>937</v>
      </c>
      <c r="Z5" s="1351">
        <v>1</v>
      </c>
      <c r="AF5" s="1337" t="s">
        <v>938</v>
      </c>
      <c r="AH5" s="1336" t="s">
        <v>939</v>
      </c>
      <c r="AK5" s="1336" t="s">
        <v>940</v>
      </c>
      <c r="AM5" s="1336" t="s">
        <v>941</v>
      </c>
      <c r="AP5" s="1347" t="s">
        <v>239</v>
      </c>
      <c r="AQ5" s="1348" t="s">
        <v>239</v>
      </c>
      <c r="AU5" s="1381" t="s">
        <v>942</v>
      </c>
      <c r="AW5" s="1381" t="s">
        <v>943</v>
      </c>
      <c r="AX5" s="1381" t="s">
        <v>943</v>
      </c>
      <c r="AZ5" s="1381" t="s">
        <v>944</v>
      </c>
      <c r="BB5" s="1381" t="s">
        <v>945</v>
      </c>
      <c r="BC5" s="1381" t="s">
        <v>946</v>
      </c>
      <c r="BE5" s="1381">
        <v>2003</v>
      </c>
      <c r="BF5" s="1381" t="s">
        <v>947</v>
      </c>
      <c r="BH5" s="1328" t="s">
        <v>948</v>
      </c>
      <c r="BJ5" s="1328" t="s">
        <v>948</v>
      </c>
      <c r="BL5" s="1328" t="s">
        <v>948</v>
      </c>
      <c r="BN5" s="1328" t="s">
        <v>949</v>
      </c>
      <c r="BQ5" s="1571">
        <v>4213775</v>
      </c>
      <c r="BR5" s="1328" t="s">
        <v>843</v>
      </c>
      <c r="BS5" s="1726"/>
      <c r="BT5" s="1571">
        <v>64236871</v>
      </c>
      <c r="BU5" s="1328" t="s">
        <v>291</v>
      </c>
      <c r="BV5" s="1330"/>
      <c r="BW5" s="2008">
        <v>4213767</v>
      </c>
      <c r="BX5" s="2006" t="s">
        <v>950</v>
      </c>
      <c r="BZ5" s="1571">
        <v>64237509</v>
      </c>
      <c r="CA5" s="1586" t="s">
        <v>951</v>
      </c>
    </row>
    <row customHeight="1" ht="11.25">
      <c r="A6" s="1334" t="s">
        <v>952</v>
      </c>
      <c r="B6" s="1335">
        <v>2004</v>
      </c>
      <c r="C6" s="1335">
        <v>2026</v>
      </c>
      <c r="E6" s="1336" t="s">
        <v>953</v>
      </c>
      <c r="F6" s="1353"/>
      <c r="H6" s="1337" t="s">
        <v>954</v>
      </c>
      <c r="I6" s="1336" t="s">
        <v>111</v>
      </c>
      <c r="J6" s="1327" t="s">
        <v>955</v>
      </c>
      <c r="N6" s="1352" t="s">
        <v>956</v>
      </c>
      <c r="O6" s="1336" t="s">
        <v>957</v>
      </c>
      <c r="R6" s="349" t="s">
        <v>838</v>
      </c>
      <c r="T6" s="1337" t="s">
        <v>958</v>
      </c>
      <c r="U6" s="1339" t="s">
        <v>938</v>
      </c>
      <c r="V6" s="1343">
        <v>5</v>
      </c>
      <c r="W6" s="1344"/>
      <c r="X6" s="1335" t="s">
        <v>245</v>
      </c>
      <c r="Y6" s="1335" t="s">
        <v>959</v>
      </c>
      <c r="Z6" s="1351"/>
      <c r="AA6" s="1354"/>
      <c r="AH6" s="1336" t="s">
        <v>960</v>
      </c>
      <c r="AK6" s="1336" t="s">
        <v>961</v>
      </c>
      <c r="AM6" s="1336" t="s">
        <v>962</v>
      </c>
      <c r="AP6" s="1347" t="s">
        <v>245</v>
      </c>
      <c r="AQ6" s="1348" t="s">
        <v>245</v>
      </c>
      <c r="AU6" s="1381" t="s">
        <v>963</v>
      </c>
      <c r="AW6" s="1381" t="s">
        <v>964</v>
      </c>
      <c r="AX6" s="1381" t="s">
        <v>964</v>
      </c>
      <c r="BB6" s="1381" t="s">
        <v>965</v>
      </c>
      <c r="BC6" s="1381" t="s">
        <v>946</v>
      </c>
      <c r="BE6" s="1381">
        <v>2004</v>
      </c>
      <c r="BF6" s="1381" t="s">
        <v>966</v>
      </c>
      <c r="BH6" s="1328" t="s">
        <v>967</v>
      </c>
      <c r="BJ6" s="1328" t="s">
        <v>968</v>
      </c>
      <c r="BL6" s="1328" t="s">
        <v>968</v>
      </c>
      <c r="BN6" s="1328" t="s">
        <v>969</v>
      </c>
      <c r="BQ6" s="1571">
        <v>4213784</v>
      </c>
      <c r="BR6" s="1586" t="s">
        <v>878</v>
      </c>
      <c r="BS6" s="1727"/>
      <c r="BT6" s="1571">
        <v>64236872</v>
      </c>
      <c r="BU6" s="1328" t="s">
        <v>296</v>
      </c>
      <c r="BV6" s="1330"/>
      <c r="BW6" s="2008">
        <v>4213768</v>
      </c>
      <c r="BX6" s="2006" t="s">
        <v>316</v>
      </c>
      <c r="BZ6" s="1571">
        <v>64237510</v>
      </c>
      <c r="CA6" s="1328" t="s">
        <v>970</v>
      </c>
    </row>
    <row customHeight="1" ht="11.25">
      <c r="A7" s="1334" t="s">
        <v>971</v>
      </c>
      <c r="B7" s="1335">
        <v>2005</v>
      </c>
      <c r="E7" s="1336" t="s">
        <v>972</v>
      </c>
      <c r="F7" s="1353"/>
      <c r="H7" s="1337" t="s">
        <v>973</v>
      </c>
      <c r="I7" s="1336" t="s">
        <v>92</v>
      </c>
      <c r="J7" s="1336" t="s">
        <v>974</v>
      </c>
      <c r="N7" s="1356" t="s">
        <v>975</v>
      </c>
      <c r="O7" s="1336" t="s">
        <v>976</v>
      </c>
      <c r="U7" s="1339" t="s">
        <v>57</v>
      </c>
      <c r="V7" s="595" t="s">
        <v>92</v>
      </c>
      <c r="W7" s="1344"/>
      <c r="X7" s="1335" t="s">
        <v>251</v>
      </c>
      <c r="Y7" s="1335" t="s">
        <v>937</v>
      </c>
      <c r="Z7" s="1351"/>
      <c r="AA7" s="1354"/>
      <c r="AH7" s="1336" t="s">
        <v>977</v>
      </c>
      <c r="AK7" s="1336" t="s">
        <v>978</v>
      </c>
      <c r="AM7" s="1336" t="s">
        <v>979</v>
      </c>
      <c r="AP7" s="1347" t="s">
        <v>251</v>
      </c>
      <c r="AQ7" s="1348" t="s">
        <v>251</v>
      </c>
      <c r="AU7" s="1381" t="s">
        <v>980</v>
      </c>
      <c r="AW7" s="1381" t="s">
        <v>981</v>
      </c>
      <c r="AX7" s="1381" t="s">
        <v>981</v>
      </c>
      <c r="AZ7" s="1327" t="s">
        <v>982</v>
      </c>
      <c r="BB7" s="1381" t="s">
        <v>983</v>
      </c>
      <c r="BC7" s="1381" t="s">
        <v>946</v>
      </c>
      <c r="BE7" s="1381">
        <v>2005</v>
      </c>
      <c r="BF7" s="1381" t="s">
        <v>984</v>
      </c>
      <c r="BH7" s="1328" t="s">
        <v>985</v>
      </c>
      <c r="BJ7" s="1328" t="s">
        <v>967</v>
      </c>
      <c r="BL7" s="1328" t="s">
        <v>967</v>
      </c>
      <c r="BN7" s="1328" t="s">
        <v>986</v>
      </c>
      <c r="BQ7" s="1571">
        <v>4213781</v>
      </c>
      <c r="BR7" s="1328" t="s">
        <v>871</v>
      </c>
      <c r="BS7" s="1726"/>
      <c r="BT7" s="1571">
        <v>64236873</v>
      </c>
      <c r="BU7" s="1328" t="s">
        <v>301</v>
      </c>
      <c r="BV7" s="1330"/>
      <c r="BW7" s="2008">
        <v>4213769</v>
      </c>
      <c r="BX7" s="2006" t="s">
        <v>987</v>
      </c>
      <c r="BZ7" s="1571">
        <v>64237511</v>
      </c>
      <c r="CA7" s="1328" t="s">
        <v>331</v>
      </c>
    </row>
    <row customHeight="1" ht="11.25">
      <c r="A8" s="1334" t="s">
        <v>988</v>
      </c>
      <c r="B8" s="1335">
        <v>2006</v>
      </c>
      <c r="E8" s="1336" t="s">
        <v>989</v>
      </c>
      <c r="F8" s="1353"/>
      <c r="I8" s="1336" t="s">
        <v>93</v>
      </c>
      <c r="J8" s="1336" t="s">
        <v>990</v>
      </c>
      <c r="N8" s="1424" t="s">
        <v>991</v>
      </c>
      <c r="O8" s="1336" t="s">
        <v>992</v>
      </c>
      <c r="V8" s="595" t="s">
        <v>93</v>
      </c>
      <c r="W8" s="1344"/>
      <c r="X8" s="1335" t="s">
        <v>257</v>
      </c>
      <c r="Y8" s="1335" t="s">
        <v>937</v>
      </c>
      <c r="Z8" s="1351"/>
      <c r="AA8" s="1354"/>
      <c r="AK8" s="1336" t="s">
        <v>993</v>
      </c>
      <c r="AP8" s="1347" t="s">
        <v>257</v>
      </c>
      <c r="AQ8" s="1348" t="s">
        <v>257</v>
      </c>
      <c r="AU8" s="1381" t="s">
        <v>994</v>
      </c>
      <c r="AW8" s="1381" t="s">
        <v>995</v>
      </c>
      <c r="AX8" s="1381" t="s">
        <v>995</v>
      </c>
      <c r="AZ8" s="1381" t="s">
        <v>996</v>
      </c>
      <c r="BB8" s="1381" t="s">
        <v>997</v>
      </c>
      <c r="BC8" s="1381" t="s">
        <v>946</v>
      </c>
      <c r="BE8" s="1381">
        <v>2006</v>
      </c>
      <c r="BF8" s="1381" t="s">
        <v>998</v>
      </c>
      <c r="BH8" s="1328" t="s">
        <v>999</v>
      </c>
      <c r="BJ8" s="1328" t="s">
        <v>1000</v>
      </c>
      <c r="BL8" s="1328" t="s">
        <v>1000</v>
      </c>
      <c r="BN8" s="1328" t="s">
        <v>1001</v>
      </c>
      <c r="BQ8" s="1571">
        <v>4213776</v>
      </c>
      <c r="BR8" s="1328" t="s">
        <v>239</v>
      </c>
      <c r="BS8" s="1726"/>
      <c r="BT8" s="1571">
        <v>64236874</v>
      </c>
      <c r="BU8" s="1586" t="s">
        <v>1002</v>
      </c>
      <c r="BV8" s="1330"/>
      <c r="BW8" s="2008">
        <v>4213770</v>
      </c>
      <c r="BX8" s="2009" t="s">
        <v>1003</v>
      </c>
      <c r="BZ8" s="1571">
        <v>64237512</v>
      </c>
      <c r="CA8" s="1328" t="s">
        <v>326</v>
      </c>
    </row>
    <row customHeight="1" ht="11.25">
      <c r="A9" s="1334" t="s">
        <v>1004</v>
      </c>
      <c r="B9" s="1335">
        <v>2007</v>
      </c>
      <c r="E9" s="1336" t="s">
        <v>1005</v>
      </c>
      <c r="F9" s="1353"/>
      <c r="G9" s="1327" t="s">
        <v>1006</v>
      </c>
      <c r="H9" s="1327" t="s">
        <v>1007</v>
      </c>
      <c r="I9" s="1336" t="s">
        <v>112</v>
      </c>
      <c r="O9" s="1336" t="s">
        <v>1008</v>
      </c>
      <c r="V9" s="595" t="s">
        <v>112</v>
      </c>
      <c r="W9" s="1344"/>
      <c r="X9" s="1335" t="s">
        <v>266</v>
      </c>
      <c r="Y9" s="1335" t="s">
        <v>844</v>
      </c>
      <c r="Z9" s="1351">
        <v>1</v>
      </c>
      <c r="AA9" s="1354"/>
      <c r="AK9" s="1336" t="s">
        <v>1009</v>
      </c>
      <c r="AP9" s="1347" t="s">
        <v>1010</v>
      </c>
      <c r="AQ9" s="1348" t="s">
        <v>1010</v>
      </c>
      <c r="AW9" s="1381" t="s">
        <v>1011</v>
      </c>
      <c r="AX9" s="1381" t="s">
        <v>1011</v>
      </c>
      <c r="AZ9" s="1381" t="s">
        <v>1012</v>
      </c>
      <c r="BB9" s="1381" t="s">
        <v>1013</v>
      </c>
      <c r="BC9" s="1381" t="s">
        <v>946</v>
      </c>
      <c r="BE9" s="1381">
        <v>2007</v>
      </c>
      <c r="BF9" s="1381" t="s">
        <v>1014</v>
      </c>
      <c r="BH9" s="1328" t="s">
        <v>1015</v>
      </c>
      <c r="BJ9" s="1328" t="s">
        <v>1016</v>
      </c>
      <c r="BL9" s="1328" t="s">
        <v>1016</v>
      </c>
      <c r="BN9" s="1328" t="s">
        <v>1017</v>
      </c>
      <c r="BQ9" s="1571">
        <v>4213777</v>
      </c>
      <c r="BR9" s="1328" t="s">
        <v>245</v>
      </c>
      <c r="BS9" s="1726"/>
      <c r="BT9" s="1571">
        <v>64236875</v>
      </c>
      <c r="BU9" s="1328" t="s">
        <v>306</v>
      </c>
      <c r="BV9" s="1330"/>
      <c r="BW9" s="2003"/>
      <c r="BX9" s="2003"/>
    </row>
    <row customHeight="1" ht="11.25">
      <c r="A10" s="1334" t="s">
        <v>1018</v>
      </c>
      <c r="B10" s="1335">
        <v>2008</v>
      </c>
      <c r="E10" s="1336" t="s">
        <v>1019</v>
      </c>
      <c r="F10" s="1353"/>
      <c r="G10" s="1336" t="s">
        <v>1020</v>
      </c>
      <c r="H10" s="1336" t="s">
        <v>1021</v>
      </c>
      <c r="I10" s="1336" t="s">
        <v>136</v>
      </c>
      <c r="J10" s="1327" t="s">
        <v>1022</v>
      </c>
      <c r="K10" s="1327" t="s">
        <v>1023</v>
      </c>
      <c r="O10" s="1336" t="s">
        <v>1024</v>
      </c>
      <c r="V10" s="596" t="s">
        <v>136</v>
      </c>
      <c r="W10" s="1357"/>
      <c r="X10" s="1357" t="s">
        <v>1025</v>
      </c>
      <c r="Y10" s="1358" t="s">
        <v>1026</v>
      </c>
      <c r="Z10" s="1351"/>
      <c r="AP10" s="1347" t="s">
        <v>1025</v>
      </c>
      <c r="AQ10" s="1348" t="s">
        <v>1025</v>
      </c>
      <c r="AW10" s="1381" t="s">
        <v>1027</v>
      </c>
      <c r="AX10" s="1381" t="s">
        <v>1027</v>
      </c>
      <c r="AZ10" s="1381" t="s">
        <v>1028</v>
      </c>
      <c r="BB10" s="1381" t="s">
        <v>1029</v>
      </c>
      <c r="BC10" s="1381" t="s">
        <v>946</v>
      </c>
      <c r="BE10" s="1381">
        <v>2008</v>
      </c>
      <c r="BF10" s="1381" t="s">
        <v>1030</v>
      </c>
      <c r="BH10" s="1328" t="s">
        <v>1031</v>
      </c>
      <c r="BJ10" s="1328" t="s">
        <v>1032</v>
      </c>
      <c r="BL10" s="1328" t="s">
        <v>1032</v>
      </c>
      <c r="BN10" s="1328" t="s">
        <v>1033</v>
      </c>
      <c r="BQ10" s="1571">
        <v>4213778</v>
      </c>
      <c r="BR10" s="1328" t="s">
        <v>251</v>
      </c>
      <c r="BS10" s="1726"/>
      <c r="BT10" s="1571">
        <v>64236876</v>
      </c>
      <c r="BU10" s="1328" t="s">
        <v>286</v>
      </c>
      <c r="BV10" s="1330"/>
      <c r="BW10" s="2003"/>
      <c r="BX10" s="2003"/>
    </row>
    <row customHeight="1" ht="11.25">
      <c r="A11" s="1334" t="s">
        <v>1034</v>
      </c>
      <c r="B11" s="1335">
        <v>2009</v>
      </c>
      <c r="E11" s="1336" t="s">
        <v>1035</v>
      </c>
      <c r="F11" s="1353"/>
      <c r="G11" s="1336" t="s">
        <v>1036</v>
      </c>
      <c r="H11" s="1336" t="s">
        <v>1037</v>
      </c>
      <c r="I11" s="1336" t="s">
        <v>139</v>
      </c>
      <c r="J11" s="1337" t="s">
        <v>1038</v>
      </c>
      <c r="K11" s="1359" t="s">
        <v>1039</v>
      </c>
      <c r="O11" s="1337" t="s">
        <v>1040</v>
      </c>
      <c r="V11" s="595" t="s">
        <v>139</v>
      </c>
      <c r="W11" s="483"/>
      <c r="X11" s="1344" t="s">
        <v>1010</v>
      </c>
      <c r="Y11" s="1335" t="s">
        <v>1041</v>
      </c>
      <c r="Z11" s="1351"/>
      <c r="AP11" s="1347" t="s">
        <v>266</v>
      </c>
      <c r="AQ11" s="1349" t="s">
        <v>266</v>
      </c>
      <c r="AW11" s="1381" t="s">
        <v>1042</v>
      </c>
      <c r="AX11" s="1381" t="s">
        <v>1042</v>
      </c>
      <c r="AZ11" s="1381" t="s">
        <v>1043</v>
      </c>
      <c r="BB11" s="1381" t="s">
        <v>1044</v>
      </c>
      <c r="BC11" s="1381" t="s">
        <v>946</v>
      </c>
      <c r="BE11" s="1381">
        <v>2009</v>
      </c>
      <c r="BF11" s="1381" t="s">
        <v>1045</v>
      </c>
      <c r="BH11" s="1328" t="s">
        <v>1046</v>
      </c>
      <c r="BJ11" s="1328" t="s">
        <v>1015</v>
      </c>
      <c r="BL11" s="1328" t="s">
        <v>1015</v>
      </c>
      <c r="BN11" s="1328" t="s">
        <v>1047</v>
      </c>
      <c r="BQ11" s="1571">
        <v>4213780</v>
      </c>
      <c r="BR11" s="1328" t="s">
        <v>257</v>
      </c>
      <c r="BS11" s="1726"/>
      <c r="BW11" s="2003"/>
      <c r="BX11" s="2003"/>
    </row>
    <row customHeight="1" ht="11.25">
      <c r="A12" s="1334" t="s">
        <v>1048</v>
      </c>
      <c r="B12" s="1335">
        <v>2010</v>
      </c>
      <c r="E12" s="1336" t="s">
        <v>1049</v>
      </c>
      <c r="F12" s="1353"/>
      <c r="G12" s="1336" t="s">
        <v>1037</v>
      </c>
      <c r="I12" s="1336" t="s">
        <v>142</v>
      </c>
      <c r="J12" s="1337" t="s">
        <v>1050</v>
      </c>
      <c r="K12" s="1359" t="s">
        <v>1051</v>
      </c>
      <c r="O12" s="1337" t="s">
        <v>838</v>
      </c>
      <c r="V12" s="595" t="s">
        <v>142</v>
      </c>
      <c r="W12" s="1349"/>
      <c r="X12" s="1344" t="s">
        <v>1052</v>
      </c>
      <c r="Y12" s="1335" t="s">
        <v>844</v>
      </c>
      <c r="AP12" s="1347"/>
      <c r="AW12" s="1381" t="s">
        <v>139</v>
      </c>
      <c r="AX12" s="1381" t="s">
        <v>139</v>
      </c>
      <c r="AZ12" s="1381" t="s">
        <v>1053</v>
      </c>
      <c r="BB12" s="1381" t="s">
        <v>1054</v>
      </c>
      <c r="BC12" s="1381" t="s">
        <v>946</v>
      </c>
      <c r="BE12" s="1381">
        <v>2010</v>
      </c>
      <c r="BF12" s="1381" t="s">
        <v>1055</v>
      </c>
      <c r="BH12" s="1328" t="s">
        <v>1056</v>
      </c>
      <c r="BJ12" s="1328" t="s">
        <v>1057</v>
      </c>
      <c r="BL12" s="1328" t="s">
        <v>1057</v>
      </c>
      <c r="BN12" s="1328" t="s">
        <v>1058</v>
      </c>
      <c r="BQ12" s="1571">
        <v>4213779</v>
      </c>
      <c r="BR12" s="1328" t="s">
        <v>1010</v>
      </c>
      <c r="BS12" s="1726"/>
      <c r="BT12" s="1330"/>
      <c r="BU12" s="1330"/>
      <c r="BV12" s="1330"/>
      <c r="BW12" s="2003"/>
      <c r="BX12" s="2003"/>
    </row>
    <row customHeight="1" ht="11.25">
      <c r="A13" s="1334" t="s">
        <v>1059</v>
      </c>
      <c r="B13" s="1335">
        <v>2011</v>
      </c>
      <c r="E13" s="1336" t="s">
        <v>1060</v>
      </c>
      <c r="F13" s="1353"/>
      <c r="I13" s="1336" t="s">
        <v>145</v>
      </c>
      <c r="K13" s="1359" t="s">
        <v>1009</v>
      </c>
      <c r="V13" s="595" t="s">
        <v>145</v>
      </c>
      <c r="W13" s="1349"/>
      <c r="X13" s="1349"/>
      <c r="Y13" s="1349"/>
      <c r="AW13" s="1381" t="s">
        <v>142</v>
      </c>
      <c r="AX13" s="1381" t="s">
        <v>142</v>
      </c>
      <c r="BB13" s="1381" t="s">
        <v>1061</v>
      </c>
      <c r="BC13" s="1381" t="s">
        <v>1062</v>
      </c>
      <c r="BE13" s="1381">
        <v>2011</v>
      </c>
      <c r="BF13" s="1381" t="s">
        <v>1063</v>
      </c>
      <c r="BH13" s="1328" t="s">
        <v>1064</v>
      </c>
      <c r="BJ13" s="1328" t="s">
        <v>1046</v>
      </c>
      <c r="BL13" s="1328" t="s">
        <v>1046</v>
      </c>
      <c r="BN13" s="1328" t="s">
        <v>1065</v>
      </c>
      <c r="BQ13" s="1571">
        <v>4213783</v>
      </c>
      <c r="BR13" s="1328" t="s">
        <v>1025</v>
      </c>
      <c r="BS13" s="1726"/>
      <c r="BT13" s="1330"/>
      <c r="BU13" s="1330"/>
      <c r="BV13" s="1330"/>
      <c r="BW13" s="2007"/>
      <c r="BX13" s="2003"/>
    </row>
    <row customHeight="1" ht="11.25">
      <c r="A14" s="1334" t="s">
        <v>1066</v>
      </c>
      <c r="B14" s="1335">
        <v>2012</v>
      </c>
      <c r="I14" s="1336" t="s">
        <v>148</v>
      </c>
      <c r="J14" s="1327" t="s">
        <v>1067</v>
      </c>
      <c r="N14" s="1327" t="s">
        <v>1068</v>
      </c>
      <c r="V14" s="1343">
        <v>13</v>
      </c>
      <c r="W14" s="1344"/>
      <c r="X14" s="1344" t="s">
        <v>878</v>
      </c>
      <c r="Y14" s="1335" t="s">
        <v>844</v>
      </c>
      <c r="AW14" s="1381" t="s">
        <v>145</v>
      </c>
      <c r="AX14" s="1381" t="s">
        <v>145</v>
      </c>
      <c r="AZ14" s="1327" t="s">
        <v>1069</v>
      </c>
      <c r="BB14" s="1381" t="s">
        <v>1070</v>
      </c>
      <c r="BC14" s="1381" t="s">
        <v>1062</v>
      </c>
      <c r="BE14" s="1381">
        <v>2012</v>
      </c>
      <c r="BH14" s="1328" t="s">
        <v>986</v>
      </c>
      <c r="BJ14" s="1489" t="s">
        <v>1071</v>
      </c>
      <c r="BL14" s="1489" t="s">
        <v>1071</v>
      </c>
      <c r="BN14" s="1328" t="s">
        <v>1072</v>
      </c>
      <c r="BQ14" s="1571">
        <v>4213782</v>
      </c>
      <c r="BR14" s="1328" t="s">
        <v>266</v>
      </c>
      <c r="BS14" s="1726"/>
      <c r="BT14" s="1330"/>
      <c r="BU14" s="1330"/>
      <c r="BV14" s="1330"/>
      <c r="BW14" s="2007"/>
      <c r="BX14" s="2003"/>
    </row>
    <row customHeight="1" ht="19.5">
      <c r="A15" s="1334" t="s">
        <v>1073</v>
      </c>
      <c r="B15" s="1335">
        <v>2013</v>
      </c>
      <c r="E15" s="2011" t="s">
        <v>1074</v>
      </c>
      <c r="G15" s="1327" t="s">
        <v>1075</v>
      </c>
      <c r="H15" s="1327" t="s">
        <v>1076</v>
      </c>
      <c r="I15" s="1338" t="s">
        <v>151</v>
      </c>
      <c r="J15" s="1349" t="s">
        <v>1077</v>
      </c>
      <c r="N15" s="1419" t="s">
        <v>1078</v>
      </c>
      <c r="X15" s="1347"/>
      <c r="AW15" s="1381" t="s">
        <v>148</v>
      </c>
      <c r="AX15" s="1381" t="s">
        <v>148</v>
      </c>
      <c r="AZ15" s="1381" t="s">
        <v>996</v>
      </c>
      <c r="BB15" s="1381" t="s">
        <v>1079</v>
      </c>
      <c r="BC15" s="1381" t="s">
        <v>1062</v>
      </c>
      <c r="BE15" s="1381">
        <v>2013</v>
      </c>
      <c r="BH15" s="1328" t="s">
        <v>1001</v>
      </c>
      <c r="BJ15" s="1489" t="s">
        <v>1080</v>
      </c>
      <c r="BL15" s="1489" t="s">
        <v>1080</v>
      </c>
      <c r="BN15" s="1328" t="s">
        <v>1081</v>
      </c>
      <c r="BR15" s="1330"/>
      <c r="BS15" s="1728"/>
      <c r="BT15" s="1330"/>
      <c r="BU15" s="1330"/>
      <c r="BV15" s="1330"/>
      <c r="BW15" s="2007"/>
      <c r="BX15" s="2003"/>
    </row>
    <row customHeight="1" ht="21">
      <c r="A16" s="1334" t="s">
        <v>1082</v>
      </c>
      <c r="B16" s="1335">
        <v>2014</v>
      </c>
      <c r="E16" s="2012" t="s">
        <v>1083</v>
      </c>
      <c r="G16" s="1336" t="s">
        <v>1084</v>
      </c>
      <c r="H16" s="1336" t="s">
        <v>1085</v>
      </c>
      <c r="I16" s="1338" t="s">
        <v>154</v>
      </c>
      <c r="J16" s="1349" t="s">
        <v>861</v>
      </c>
      <c r="N16" s="1419" t="s">
        <v>1086</v>
      </c>
      <c r="AW16" s="1381" t="s">
        <v>151</v>
      </c>
      <c r="AX16" s="1381" t="s">
        <v>151</v>
      </c>
      <c r="AZ16" s="1381" t="s">
        <v>1012</v>
      </c>
      <c r="BB16" s="1381" t="s">
        <v>1087</v>
      </c>
      <c r="BC16" s="1381" t="s">
        <v>1062</v>
      </c>
      <c r="BE16" s="1381">
        <v>2014</v>
      </c>
      <c r="BH16" s="1328" t="s">
        <v>1017</v>
      </c>
      <c r="BJ16" s="1489" t="s">
        <v>1088</v>
      </c>
      <c r="BL16" s="1489" t="s">
        <v>1088</v>
      </c>
      <c r="BN16" s="1328" t="s">
        <v>1089</v>
      </c>
      <c r="BR16" s="1330"/>
      <c r="BS16" s="1728"/>
      <c r="BT16" s="1330"/>
      <c r="BU16" s="1330"/>
      <c r="BV16" s="1330"/>
      <c r="BW16" s="2007"/>
      <c r="BX16" s="2003"/>
    </row>
    <row customHeight="1" ht="21">
      <c r="A17" s="1334" t="s">
        <v>1090</v>
      </c>
      <c r="B17" s="1335">
        <v>2015</v>
      </c>
      <c r="G17" s="1336" t="s">
        <v>1037</v>
      </c>
      <c r="H17" s="1336" t="s">
        <v>1037</v>
      </c>
      <c r="I17" s="1336" t="s">
        <v>157</v>
      </c>
      <c r="N17" s="1419" t="s">
        <v>1091</v>
      </c>
      <c r="X17" s="1347"/>
      <c r="AW17" s="1381" t="s">
        <v>154</v>
      </c>
      <c r="AX17" s="1381" t="s">
        <v>154</v>
      </c>
      <c r="AZ17" s="1381" t="s">
        <v>1092</v>
      </c>
      <c r="BB17" s="1381" t="s">
        <v>1093</v>
      </c>
      <c r="BC17" s="1381" t="s">
        <v>946</v>
      </c>
      <c r="BE17" s="1381">
        <v>2015</v>
      </c>
      <c r="BH17" s="1328" t="s">
        <v>1033</v>
      </c>
      <c r="BJ17" s="1489" t="s">
        <v>1094</v>
      </c>
      <c r="BL17" s="1489" t="s">
        <v>1094</v>
      </c>
      <c r="BN17" s="1328" t="s">
        <v>1095</v>
      </c>
      <c r="BR17" s="1327" t="s">
        <v>889</v>
      </c>
      <c r="BS17" s="1725"/>
      <c r="BU17" s="1327" t="s">
        <v>1096</v>
      </c>
      <c r="BV17" s="1330"/>
      <c r="BW17" s="2003"/>
      <c r="BX17" s="2005" t="s">
        <v>1097</v>
      </c>
      <c r="CA17" s="1327" t="s">
        <v>1098</v>
      </c>
      <c r="CD17" s="1327" t="s">
        <v>1099</v>
      </c>
    </row>
    <row customHeight="1" ht="21">
      <c r="A18" s="1334" t="s">
        <v>1100</v>
      </c>
      <c r="B18" s="1335">
        <v>2016</v>
      </c>
      <c r="I18" s="1336" t="s">
        <v>160</v>
      </c>
      <c r="N18" s="1419" t="s">
        <v>1101</v>
      </c>
      <c r="X18" s="1347"/>
      <c r="AW18" s="1381" t="s">
        <v>157</v>
      </c>
      <c r="AX18" s="1381" t="s">
        <v>157</v>
      </c>
      <c r="BB18" s="1381" t="s">
        <v>1102</v>
      </c>
      <c r="BC18" s="1381" t="s">
        <v>946</v>
      </c>
      <c r="BE18" s="1381">
        <v>2016</v>
      </c>
      <c r="BH18" s="1328" t="s">
        <v>1047</v>
      </c>
      <c r="BJ18" s="1489" t="s">
        <v>1103</v>
      </c>
      <c r="BL18" s="1489" t="s">
        <v>1103</v>
      </c>
      <c r="BN18" s="1328" t="s">
        <v>1104</v>
      </c>
      <c r="BQ18" s="1729" t="s">
        <v>919</v>
      </c>
      <c r="BR18" s="1420" t="s">
        <v>920</v>
      </c>
      <c r="BS18" s="482"/>
      <c r="BT18" s="1729" t="s">
        <v>1105</v>
      </c>
      <c r="BU18" s="1420" t="s">
        <v>1106</v>
      </c>
      <c r="BV18" s="1330"/>
      <c r="BW18" s="2010" t="s">
        <v>1107</v>
      </c>
      <c r="BX18" s="2004" t="s">
        <v>1108</v>
      </c>
      <c r="BZ18" s="1729" t="s">
        <v>1109</v>
      </c>
      <c r="CA18" s="1420" t="s">
        <v>1110</v>
      </c>
      <c r="CC18" s="1729" t="s">
        <v>1111</v>
      </c>
      <c r="CD18" s="1420" t="s">
        <v>1112</v>
      </c>
    </row>
    <row customHeight="1" ht="21">
      <c r="A19" s="1334" t="s">
        <v>1113</v>
      </c>
      <c r="B19" s="1335">
        <v>2017</v>
      </c>
      <c r="I19" s="1336" t="s">
        <v>163</v>
      </c>
      <c r="N19" s="1419" t="s">
        <v>1114</v>
      </c>
      <c r="X19" s="1347"/>
      <c r="AW19" s="1381" t="s">
        <v>160</v>
      </c>
      <c r="AX19" s="1381" t="s">
        <v>160</v>
      </c>
      <c r="AZ19" s="1327" t="s">
        <v>1115</v>
      </c>
      <c r="BB19" s="1381" t="s">
        <v>1116</v>
      </c>
      <c r="BC19" s="1381" t="s">
        <v>946</v>
      </c>
      <c r="BE19" s="1381">
        <v>2017</v>
      </c>
      <c r="BH19" s="1328" t="s">
        <v>1117</v>
      </c>
      <c r="BJ19" s="1489" t="s">
        <v>1118</v>
      </c>
      <c r="BL19" s="1489" t="s">
        <v>1118</v>
      </c>
      <c r="BQ19" s="1571">
        <v>4190064</v>
      </c>
      <c r="BR19" s="1328" t="s">
        <v>1119</v>
      </c>
      <c r="BS19" s="1726"/>
      <c r="BT19" s="1571">
        <v>64235586</v>
      </c>
      <c r="BU19" s="1328" t="s">
        <v>1120</v>
      </c>
      <c r="BV19" s="1330"/>
      <c r="BW19" s="2008">
        <v>4189706</v>
      </c>
      <c r="BX19" s="2006" t="s">
        <v>1121</v>
      </c>
      <c r="BZ19" s="1571">
        <v>64235589</v>
      </c>
      <c r="CA19" s="1328" t="s">
        <v>1122</v>
      </c>
      <c r="CC19" s="1571">
        <v>4189708</v>
      </c>
      <c r="CD19" s="1328" t="s">
        <v>1123</v>
      </c>
    </row>
    <row customHeight="1" ht="21">
      <c r="A20" s="1334" t="s">
        <v>1124</v>
      </c>
      <c r="B20" s="1335">
        <v>2018</v>
      </c>
      <c r="I20" s="1336" t="s">
        <v>166</v>
      </c>
      <c r="N20" s="1419" t="s">
        <v>1125</v>
      </c>
      <c r="AW20" s="1381" t="s">
        <v>163</v>
      </c>
      <c r="AX20" s="1381" t="s">
        <v>163</v>
      </c>
      <c r="AZ20" s="1381" t="s">
        <v>1126</v>
      </c>
      <c r="BB20" s="1381" t="s">
        <v>1127</v>
      </c>
      <c r="BC20" s="1381" t="s">
        <v>1062</v>
      </c>
      <c r="BE20" s="1381">
        <v>2018</v>
      </c>
      <c r="BH20" s="1328" t="s">
        <v>1058</v>
      </c>
      <c r="BJ20" s="1328" t="s">
        <v>986</v>
      </c>
      <c r="BL20" s="1328" t="s">
        <v>986</v>
      </c>
      <c r="BQ20" s="1571">
        <v>4190065</v>
      </c>
      <c r="BR20" s="1328" t="s">
        <v>1128</v>
      </c>
      <c r="BS20" s="1726"/>
      <c r="BT20" s="1571">
        <v>64235587</v>
      </c>
      <c r="BU20" s="1328" t="s">
        <v>1129</v>
      </c>
      <c r="BV20" s="1330"/>
      <c r="BW20" s="2008">
        <v>4189705</v>
      </c>
      <c r="BX20" s="2006" t="s">
        <v>1130</v>
      </c>
      <c r="BZ20" s="1571">
        <v>64235590</v>
      </c>
      <c r="CA20" s="1328" t="s">
        <v>1131</v>
      </c>
      <c r="CC20" s="1571">
        <v>4189709</v>
      </c>
      <c r="CD20" s="1328" t="s">
        <v>1132</v>
      </c>
    </row>
    <row customHeight="1" ht="21">
      <c r="A21" s="1334" t="s">
        <v>1133</v>
      </c>
      <c r="B21" s="1335">
        <v>2019</v>
      </c>
      <c r="I21" s="1336" t="s">
        <v>169</v>
      </c>
      <c r="N21" s="1419" t="s">
        <v>1134</v>
      </c>
      <c r="AW21" s="1381" t="s">
        <v>166</v>
      </c>
      <c r="AX21" s="1381" t="s">
        <v>166</v>
      </c>
      <c r="AZ21" s="1381" t="s">
        <v>1135</v>
      </c>
      <c r="BB21" s="1381" t="s">
        <v>1136</v>
      </c>
      <c r="BC21" s="1381" t="s">
        <v>946</v>
      </c>
      <c r="BE21" s="1381">
        <v>2019</v>
      </c>
      <c r="BH21" s="1328" t="s">
        <v>1065</v>
      </c>
      <c r="BJ21" s="1328" t="s">
        <v>1001</v>
      </c>
      <c r="BL21" s="1328" t="s">
        <v>1001</v>
      </c>
      <c r="BQ21" s="1571">
        <v>4190066</v>
      </c>
      <c r="BR21" s="1328" t="s">
        <v>1137</v>
      </c>
      <c r="BS21" s="1726"/>
      <c r="BT21" s="1571">
        <v>64235585</v>
      </c>
      <c r="BU21" s="1328" t="s">
        <v>1138</v>
      </c>
      <c r="BV21" s="1330"/>
      <c r="BW21" s="2008">
        <v>4189707</v>
      </c>
      <c r="BX21" s="2006" t="s">
        <v>1139</v>
      </c>
      <c r="BZ21" s="1571">
        <v>64235591</v>
      </c>
      <c r="CA21" s="1328" t="s">
        <v>1140</v>
      </c>
      <c r="CC21" s="1571">
        <v>4189710</v>
      </c>
      <c r="CD21" s="1328" t="s">
        <v>1141</v>
      </c>
    </row>
    <row customHeight="1" ht="21">
      <c r="A22" s="1334" t="s">
        <v>1142</v>
      </c>
      <c r="B22" s="1335">
        <v>2020</v>
      </c>
      <c r="N22" s="1419" t="s">
        <v>1143</v>
      </c>
      <c r="AW22" s="1381" t="s">
        <v>169</v>
      </c>
      <c r="AX22" s="1381" t="s">
        <v>169</v>
      </c>
      <c r="AZ22" s="1381" t="s">
        <v>1144</v>
      </c>
      <c r="BB22" s="1381" t="s">
        <v>1145</v>
      </c>
      <c r="BC22" s="1381" t="s">
        <v>946</v>
      </c>
      <c r="BE22" s="1381">
        <v>2020</v>
      </c>
      <c r="BH22" s="1328" t="s">
        <v>1072</v>
      </c>
      <c r="BJ22" s="1328" t="s">
        <v>1017</v>
      </c>
      <c r="BL22" s="1328" t="s">
        <v>1017</v>
      </c>
      <c r="BQ22" s="1571">
        <v>4190067</v>
      </c>
      <c r="BR22" s="1328" t="s">
        <v>1146</v>
      </c>
      <c r="BS22" s="1726"/>
      <c r="BT22" s="1330"/>
      <c r="BU22" s="1330"/>
      <c r="BV22" s="1330"/>
      <c r="BW22" s="1330"/>
      <c r="CC22" s="1571">
        <v>4189711</v>
      </c>
      <c r="CD22" s="1328" t="s">
        <v>355</v>
      </c>
    </row>
    <row customHeight="1" ht="21">
      <c r="A23" s="1334" t="s">
        <v>1147</v>
      </c>
      <c r="B23" s="1335">
        <v>2021</v>
      </c>
      <c r="AW23" s="1381" t="s">
        <v>172</v>
      </c>
      <c r="AX23" s="1381" t="s">
        <v>172</v>
      </c>
      <c r="AZ23" s="1381" t="s">
        <v>1148</v>
      </c>
      <c r="BB23" s="1381" t="s">
        <v>1149</v>
      </c>
      <c r="BC23" s="1381" t="s">
        <v>854</v>
      </c>
      <c r="BE23" s="1381">
        <v>2021</v>
      </c>
      <c r="BH23" s="1328" t="s">
        <v>1081</v>
      </c>
      <c r="BJ23" s="1328" t="s">
        <v>1033</v>
      </c>
      <c r="BL23" s="1328" t="s">
        <v>1033</v>
      </c>
      <c r="BQ23" s="1571">
        <v>4190068</v>
      </c>
      <c r="BR23" s="1328" t="s">
        <v>1150</v>
      </c>
      <c r="BS23" s="1726"/>
      <c r="BT23" s="1330"/>
      <c r="BU23" s="1330"/>
      <c r="BV23" s="1330"/>
      <c r="BW23" s="1330"/>
      <c r="CC23" s="1571">
        <v>5110778</v>
      </c>
      <c r="CD23" s="1328" t="s">
        <v>1151</v>
      </c>
    </row>
    <row customHeight="1" ht="21">
      <c r="A24" s="1334" t="s">
        <v>1152</v>
      </c>
      <c r="B24" s="1335">
        <v>2022</v>
      </c>
      <c r="AW24" s="1381" t="s">
        <v>175</v>
      </c>
      <c r="AX24" s="1381" t="s">
        <v>175</v>
      </c>
      <c r="AZ24" s="1381" t="s">
        <v>1153</v>
      </c>
      <c r="BB24" s="1381" t="s">
        <v>1154</v>
      </c>
      <c r="BC24" s="1381" t="s">
        <v>1155</v>
      </c>
      <c r="BE24" s="1381">
        <v>2022</v>
      </c>
      <c r="BH24" s="1328" t="s">
        <v>1089</v>
      </c>
      <c r="BJ24" s="1328" t="s">
        <v>1047</v>
      </c>
      <c r="BL24" s="1328" t="s">
        <v>1047</v>
      </c>
      <c r="BQ24" s="1571">
        <v>4190069</v>
      </c>
      <c r="BR24" s="1328" t="s">
        <v>1156</v>
      </c>
      <c r="BS24" s="1726"/>
      <c r="BT24" s="1330"/>
      <c r="BU24" s="1330"/>
      <c r="BV24" s="1330"/>
      <c r="BW24" s="1330"/>
    </row>
    <row customHeight="1" ht="11.25">
      <c r="A25" s="1334" t="s">
        <v>1157</v>
      </c>
      <c r="B25" s="1335">
        <v>2023</v>
      </c>
      <c r="AW25" s="1381" t="s">
        <v>178</v>
      </c>
      <c r="AX25" s="1381" t="s">
        <v>178</v>
      </c>
      <c r="AZ25" s="1381" t="s">
        <v>1158</v>
      </c>
      <c r="BB25" s="1381" t="s">
        <v>1159</v>
      </c>
      <c r="BC25" s="1381" t="s">
        <v>1155</v>
      </c>
      <c r="BE25" s="1381">
        <v>2023</v>
      </c>
      <c r="BH25" s="1328" t="s">
        <v>1095</v>
      </c>
      <c r="BJ25" s="1328" t="s">
        <v>1117</v>
      </c>
      <c r="BL25" s="1328" t="s">
        <v>1117</v>
      </c>
      <c r="BQ25" s="1571">
        <v>4190070</v>
      </c>
      <c r="BR25" s="1328" t="s">
        <v>1160</v>
      </c>
      <c r="BS25" s="1726"/>
      <c r="BT25" s="1330"/>
      <c r="BU25" s="1330"/>
      <c r="BV25" s="1330"/>
      <c r="BW25" s="1330"/>
    </row>
    <row customHeight="1" ht="11.25">
      <c r="A26" s="1334" t="s">
        <v>1161</v>
      </c>
      <c r="B26" s="1335">
        <v>2024</v>
      </c>
      <c r="J26" s="2046" t="s">
        <v>1162</v>
      </c>
      <c r="AX26" s="1381" t="s">
        <v>181</v>
      </c>
      <c r="AZ26" s="1381" t="s">
        <v>1040</v>
      </c>
      <c r="BB26" s="1381" t="s">
        <v>1163</v>
      </c>
      <c r="BC26" s="1381" t="s">
        <v>1155</v>
      </c>
      <c r="BE26" s="1381">
        <v>2024</v>
      </c>
      <c r="BH26" s="1328" t="s">
        <v>1104</v>
      </c>
      <c r="BJ26" s="1328" t="s">
        <v>1058</v>
      </c>
      <c r="BL26" s="1328" t="s">
        <v>1058</v>
      </c>
      <c r="BQ26" s="1571">
        <v>4190071</v>
      </c>
      <c r="BR26" s="1328" t="s">
        <v>1164</v>
      </c>
      <c r="BS26" s="1726"/>
      <c r="BT26" s="1330"/>
      <c r="BU26" s="1330"/>
      <c r="BV26" s="1330"/>
      <c r="BW26" s="1330"/>
    </row>
    <row customHeight="1" ht="11.25">
      <c r="A27" s="1334" t="s">
        <v>1165</v>
      </c>
      <c r="B27" s="1335">
        <v>2025</v>
      </c>
      <c r="J27" s="384" t="s">
        <v>121</v>
      </c>
      <c r="AX27" s="1381" t="s">
        <v>184</v>
      </c>
      <c r="BB27" s="1381" t="s">
        <v>1166</v>
      </c>
      <c r="BC27" s="1381" t="s">
        <v>1155</v>
      </c>
      <c r="BE27" s="1381">
        <v>2025</v>
      </c>
      <c r="BH27" s="1330" t="s">
        <v>17</v>
      </c>
      <c r="BJ27" s="1328" t="s">
        <v>1065</v>
      </c>
      <c r="BL27" s="1328" t="s">
        <v>1065</v>
      </c>
      <c r="BN27" s="1330" t="s">
        <v>17</v>
      </c>
      <c r="BQ27" s="1571">
        <v>4190072</v>
      </c>
      <c r="BR27" s="1328" t="s">
        <v>1167</v>
      </c>
      <c r="BS27" s="1726"/>
      <c r="BT27" s="1330"/>
      <c r="BU27" s="1330"/>
      <c r="BV27" s="1330"/>
      <c r="BW27" s="1330"/>
    </row>
    <row customHeight="1" ht="11.25">
      <c r="A28" s="1334" t="s">
        <v>1168</v>
      </c>
      <c r="D28" s="1361"/>
      <c r="E28" s="1362"/>
      <c r="F28" s="1362"/>
      <c r="H28" s="1363" t="s">
        <v>1169</v>
      </c>
      <c r="AX28" s="1381" t="s">
        <v>187</v>
      </c>
      <c r="AZ28" s="1327" t="s">
        <v>1170</v>
      </c>
      <c r="BB28" s="1381" t="s">
        <v>1171</v>
      </c>
      <c r="BC28" s="1381" t="s">
        <v>1172</v>
      </c>
      <c r="BE28" s="1381">
        <v>2026</v>
      </c>
      <c r="BH28" s="1330" t="s">
        <v>17</v>
      </c>
      <c r="BJ28" s="1328" t="s">
        <v>1072</v>
      </c>
      <c r="BL28" s="1328" t="s">
        <v>1072</v>
      </c>
      <c r="BN28" s="1330" t="s">
        <v>17</v>
      </c>
      <c r="BQ28" s="1571">
        <v>4190073</v>
      </c>
      <c r="BR28" s="1328" t="s">
        <v>1173</v>
      </c>
      <c r="BS28" s="1726"/>
      <c r="BT28" s="1330"/>
      <c r="BU28" s="1330"/>
      <c r="BV28" s="1330"/>
      <c r="BW28" s="1330"/>
    </row>
    <row customHeight="1" ht="11.25">
      <c r="A29" s="1334" t="s">
        <v>1174</v>
      </c>
      <c r="D29" s="1364" t="s">
        <v>1175</v>
      </c>
      <c r="E29" s="1365" t="str">
        <f>IF(TEMPLATE_GROUP="","",INDEX(StartDateList,MATCH(TEMPLATE_GROUP,CodeTemplateList,0),1))</f>
        <v>01.10.2023</v>
      </c>
      <c r="F29" s="1365" t="str">
        <f>IF(TEMPLATE_GROUP="","",INDEX(EndDateList,MATCH(TEMPLATE_GROUP,CodeTemplateList,0),1))</f>
        <v>31.12.2023</v>
      </c>
      <c r="H29" s="1366" t="s">
        <v>1176</v>
      </c>
      <c r="AX29" s="1381" t="s">
        <v>190</v>
      </c>
      <c r="AZ29" s="1381" t="s">
        <v>839</v>
      </c>
      <c r="BB29" s="1381" t="s">
        <v>1040</v>
      </c>
      <c r="BC29" s="1351"/>
      <c r="BE29" s="1381">
        <v>2027</v>
      </c>
      <c r="BJ29" s="1328" t="s">
        <v>1081</v>
      </c>
      <c r="BL29" s="1328" t="s">
        <v>1081</v>
      </c>
    </row>
    <row customHeight="1" ht="11.25">
      <c r="A30" s="1334" t="s">
        <v>1177</v>
      </c>
      <c r="D30" s="1367"/>
      <c r="E30" s="1368"/>
      <c r="F30" s="1368"/>
      <c r="AX30" s="1381" t="s">
        <v>193</v>
      </c>
      <c r="AZ30" s="1381" t="s">
        <v>867</v>
      </c>
      <c r="BE30" s="1381">
        <v>2028</v>
      </c>
      <c r="BJ30" s="1328" t="s">
        <v>1178</v>
      </c>
      <c r="BL30" s="1328" t="s">
        <v>1178</v>
      </c>
    </row>
    <row customHeight="1" ht="12.75">
      <c r="A31" s="1334" t="s">
        <v>1179</v>
      </c>
      <c r="D31" s="1361"/>
      <c r="E31" s="1362"/>
      <c r="F31" s="1362"/>
      <c r="H31" s="1369"/>
      <c r="AX31" s="1381" t="s">
        <v>1180</v>
      </c>
      <c r="AZ31" s="1381" t="s">
        <v>1181</v>
      </c>
      <c r="BE31" s="1381">
        <v>2029</v>
      </c>
      <c r="BJ31" s="1328" t="s">
        <v>1182</v>
      </c>
      <c r="BL31" s="1328" t="s">
        <v>1182</v>
      </c>
    </row>
    <row customHeight="1" ht="11.25">
      <c r="A32" s="1334" t="s">
        <v>1183</v>
      </c>
      <c r="D32" s="1364" t="s">
        <v>1184</v>
      </c>
      <c r="E32" s="1365" t="str">
        <f>IF(TEMPLATE_GROUP="","",INDEX(StartDateList,MATCH(TEMPLATE_GROUP,CodeTemplateList,0),1))</f>
        <v>01.10.2023</v>
      </c>
      <c r="F32" s="1365" t="str">
        <f>IF(TEMPLATE_GROUP="","",INDEX(EndDateList,MATCH(TEMPLATE_GROUP,CodeTemplateList,0),1))</f>
        <v>31.12.2023</v>
      </c>
      <c r="H32" s="1370" t="s">
        <v>1185</v>
      </c>
      <c r="O32" s="1334" t="s">
        <v>837</v>
      </c>
      <c r="AX32" s="1381" t="s">
        <v>1186</v>
      </c>
      <c r="AZ32" s="1381" t="s">
        <v>934</v>
      </c>
      <c r="BE32" s="1381">
        <v>2030</v>
      </c>
      <c r="BJ32" s="1328" t="s">
        <v>1089</v>
      </c>
      <c r="BL32" s="1328" t="s">
        <v>1089</v>
      </c>
    </row>
    <row customHeight="1" ht="11.25">
      <c r="A33" s="1334" t="s">
        <v>1187</v>
      </c>
      <c r="O33" s="1334" t="s">
        <v>864</v>
      </c>
      <c r="AX33" s="1381" t="s">
        <v>1188</v>
      </c>
      <c r="AZ33" s="1381" t="s">
        <v>838</v>
      </c>
      <c r="BE33" s="1381">
        <v>2031</v>
      </c>
      <c r="BJ33" s="1328" t="s">
        <v>1095</v>
      </c>
      <c r="BL33" s="1328" t="s">
        <v>1095</v>
      </c>
    </row>
    <row customHeight="1" ht="11.25">
      <c r="A34" s="1334" t="s">
        <v>1189</v>
      </c>
      <c r="O34" s="1334" t="s">
        <v>900</v>
      </c>
      <c r="AX34" s="1381" t="s">
        <v>1190</v>
      </c>
      <c r="BE34" s="1381">
        <v>2032</v>
      </c>
      <c r="BJ34" s="1328" t="s">
        <v>1104</v>
      </c>
      <c r="BL34" s="1328" t="s">
        <v>1104</v>
      </c>
    </row>
    <row customHeight="1" ht="11.25">
      <c r="A35" s="1334" t="s">
        <v>1191</v>
      </c>
      <c r="O35" s="1334" t="s">
        <v>932</v>
      </c>
      <c r="AX35" s="1381" t="s">
        <v>1192</v>
      </c>
      <c r="AZ35" s="1327" t="s">
        <v>1193</v>
      </c>
      <c r="BE35" s="1381">
        <v>2033</v>
      </c>
      <c r="BL35" s="1328" t="s">
        <v>1194</v>
      </c>
    </row>
    <row customHeight="1" ht="11.25">
      <c r="A36" s="1334" t="s">
        <v>1195</v>
      </c>
      <c r="D36" s="1371" t="s">
        <v>1196</v>
      </c>
      <c r="E36" s="1372" t="s">
        <v>462</v>
      </c>
      <c r="F36" s="1373" t="str">
        <f>INDEX(E37:E41,MATCH(TEMPLATE_SPHERE,F37:F41,0))</f>
        <v>теплоснабжения</v>
      </c>
      <c r="G36" s="1373" t="str">
        <f>INDEX(G37:G41,MATCH(TEMPLATE_SPHERE,F37:F41,0))</f>
        <v>теплоснабжение</v>
      </c>
      <c r="O36" s="1334" t="s">
        <v>957</v>
      </c>
      <c r="AX36" s="1381" t="s">
        <v>1197</v>
      </c>
      <c r="AZ36" s="1381" t="s">
        <v>838</v>
      </c>
      <c r="BE36" s="1381">
        <v>2034</v>
      </c>
      <c r="BL36" s="1328" t="s">
        <v>1198</v>
      </c>
    </row>
    <row customHeight="1" ht="11.25">
      <c r="A37" s="1334" t="s">
        <v>1199</v>
      </c>
      <c r="E37" s="643" t="s">
        <v>1200</v>
      </c>
      <c r="F37" s="1374" t="s">
        <v>462</v>
      </c>
      <c r="G37" s="643" t="s">
        <v>1201</v>
      </c>
      <c r="O37" s="1334" t="s">
        <v>976</v>
      </c>
      <c r="AX37" s="1381" t="s">
        <v>1202</v>
      </c>
      <c r="AZ37" s="1381" t="s">
        <v>866</v>
      </c>
      <c r="BE37" s="1381">
        <v>2035</v>
      </c>
    </row>
    <row customHeight="1" ht="11.25">
      <c r="A38" s="1334" t="s">
        <v>1203</v>
      </c>
      <c r="E38" s="643" t="s">
        <v>1204</v>
      </c>
      <c r="F38" s="1375" t="s">
        <v>463</v>
      </c>
      <c r="G38" s="643" t="s">
        <v>1205</v>
      </c>
      <c r="O38" s="1334" t="s">
        <v>992</v>
      </c>
      <c r="AX38" s="1381" t="s">
        <v>1206</v>
      </c>
      <c r="AZ38" s="1381" t="s">
        <v>901</v>
      </c>
      <c r="BE38" s="1381">
        <v>2036</v>
      </c>
      <c r="BH38" s="1327" t="s">
        <v>1207</v>
      </c>
      <c r="BJ38" s="1327" t="s">
        <v>1208</v>
      </c>
      <c r="BL38" s="1327" t="s">
        <v>1209</v>
      </c>
      <c r="BN38" s="1327" t="s">
        <v>1210</v>
      </c>
    </row>
    <row customHeight="1" ht="11.25">
      <c r="A39" s="1334" t="s">
        <v>1211</v>
      </c>
      <c r="E39" s="643" t="s">
        <v>1212</v>
      </c>
      <c r="F39" s="1375" t="s">
        <v>464</v>
      </c>
      <c r="G39" s="643" t="s">
        <v>1213</v>
      </c>
      <c r="O39" s="1334" t="s">
        <v>1008</v>
      </c>
      <c r="AX39" s="1381" t="s">
        <v>1214</v>
      </c>
      <c r="AZ39" s="1381" t="s">
        <v>933</v>
      </c>
      <c r="BE39" s="1381">
        <v>2037</v>
      </c>
      <c r="BH39" s="1328" t="s">
        <v>1215</v>
      </c>
      <c r="BJ39" s="1489" t="s">
        <v>1215</v>
      </c>
      <c r="BL39" s="1489" t="s">
        <v>1215</v>
      </c>
      <c r="BN39" s="1328" t="s">
        <v>1216</v>
      </c>
    </row>
    <row customHeight="1" ht="11.25">
      <c r="A40" s="1334" t="s">
        <v>1217</v>
      </c>
      <c r="E40" s="643" t="s">
        <v>1218</v>
      </c>
      <c r="F40" s="1375" t="s">
        <v>465</v>
      </c>
      <c r="G40" s="643" t="s">
        <v>1219</v>
      </c>
      <c r="O40" s="1334" t="s">
        <v>1024</v>
      </c>
      <c r="AX40" s="1381" t="s">
        <v>1220</v>
      </c>
      <c r="BE40" s="1381">
        <v>2038</v>
      </c>
      <c r="BH40" s="1328" t="s">
        <v>1221</v>
      </c>
      <c r="BJ40" s="1489" t="s">
        <v>1222</v>
      </c>
      <c r="BL40" s="1489" t="s">
        <v>1222</v>
      </c>
      <c r="BN40" s="1328" t="s">
        <v>1223</v>
      </c>
    </row>
    <row customHeight="1" ht="11.25">
      <c r="A41" s="1334" t="s">
        <v>1224</v>
      </c>
      <c r="E41" s="643" t="s">
        <v>1225</v>
      </c>
      <c r="F41" s="1375" t="s">
        <v>466</v>
      </c>
      <c r="G41" s="643" t="s">
        <v>1225</v>
      </c>
      <c r="O41" s="1334" t="s">
        <v>1040</v>
      </c>
      <c r="AX41" s="1381" t="s">
        <v>1226</v>
      </c>
      <c r="AZ41" s="1327" t="s">
        <v>1227</v>
      </c>
      <c r="BE41" s="1381">
        <v>2039</v>
      </c>
      <c r="BH41" s="1328" t="s">
        <v>1228</v>
      </c>
      <c r="BJ41" s="1489" t="s">
        <v>1229</v>
      </c>
      <c r="BL41" s="1489" t="s">
        <v>1229</v>
      </c>
      <c r="BN41" s="1328" t="s">
        <v>1230</v>
      </c>
    </row>
    <row customHeight="1" ht="11.25">
      <c r="A42" s="1334" t="s">
        <v>1231</v>
      </c>
      <c r="AX42" s="1381" t="s">
        <v>1232</v>
      </c>
      <c r="AZ42" s="1381" t="s">
        <v>837</v>
      </c>
      <c r="BE42" s="1381">
        <v>2040</v>
      </c>
      <c r="BH42" s="1328" t="s">
        <v>1233</v>
      </c>
      <c r="BJ42" s="1489" t="s">
        <v>1234</v>
      </c>
      <c r="BL42" s="1489" t="s">
        <v>1234</v>
      </c>
      <c r="BN42" s="1328" t="s">
        <v>1235</v>
      </c>
    </row>
    <row customHeight="1" ht="11.25">
      <c r="A43" s="1334" t="s">
        <v>1236</v>
      </c>
      <c r="AX43" s="1381" t="s">
        <v>1237</v>
      </c>
      <c r="AZ43" s="1381" t="s">
        <v>864</v>
      </c>
      <c r="BE43" s="1381">
        <v>2041</v>
      </c>
      <c r="BH43" s="1328" t="s">
        <v>1238</v>
      </c>
      <c r="BJ43" s="1489" t="s">
        <v>1228</v>
      </c>
      <c r="BL43" s="1489" t="s">
        <v>1228</v>
      </c>
      <c r="BN43" s="1328" t="s">
        <v>1239</v>
      </c>
    </row>
    <row customHeight="1" ht="11.25">
      <c r="A44" s="1334" t="s">
        <v>1240</v>
      </c>
      <c r="I44" s="1039" t="s">
        <v>1241</v>
      </c>
      <c r="J44" s="1349" t="s">
        <v>1242</v>
      </c>
      <c r="K44" s="1349" t="s">
        <v>1243</v>
      </c>
      <c r="AX44" s="1381" t="s">
        <v>1244</v>
      </c>
      <c r="AZ44" s="1381" t="s">
        <v>900</v>
      </c>
      <c r="BE44" s="1381">
        <v>2042</v>
      </c>
      <c r="BH44" s="1328" t="s">
        <v>1245</v>
      </c>
      <c r="BJ44" s="1489" t="s">
        <v>1233</v>
      </c>
      <c r="BL44" s="1489" t="s">
        <v>1233</v>
      </c>
      <c r="BN44" s="1328" t="s">
        <v>1246</v>
      </c>
    </row>
    <row customHeight="1" ht="11.25">
      <c r="A45" s="1334" t="s">
        <v>1247</v>
      </c>
      <c r="D45" s="1371" t="s">
        <v>1248</v>
      </c>
      <c r="E45" s="1372" t="s">
        <v>1249</v>
      </c>
      <c r="F45" s="1037" t="s">
        <v>1250</v>
      </c>
      <c r="G45" s="1036" t="s">
        <v>1251</v>
      </c>
      <c r="H45" s="1039" t="s">
        <v>1252</v>
      </c>
      <c r="I45" s="2059">
        <f>INDEX(PeriodIsEmptyList,MATCH(TEMPLATE_GROUP,CodeTemplateList,0),1)</f>
        <v>0</v>
      </c>
      <c r="J45" s="2067" t="str">
        <f>INDEX(NameTemplatesInTitleList,MATCH(TEMPLATE_GROUP,CodeTemplateList,0),1)</f>
        <v>Информация о наличии (отсутствии) технической возможности подключения к централизованной системе теплоснабжения, а также о регистрации и ходе реализации заявок о подключении к централизованной системе теплоснабжения</v>
      </c>
      <c r="K45" s="2067" t="str">
        <f>"Перечень муниципальных районов и муниципальных образований (территорий "&amp;IF(OR(TEMPLATE_GROUP="P",TEMPLATE_GROUP="R",TEMPLATE_GROUP="Q"),"действия тарифа","оказания услуг")&amp;")"</f>
        <v>Перечень муниципальных районов и муниципальных образований (территорий действия тарифа)</v>
      </c>
      <c r="AX45" s="1381" t="s">
        <v>1253</v>
      </c>
      <c r="AZ45" s="1381" t="s">
        <v>932</v>
      </c>
      <c r="BE45" s="1381">
        <v>2043</v>
      </c>
      <c r="BH45" s="1328" t="s">
        <v>1254</v>
      </c>
      <c r="BJ45" s="1489" t="s">
        <v>1255</v>
      </c>
      <c r="BL45" s="1489" t="s">
        <v>1255</v>
      </c>
      <c r="BN45" s="1328" t="s">
        <v>1256</v>
      </c>
    </row>
    <row customHeight="1" ht="11.25">
      <c r="A46" s="1334" t="s">
        <v>1257</v>
      </c>
      <c r="E46" s="643" t="s">
        <v>22</v>
      </c>
      <c r="F46" s="1374" t="s">
        <v>1258</v>
      </c>
      <c r="G46" s="1376"/>
      <c r="H46" s="1376"/>
      <c r="I46" s="2060">
        <f>IF(TITLE_DATE_FIL="",TRUE,FALSE)</f>
        <v>1</v>
      </c>
      <c r="J46" s="2068" t="str">
        <f>"Общая информация о регулируемой организации ("&amp;TEMPLATE_SPHERE_RUS&amp;")"</f>
        <v>Общая информация о регулируемой организации (теплоснабжения)</v>
      </c>
      <c r="K46" s="2069"/>
      <c r="AX46" s="1381" t="s">
        <v>1259</v>
      </c>
      <c r="AZ46" s="1381" t="s">
        <v>957</v>
      </c>
      <c r="BE46" s="1381">
        <v>2044</v>
      </c>
      <c r="BH46" s="1328" t="s">
        <v>1230</v>
      </c>
      <c r="BJ46" s="1489" t="s">
        <v>1260</v>
      </c>
      <c r="BL46" s="1489" t="s">
        <v>1260</v>
      </c>
      <c r="BN46" s="1328" t="s">
        <v>1261</v>
      </c>
    </row>
    <row customHeight="1" ht="11.25">
      <c r="A47" s="1334" t="s">
        <v>1262</v>
      </c>
      <c r="E47" s="643" t="s">
        <v>28</v>
      </c>
      <c r="F47" s="1375" t="s">
        <v>1249</v>
      </c>
      <c r="G47" s="1377" t="str">
        <f>IF(f_year="","",IF(LEN(f_quart)=0,"",IF(f_quart="I квартал","01.01."&amp;f_year,IF(f_quart="II квартал","01.04."&amp;f_year,(IF(f_quart="III квартал","01.07."&amp;f_year,"01.10."&amp;f_year))))))</f>
        <v>01.10.2023</v>
      </c>
      <c r="H47" s="1377" t="str">
        <f>IF(f_year="","",IF(LEN(f_quart)=0,"",IF(f_quart="I квартал","31.03."&amp;f_year,IF(f_quart="II квартал","30.06."&amp;f_year,(IF(f_quart="III квартал","30.09."&amp;f_year,"31.12."&amp;f_year))))))</f>
        <v>31.12.2023</v>
      </c>
      <c r="I47" s="2061">
        <f>IF(OR(f_year="",f_quart=""),TRUE,FALSE)</f>
        <v>0</v>
      </c>
      <c r="J47" s="2068" t="str">
        <f>"Информация о наличии (отсутствии) технической возможности подключения к централизованной системе "&amp;TEMPLATE_SPHERE_RUS&amp;", а также о регистрации и ходе реализации заявок о подключении к централизованной системе "&amp;TEMPLATE_SPHERE_RUS</f>
        <v>Информация о наличии (отсутствии) технической возможности подключения к централизованной системе теплоснабжения, а также о регистрации и ходе реализации заявок о подключении к централизованной системе теплоснабжения</v>
      </c>
      <c r="K47" s="2069"/>
      <c r="AX47" s="1381" t="s">
        <v>539</v>
      </c>
      <c r="AZ47" s="1381" t="s">
        <v>976</v>
      </c>
      <c r="BE47" s="1381">
        <v>2045</v>
      </c>
      <c r="BH47" s="1328" t="s">
        <v>1235</v>
      </c>
      <c r="BJ47" s="1489" t="s">
        <v>1263</v>
      </c>
      <c r="BL47" s="1489" t="s">
        <v>1263</v>
      </c>
      <c r="BN47" s="1328" t="s">
        <v>1264</v>
      </c>
    </row>
    <row customHeight="1" ht="11.25">
      <c r="A48" s="1334" t="s">
        <v>1265</v>
      </c>
      <c r="E48" s="643" t="s">
        <v>558</v>
      </c>
      <c r="F48" s="1375" t="s">
        <v>1266</v>
      </c>
      <c r="G48" s="1377" t="str">
        <f>IF(f_year="","","01.01."&amp;f_year)</f>
        <v>01.01.2023</v>
      </c>
      <c r="H48" s="1377" t="str">
        <f>IF(f_year="","","31.12."&amp;f_year)</f>
        <v>31.12.2023</v>
      </c>
      <c r="I48" s="2060">
        <f>IF(f_year="",TRUE,FALSE)</f>
        <v>0</v>
      </c>
      <c r="J48" s="2068" t="s">
        <v>1267</v>
      </c>
      <c r="K48" s="2069"/>
      <c r="AX48" s="1381" t="s">
        <v>1268</v>
      </c>
      <c r="AZ48" s="1381" t="s">
        <v>992</v>
      </c>
      <c r="BE48" s="1381">
        <v>2046</v>
      </c>
      <c r="BH48" s="1328" t="s">
        <v>1239</v>
      </c>
      <c r="BJ48" s="1489" t="s">
        <v>1269</v>
      </c>
      <c r="BL48" s="1489" t="s">
        <v>1269</v>
      </c>
      <c r="BN48" s="1328" t="s">
        <v>1270</v>
      </c>
    </row>
    <row customHeight="1" ht="11.25">
      <c r="A49" s="1334" t="s">
        <v>1271</v>
      </c>
      <c r="E49" s="643" t="s">
        <v>780</v>
      </c>
      <c r="F49" s="1375" t="s">
        <v>1272</v>
      </c>
      <c r="G49" s="1377" t="str">
        <f>IF(f_year="","","01.01."&amp;f_year)</f>
        <v>01.01.2023</v>
      </c>
      <c r="H49" s="1377" t="str">
        <f>IF(f_year="","","31.12."&amp;f_year)</f>
        <v>31.12.2023</v>
      </c>
      <c r="I49" s="2060">
        <f>IF(f_year="",TRUE,FALSE)</f>
        <v>0</v>
      </c>
      <c r="J49" s="2068" t="str">
        <f>"Информация об условиях, на которых осуществляется поставка товаров (оказание услуг) в сфере "&amp;TEMPLATE_SPHERE_RUS</f>
        <v>Информация об условиях, на которых осуществляется поставка товаров (оказание услуг) в сфере теплоснабжения</v>
      </c>
      <c r="K49" s="2069"/>
      <c r="AX49" s="1381" t="s">
        <v>782</v>
      </c>
      <c r="AZ49" s="1381" t="s">
        <v>1008</v>
      </c>
      <c r="BE49" s="1381">
        <v>2047</v>
      </c>
      <c r="BH49" s="1328" t="s">
        <v>1273</v>
      </c>
      <c r="BJ49" s="1489" t="s">
        <v>1274</v>
      </c>
      <c r="BL49" s="1489" t="s">
        <v>1274</v>
      </c>
    </row>
    <row customHeight="1" ht="11.25">
      <c r="A50" s="1334" t="s">
        <v>1275</v>
      </c>
      <c r="E50" s="643" t="s">
        <v>786</v>
      </c>
      <c r="F50" s="1375" t="s">
        <v>1276</v>
      </c>
      <c r="G50" s="1377" t="str">
        <f>IF(f_year="","","01.01."&amp;f_year)</f>
        <v>01.01.2023</v>
      </c>
      <c r="H50" s="1377" t="str">
        <f>IF(f_year="","","31.12."&amp;f_year)</f>
        <v>31.12.2023</v>
      </c>
      <c r="I50" s="2060">
        <f>IF(f_year="",TRUE,FALSE)</f>
        <v>0</v>
      </c>
      <c r="J50" s="2068" t="str">
        <f>"Информация об инвестиционных программах регулируемой организации в области "&amp;TEMPLATE_SPHERE_RUS</f>
        <v>Информация об инвестиционных программах регулируемой организации в области теплоснабжения</v>
      </c>
      <c r="K50" s="2069"/>
      <c r="AX50" s="1381" t="s">
        <v>1277</v>
      </c>
      <c r="AZ50" s="1381" t="s">
        <v>1024</v>
      </c>
      <c r="BE50" s="1381">
        <v>2048</v>
      </c>
      <c r="BH50" s="1328" t="s">
        <v>1246</v>
      </c>
      <c r="BJ50" s="1489" t="s">
        <v>1278</v>
      </c>
      <c r="BL50" s="1489" t="s">
        <v>1278</v>
      </c>
    </row>
    <row customHeight="1" ht="11.25">
      <c r="A51" s="1334" t="s">
        <v>1279</v>
      </c>
      <c r="E51" s="643" t="s">
        <v>787</v>
      </c>
      <c r="F51" s="1375" t="s">
        <v>1280</v>
      </c>
      <c r="G51" s="1377" t="str">
        <f>IF(TITLE_PERIOD_START="","",TITLE_PERIOD_START)</f>
        <v/>
      </c>
      <c r="H51" s="1377" t="str">
        <f>IF(TITLE_PERIOD_END="","",TITLE_PERIOD_END)</f>
        <v/>
      </c>
      <c r="I51" s="2061">
        <f>IF(OR(TITLE_PERIOD_START="",TITLE_PERIOD_END=""),TRUE,FALSE)</f>
        <v>1</v>
      </c>
      <c r="J51" s="2068" t="str">
        <f>"Предложение регулируемой организации об установлении тарифов в сфере "&amp;TEMPLATE_SPHERE_RUS&amp;", информация о способах приобретения, стоимости и объемах товаров, необходимых для производства регулируемых товаров и (или) оказания регулируемых услуг"</f>
        <v>Предложение регулируемой организации об установлении тарифов в сфере теплоснабжения,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K51" s="2069"/>
      <c r="AX51" s="1381" t="s">
        <v>1281</v>
      </c>
      <c r="AZ51" s="1381" t="s">
        <v>1040</v>
      </c>
      <c r="BE51" s="1381">
        <v>2049</v>
      </c>
      <c r="BH51" s="1328" t="s">
        <v>1256</v>
      </c>
      <c r="BJ51" s="1489" t="s">
        <v>1282</v>
      </c>
      <c r="BL51" s="1489" t="s">
        <v>1282</v>
      </c>
    </row>
    <row customHeight="1" ht="11.25">
      <c r="A52" s="1334" t="s">
        <v>1283</v>
      </c>
      <c r="E52" s="643" t="s">
        <v>788</v>
      </c>
      <c r="F52" s="1375" t="s">
        <v>1284</v>
      </c>
      <c r="G52" s="1377" t="str">
        <f>IF(TITLE_PERIOD_START="","",TITLE_PERIOD_START)</f>
        <v/>
      </c>
      <c r="H52" s="1377" t="str">
        <f>IF(TITLE_PERIOD_END="","",TITLE_PERIOD_END)</f>
        <v/>
      </c>
      <c r="I52" s="2061">
        <f>IF(OR(TITLE_PERIOD_START="",TITLE_PERIOD_END=""),TRUE,FALSE)</f>
        <v>1</v>
      </c>
      <c r="J52" s="2068" t="str">
        <f>"Показатели, подлежащие раскрытию в сфере "&amp;TEMPLATE_SPHERE_RUS&amp;" (цены и тарифы)"</f>
        <v>Показатели, подлежащие раскрытию в сфере теплоснабжения (цены и тарифы)</v>
      </c>
      <c r="K52" s="2069"/>
      <c r="AX52" s="1381" t="s">
        <v>1285</v>
      </c>
      <c r="AZ52" s="1381" t="s">
        <v>838</v>
      </c>
      <c r="BE52" s="1381">
        <v>2050</v>
      </c>
      <c r="BH52" s="1328" t="s">
        <v>1261</v>
      </c>
      <c r="BJ52" s="1489" t="s">
        <v>1230</v>
      </c>
      <c r="BL52" s="1489" t="s">
        <v>1230</v>
      </c>
    </row>
    <row customHeight="1" ht="11.25">
      <c r="A53" s="1334" t="s">
        <v>1286</v>
      </c>
      <c r="E53" s="643" t="s">
        <v>1287</v>
      </c>
      <c r="F53" s="1375" t="s">
        <v>1287</v>
      </c>
      <c r="G53" s="1377" t="str">
        <f>IF(f_year="","","01.01."&amp;f_year)</f>
        <v>01.01.2023</v>
      </c>
      <c r="H53" s="1377" t="str">
        <f>IF(f_year="","","31.12."&amp;f_year)</f>
        <v>31.12.2023</v>
      </c>
      <c r="I53" s="2060">
        <f>IF(f_year="",TRUE,FALSE)</f>
        <v>0</v>
      </c>
      <c r="J53" s="2068" t="s">
        <v>1288</v>
      </c>
      <c r="K53" s="2069"/>
      <c r="AX53" s="1381" t="s">
        <v>1289</v>
      </c>
      <c r="BE53" s="1381">
        <v>2051</v>
      </c>
      <c r="BH53" s="1328" t="s">
        <v>1264</v>
      </c>
      <c r="BJ53" s="1489" t="s">
        <v>1235</v>
      </c>
      <c r="BL53" s="1489" t="s">
        <v>1235</v>
      </c>
    </row>
    <row customHeight="1" ht="11.25">
      <c r="A54" s="1334" t="s">
        <v>1290</v>
      </c>
      <c r="AX54" s="1381" t="s">
        <v>1291</v>
      </c>
      <c r="AZ54" s="1327" t="s">
        <v>1292</v>
      </c>
      <c r="BE54" s="1381">
        <v>2052</v>
      </c>
      <c r="BH54" s="1328" t="s">
        <v>1270</v>
      </c>
      <c r="BJ54" s="1489" t="s">
        <v>1239</v>
      </c>
      <c r="BL54" s="1489" t="s">
        <v>1239</v>
      </c>
    </row>
    <row customHeight="1" ht="11.25">
      <c r="A55" s="1334" t="s">
        <v>1293</v>
      </c>
      <c r="AX55" s="1381" t="s">
        <v>1294</v>
      </c>
      <c r="AZ55" s="1381" t="s">
        <v>840</v>
      </c>
      <c r="BE55" s="1381">
        <v>2053</v>
      </c>
      <c r="BH55" s="1330" t="s">
        <v>17</v>
      </c>
      <c r="BJ55" s="1489" t="s">
        <v>1273</v>
      </c>
      <c r="BL55" s="1489" t="s">
        <v>1273</v>
      </c>
    </row>
    <row customHeight="1" ht="11.25">
      <c r="A56" s="1334" t="s">
        <v>1295</v>
      </c>
      <c r="D56" s="1379" t="s">
        <v>1296</v>
      </c>
      <c r="E56" s="1355">
        <v>55</v>
      </c>
      <c r="F56" s="1334" t="s">
        <v>1297</v>
      </c>
      <c r="AX56" s="1381" t="s">
        <v>1298</v>
      </c>
      <c r="AZ56" s="1381" t="s">
        <v>868</v>
      </c>
      <c r="BE56" s="1381">
        <v>2054</v>
      </c>
      <c r="BH56" s="1330" t="s">
        <v>17</v>
      </c>
      <c r="BJ56" s="1489" t="s">
        <v>1246</v>
      </c>
      <c r="BL56" s="1489" t="s">
        <v>1246</v>
      </c>
    </row>
    <row customHeight="1" ht="11.25">
      <c r="A57" s="1334" t="s">
        <v>1299</v>
      </c>
      <c r="D57" s="1379" t="s">
        <v>1300</v>
      </c>
      <c r="E57" s="1355">
        <v>93</v>
      </c>
      <c r="F57" s="1334" t="s">
        <v>1297</v>
      </c>
      <c r="AX57" s="1381" t="s">
        <v>1301</v>
      </c>
      <c r="AZ57" s="1381" t="s">
        <v>903</v>
      </c>
      <c r="BE57" s="1381">
        <v>2055</v>
      </c>
      <c r="BJ57" s="1489" t="s">
        <v>1256</v>
      </c>
      <c r="BL57" s="1489" t="s">
        <v>1256</v>
      </c>
    </row>
    <row customHeight="1" ht="11.25">
      <c r="A58" s="1334" t="s">
        <v>1302</v>
      </c>
      <c r="D58" s="1379" t="s">
        <v>1303</v>
      </c>
      <c r="E58" s="1355">
        <v>44</v>
      </c>
      <c r="F58" s="1334" t="s">
        <v>1297</v>
      </c>
      <c r="AX58" s="1381" t="s">
        <v>1304</v>
      </c>
      <c r="BE58" s="1381">
        <v>2056</v>
      </c>
      <c r="BJ58" s="1489" t="s">
        <v>1261</v>
      </c>
      <c r="BL58" s="1489" t="s">
        <v>1261</v>
      </c>
    </row>
    <row customHeight="1" ht="11.25">
      <c r="A59" s="1334" t="s">
        <v>1305</v>
      </c>
      <c r="D59" s="1379" t="s">
        <v>208</v>
      </c>
      <c r="E59" s="1355" t="s">
        <v>169</v>
      </c>
      <c r="F59" s="1334" t="s">
        <v>1306</v>
      </c>
      <c r="AX59" s="1381" t="s">
        <v>1307</v>
      </c>
      <c r="AZ59" s="1327" t="s">
        <v>1308</v>
      </c>
      <c r="BE59" s="1381">
        <v>2057</v>
      </c>
      <c r="BJ59" s="1489" t="s">
        <v>1264</v>
      </c>
      <c r="BL59" s="1489" t="s">
        <v>1264</v>
      </c>
    </row>
    <row customHeight="1" ht="11.25">
      <c r="A60" s="1334" t="s">
        <v>1309</v>
      </c>
      <c r="D60" s="1379" t="s">
        <v>1310</v>
      </c>
      <c r="E60" s="1355" t="s">
        <v>169</v>
      </c>
      <c r="F60" s="1334" t="s">
        <v>1306</v>
      </c>
      <c r="AX60" s="1381" t="s">
        <v>1311</v>
      </c>
      <c r="AZ60" s="1381" t="s">
        <v>841</v>
      </c>
      <c r="BE60" s="1381">
        <v>2058</v>
      </c>
      <c r="BJ60" s="1489" t="s">
        <v>1270</v>
      </c>
      <c r="BL60" s="1489" t="s">
        <v>1270</v>
      </c>
    </row>
    <row customHeight="1" ht="11.25">
      <c r="A61" s="1334" t="s">
        <v>1312</v>
      </c>
      <c r="D61" s="1379" t="s">
        <v>1313</v>
      </c>
      <c r="E61" s="1355">
        <v>26</v>
      </c>
      <c r="F61" s="1334" t="s">
        <v>1306</v>
      </c>
      <c r="AX61" s="1381" t="s">
        <v>1314</v>
      </c>
      <c r="AZ61" s="1381" t="s">
        <v>869</v>
      </c>
      <c r="BE61" s="1381">
        <v>2059</v>
      </c>
      <c r="BL61" s="1489" t="s">
        <v>1315</v>
      </c>
    </row>
    <row customHeight="1" ht="11.25">
      <c r="A62" s="1334" t="s">
        <v>1316</v>
      </c>
      <c r="D62" s="1379" t="s">
        <v>207</v>
      </c>
      <c r="E62" s="1355">
        <v>30</v>
      </c>
      <c r="F62" s="1334" t="s">
        <v>1306</v>
      </c>
      <c r="AZ62" s="1381" t="s">
        <v>904</v>
      </c>
      <c r="BE62" s="1381">
        <v>2060</v>
      </c>
      <c r="BL62" s="1489" t="s">
        <v>1317</v>
      </c>
    </row>
    <row customHeight="1" ht="11.25">
      <c r="A63" s="1334" t="s">
        <v>1318</v>
      </c>
      <c r="D63" s="1379" t="s">
        <v>1319</v>
      </c>
      <c r="E63" s="1355">
        <v>30</v>
      </c>
      <c r="F63" s="1334" t="s">
        <v>1306</v>
      </c>
      <c r="AZ63" s="1381" t="s">
        <v>935</v>
      </c>
      <c r="BE63" s="1381">
        <v>2061</v>
      </c>
    </row>
    <row customHeight="1" ht="11.25">
      <c r="A64" s="1334" t="s">
        <v>1320</v>
      </c>
      <c r="D64" s="1379" t="s">
        <v>1321</v>
      </c>
      <c r="E64" s="1355">
        <v>30</v>
      </c>
      <c r="F64" s="1334" t="s">
        <v>1306</v>
      </c>
      <c r="AZ64" s="1381" t="s">
        <v>958</v>
      </c>
      <c r="BE64" s="1381">
        <v>2062</v>
      </c>
    </row>
    <row customHeight="1" ht="11.25">
      <c r="A65" s="1334" t="s">
        <v>1322</v>
      </c>
      <c r="D65" s="1334"/>
      <c r="BE65" s="1381">
        <v>2063</v>
      </c>
    </row>
    <row customHeight="1" ht="11.25">
      <c r="A66" s="1334" t="s">
        <v>1323</v>
      </c>
      <c r="AZ66" s="1327" t="s">
        <v>1324</v>
      </c>
      <c r="BE66" s="1381">
        <v>2064</v>
      </c>
    </row>
    <row customHeight="1" ht="11.25">
      <c r="A67" s="1334" t="s">
        <v>14</v>
      </c>
      <c r="AZ67" s="1381" t="s">
        <v>842</v>
      </c>
      <c r="BE67" s="1381">
        <v>2065</v>
      </c>
    </row>
    <row customHeight="1" ht="11.25">
      <c r="A68" s="1334" t="s">
        <v>1325</v>
      </c>
      <c r="AZ68" s="1381" t="s">
        <v>870</v>
      </c>
      <c r="BE68" s="1381">
        <v>2066</v>
      </c>
      <c r="BH68" s="1327" t="s">
        <v>1326</v>
      </c>
      <c r="BJ68" s="1327" t="s">
        <v>1327</v>
      </c>
      <c r="BL68" s="1327" t="s">
        <v>1328</v>
      </c>
      <c r="BN68" s="1327" t="s">
        <v>1329</v>
      </c>
    </row>
    <row customHeight="1" ht="11.25">
      <c r="A69" s="1334" t="s">
        <v>1330</v>
      </c>
      <c r="AZ69" s="1381" t="s">
        <v>905</v>
      </c>
      <c r="BE69" s="1381">
        <v>2067</v>
      </c>
      <c r="BH69" s="1328" t="s">
        <v>1331</v>
      </c>
      <c r="BI69" s="1378" t="s">
        <v>109</v>
      </c>
      <c r="BJ69" s="1328" t="s">
        <v>1332</v>
      </c>
      <c r="BK69" s="1378" t="s">
        <v>109</v>
      </c>
      <c r="BL69" s="1328" t="s">
        <v>1333</v>
      </c>
      <c r="BN69" s="1328" t="s">
        <v>1334</v>
      </c>
    </row>
    <row customHeight="1" ht="11.25">
      <c r="A70" s="1334" t="s">
        <v>1335</v>
      </c>
      <c r="AZ70" s="1381" t="s">
        <v>936</v>
      </c>
      <c r="BE70" s="1381">
        <v>2068</v>
      </c>
      <c r="BH70" s="1328" t="s">
        <v>1336</v>
      </c>
      <c r="BJ70" s="1328" t="s">
        <v>1337</v>
      </c>
      <c r="BL70" s="1328" t="s">
        <v>1338</v>
      </c>
      <c r="BN70" s="1328" t="s">
        <v>1339</v>
      </c>
    </row>
    <row customHeight="1" ht="11.25">
      <c r="A71" s="1334" t="s">
        <v>1340</v>
      </c>
      <c r="AZ71" s="1381" t="s">
        <v>938</v>
      </c>
      <c r="BE71" s="1381">
        <v>2069</v>
      </c>
      <c r="BH71" s="1328" t="s">
        <v>1341</v>
      </c>
      <c r="BI71" s="1378" t="s">
        <v>90</v>
      </c>
      <c r="BJ71" s="1328" t="s">
        <v>1342</v>
      </c>
      <c r="BK71" s="1378" t="s">
        <v>90</v>
      </c>
      <c r="BL71" s="1328" t="s">
        <v>1343</v>
      </c>
      <c r="BN71" s="1328" t="s">
        <v>1344</v>
      </c>
    </row>
    <row customHeight="1" ht="11.25">
      <c r="A72" s="1334" t="s">
        <v>1345</v>
      </c>
      <c r="AZ72" s="1381" t="s">
        <v>57</v>
      </c>
      <c r="BE72" s="1381">
        <v>2070</v>
      </c>
      <c r="BH72" s="1328" t="s">
        <v>1346</v>
      </c>
      <c r="BJ72" s="1328" t="s">
        <v>1346</v>
      </c>
      <c r="BL72" s="1328" t="s">
        <v>1346</v>
      </c>
      <c r="BN72" s="1328" t="s">
        <v>1347</v>
      </c>
    </row>
    <row customHeight="1" ht="11.25">
      <c r="A73" s="1334" t="s">
        <v>1348</v>
      </c>
      <c r="BH73" s="1328" t="s">
        <v>1349</v>
      </c>
      <c r="BI73" s="1378" t="s">
        <v>111</v>
      </c>
      <c r="BJ73" s="1328" t="s">
        <v>1350</v>
      </c>
      <c r="BK73" s="1378" t="s">
        <v>111</v>
      </c>
      <c r="BL73" s="1328" t="s">
        <v>1351</v>
      </c>
      <c r="BN73" s="1328" t="s">
        <v>1352</v>
      </c>
    </row>
    <row customHeight="1" ht="11.25">
      <c r="A74" s="1334" t="s">
        <v>1353</v>
      </c>
      <c r="BH74" s="1328" t="s">
        <v>1354</v>
      </c>
      <c r="BJ74" s="1328" t="s">
        <v>1355</v>
      </c>
      <c r="BL74" s="1328" t="s">
        <v>1356</v>
      </c>
      <c r="BN74" s="1328" t="s">
        <v>1357</v>
      </c>
    </row>
    <row customHeight="1" ht="11.25">
      <c r="A75" s="1334" t="s">
        <v>1358</v>
      </c>
      <c r="AZ75" s="1327" t="s">
        <v>1359</v>
      </c>
      <c r="BH75" s="1328" t="s">
        <v>1360</v>
      </c>
      <c r="BJ75" s="1328" t="s">
        <v>1360</v>
      </c>
      <c r="BL75" s="1328" t="s">
        <v>1360</v>
      </c>
    </row>
    <row customHeight="1" ht="11.25">
      <c r="A76" s="1334" t="s">
        <v>1361</v>
      </c>
      <c r="AZ76" s="1381" t="s">
        <v>851</v>
      </c>
      <c r="BH76" s="1328" t="s">
        <v>1362</v>
      </c>
      <c r="BJ76" s="1328" t="s">
        <v>1363</v>
      </c>
      <c r="BL76" s="1328" t="s">
        <v>1364</v>
      </c>
    </row>
    <row customHeight="1" ht="11.25">
      <c r="A77" s="1334" t="s">
        <v>1365</v>
      </c>
      <c r="AZ77" s="1381" t="s">
        <v>880</v>
      </c>
    </row>
    <row customHeight="1" ht="11.25">
      <c r="A78" s="1334" t="s">
        <v>1366</v>
      </c>
      <c r="AZ78" s="1381" t="s">
        <v>912</v>
      </c>
    </row>
    <row customHeight="1" ht="11.25">
      <c r="A79" s="1334" t="s">
        <v>1367</v>
      </c>
      <c r="AZ79" s="1381" t="s">
        <v>942</v>
      </c>
      <c r="BH79" s="1327" t="s">
        <v>1368</v>
      </c>
      <c r="BJ79" s="1327" t="s">
        <v>1369</v>
      </c>
      <c r="BL79" s="1327" t="s">
        <v>1370</v>
      </c>
    </row>
    <row customHeight="1" ht="11.25">
      <c r="A80" s="1334" t="s">
        <v>1371</v>
      </c>
      <c r="AZ80" s="1381" t="s">
        <v>963</v>
      </c>
      <c r="BH80" s="1328" t="s">
        <v>1372</v>
      </c>
      <c r="BJ80" s="1328" t="s">
        <v>1373</v>
      </c>
      <c r="BL80" s="1328" t="s">
        <v>1374</v>
      </c>
    </row>
    <row customHeight="1" ht="11.25">
      <c r="A81" s="1334" t="s">
        <v>1375</v>
      </c>
      <c r="AZ81" s="1381" t="s">
        <v>980</v>
      </c>
      <c r="BH81" s="1328" t="s">
        <v>1376</v>
      </c>
      <c r="BJ81" s="1328" t="s">
        <v>1377</v>
      </c>
      <c r="BL81" s="1328" t="s">
        <v>1378</v>
      </c>
    </row>
    <row customHeight="1" ht="11.25">
      <c r="A82" s="1334" t="s">
        <v>1379</v>
      </c>
      <c r="AZ82" s="1381" t="s">
        <v>994</v>
      </c>
      <c r="BH82" s="1328" t="s">
        <v>1380</v>
      </c>
      <c r="BJ82" s="1328" t="s">
        <v>1381</v>
      </c>
      <c r="BL82" s="1328" t="s">
        <v>1382</v>
      </c>
    </row>
    <row customHeight="1" ht="11.25">
      <c r="A83" s="1334" t="s">
        <v>1383</v>
      </c>
      <c r="BH83" s="1328" t="s">
        <v>1384</v>
      </c>
      <c r="BJ83" s="1328" t="s">
        <v>1385</v>
      </c>
      <c r="BL83" s="1328" t="s">
        <v>1386</v>
      </c>
    </row>
    <row customHeight="1" ht="11.25">
      <c r="A84" s="1334" t="s">
        <v>1387</v>
      </c>
      <c r="AZ84" s="1327" t="s">
        <v>1388</v>
      </c>
    </row>
    <row customHeight="1" ht="11.25">
      <c r="A85" s="1334" t="s">
        <v>1389</v>
      </c>
      <c r="AZ85" s="1381" t="s">
        <v>1390</v>
      </c>
    </row>
    <row customHeight="1" ht="11.25">
      <c r="A86" s="1334" t="s">
        <v>1391</v>
      </c>
      <c r="AZ86" s="1381" t="s">
        <v>1392</v>
      </c>
      <c r="BH86" s="1327" t="s">
        <v>1393</v>
      </c>
      <c r="BJ86" s="1327" t="s">
        <v>1394</v>
      </c>
      <c r="BL86" s="1327" t="s">
        <v>1395</v>
      </c>
    </row>
    <row customHeight="1" ht="11.25">
      <c r="A87" s="1334" t="s">
        <v>1396</v>
      </c>
      <c r="AZ87" s="1381" t="s">
        <v>1397</v>
      </c>
      <c r="BH87" s="1328" t="s">
        <v>1398</v>
      </c>
      <c r="BJ87" s="1328" t="s">
        <v>1399</v>
      </c>
      <c r="BL87" s="1328" t="s">
        <v>1400</v>
      </c>
    </row>
    <row customHeight="1" ht="11.25">
      <c r="AZ88" s="1919"/>
      <c r="BH88" s="1328" t="s">
        <v>1401</v>
      </c>
      <c r="BJ88" s="1328" t="s">
        <v>1402</v>
      </c>
      <c r="BL88" s="1328" t="s">
        <v>1403</v>
      </c>
    </row>
    <row customHeight="1" ht="11.25">
      <c r="AZ89" s="1327" t="s">
        <v>1404</v>
      </c>
    </row>
    <row customHeight="1" ht="11.25">
      <c r="AZ90" s="1381" t="s">
        <v>1276</v>
      </c>
    </row>
    <row customHeight="1" ht="11.25">
      <c r="AZ91" s="1381" t="s">
        <v>1405</v>
      </c>
      <c r="BH91" s="1327" t="s">
        <v>1406</v>
      </c>
      <c r="BJ91" s="1327" t="s">
        <v>1407</v>
      </c>
      <c r="BL91" s="1327" t="s">
        <v>1408</v>
      </c>
    </row>
    <row customHeight="1" ht="11.25">
      <c r="AZ92" s="1381" t="s">
        <v>1409</v>
      </c>
      <c r="BH92" s="1328" t="s">
        <v>1410</v>
      </c>
      <c r="BJ92" s="1328" t="s">
        <v>1411</v>
      </c>
      <c r="BL92" s="1328" t="s">
        <v>1412</v>
      </c>
    </row>
    <row customHeight="1" ht="11.25">
      <c r="AZ93" s="1381" t="s">
        <v>1413</v>
      </c>
      <c r="BH93" s="1328" t="s">
        <v>1414</v>
      </c>
      <c r="BJ93" s="1328" t="s">
        <v>1415</v>
      </c>
      <c r="BL93" s="1328" t="s">
        <v>1416</v>
      </c>
    </row>
    <row customHeight="1" ht="11.25">
      <c r="AZ94" s="1381" t="s">
        <v>1417</v>
      </c>
    </row>
    <row r="96" customHeight="1" ht="11.25">
      <c r="BH96" s="1327" t="s">
        <v>1418</v>
      </c>
      <c r="BJ96" s="1327" t="s">
        <v>1419</v>
      </c>
      <c r="BL96" s="1327" t="s">
        <v>1420</v>
      </c>
      <c r="BN96" s="1327" t="s">
        <v>1421</v>
      </c>
    </row>
    <row customHeight="1" ht="11.25">
      <c r="BH97" s="1328" t="s">
        <v>1422</v>
      </c>
      <c r="BJ97" s="1328" t="s">
        <v>1423</v>
      </c>
      <c r="BL97" s="1328" t="s">
        <v>1424</v>
      </c>
      <c r="BN97" s="1328" t="s">
        <v>1425</v>
      </c>
    </row>
    <row customHeight="1" ht="11.25">
      <c r="BH98" s="1328" t="s">
        <v>1426</v>
      </c>
      <c r="BJ98" s="1328" t="s">
        <v>1427</v>
      </c>
      <c r="BL98" s="1328" t="s">
        <v>1428</v>
      </c>
      <c r="BN98" s="1328" t="s">
        <v>1429</v>
      </c>
    </row>
    <row customHeight="1" ht="11.25">
      <c r="BH99" s="1328" t="s">
        <v>1430</v>
      </c>
      <c r="BJ99" s="1328" t="s">
        <v>1431</v>
      </c>
      <c r="BL99" s="1328" t="s">
        <v>1432</v>
      </c>
      <c r="BN99" s="1328" t="s">
        <v>1433</v>
      </c>
    </row>
    <row customHeight="1" ht="11.25">
      <c r="BJ100" s="1328" t="s">
        <v>1040</v>
      </c>
      <c r="BL100" s="1328" t="s">
        <v>1040</v>
      </c>
      <c r="BN100" s="1328" t="s">
        <v>1434</v>
      </c>
    </row>
    <row customHeight="1" ht="11.25">
      <c r="BN101" s="1328" t="s">
        <v>1435</v>
      </c>
    </row>
    <row customHeight="1" ht="11.25">
      <c r="BN102" s="1328" t="s">
        <v>1436</v>
      </c>
    </row>
    <row customHeight="1" ht="11.25">
      <c r="BN103" s="1328" t="s">
        <v>1437</v>
      </c>
    </row>
    <row customHeight="1" ht="11.25">
      <c r="BN104" s="1328" t="s">
        <v>1438</v>
      </c>
    </row>
    <row r="107" customHeight="1" ht="11.25">
      <c r="BH107" s="1327" t="s">
        <v>1439</v>
      </c>
      <c r="BJ107" s="1327" t="s">
        <v>1440</v>
      </c>
      <c r="BL107" s="1327" t="s">
        <v>1441</v>
      </c>
      <c r="BN107" s="1327" t="s">
        <v>1442</v>
      </c>
    </row>
    <row customHeight="1" ht="11.25">
      <c r="BH108" s="1328" t="s">
        <v>1443</v>
      </c>
      <c r="BJ108" s="1328" t="s">
        <v>1444</v>
      </c>
      <c r="BL108" s="1328" t="s">
        <v>1445</v>
      </c>
      <c r="BN108" s="1328" t="s">
        <v>1446</v>
      </c>
    </row>
    <row customHeight="1" ht="11.25">
      <c r="BH109" s="1328" t="s">
        <v>1447</v>
      </c>
    </row>
    <row customHeight="1" ht="11.25">
      <c r="BH110" s="1328" t="s">
        <v>1447</v>
      </c>
    </row>
    <row r="114" customHeight="1" ht="11.25">
      <c r="BH114" s="1327" t="s">
        <v>1448</v>
      </c>
    </row>
    <row customHeight="1" ht="11.25">
      <c r="BH115" s="1328" t="s">
        <v>838</v>
      </c>
    </row>
    <row customHeight="1" ht="11.25">
      <c r="BH116" s="1328" t="s">
        <v>866</v>
      </c>
    </row>
    <row customHeight="1" ht="11.25">
      <c r="BH117" s="1328" t="s">
        <v>901</v>
      </c>
    </row>
    <row customHeight="1" ht="11.25">
      <c r="BH118" s="1328" t="s">
        <v>933</v>
      </c>
    </row>
  </sheetData>
  <sheetProtection formatColumns="0" formatRows="0"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legacy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C53A31B-38AA-A1F7-3DA1-4F0FB3FACDC8}" mc:Ignorable="x14ac xr xr2 xr3">
  <sheetPr>
    <tabColor rgb="FFFFCC99"/>
  </sheetPr>
  <dimension ref="A1:HL203"/>
  <sheetViews>
    <sheetView topLeftCell="A1" showGridLines="0" zoomScale="85" workbookViewId="0">
      <selection activeCell="A1" sqref="A1"/>
    </sheetView>
  </sheetViews>
  <sheetFormatPr customHeight="1" defaultRowHeight="17.1"/>
  <cols>
    <col min="1" max="1" style="11403" width="26.57421875" customWidth="1"/>
    <col min="2" max="2" style="11403" width="10.00390625" customWidth="1"/>
    <col min="4" max="4" style="11403" width="11.140625" customWidth="1"/>
    <col min="5" max="5" style="11403" width="16.57421875" customWidth="1"/>
    <col min="6" max="6" style="11403" width="16.28125" customWidth="1"/>
    <col min="7" max="7" style="11403" width="19.140625" customWidth="1"/>
    <col min="8" max="11" style="11403" width="10.00390625" customWidth="1"/>
    <col min="12" max="12" style="11403" width="12.7109375" customWidth="1"/>
    <col min="13" max="13" style="11403" width="61.28125" customWidth="1"/>
    <col min="14" max="14" style="11403" width="10.00390625" customWidth="1"/>
    <col min="15" max="17" style="11403" width="23.7109375" customWidth="1"/>
    <col min="18" max="18" style="11403" width="11.7109375" customWidth="1"/>
    <col min="19" max="19" style="11403" width="8.57421875" customWidth="1"/>
    <col min="20" max="20" style="11403" width="11.7109375" customWidth="1"/>
    <col min="21" max="21" style="11403" width="8.57421875" customWidth="1"/>
    <col min="22" max="22" style="11403" width="4.7109375" customWidth="1"/>
    <col min="23" max="23" style="11403" width="115.7109375" customWidth="1"/>
    <col min="24" max="24" style="11403" width="115.28125" customWidth="1"/>
    <col min="28" max="28" style="11403" width="115.7109375" customWidth="1"/>
    <col min="30" max="90" style="11403" width="115.7109375" customWidth="1"/>
  </cols>
  <sheetData>
    <row s="11403" customFormat="1" customHeight="1" ht="17.25"/>
    <row s="9233" customFormat="1" customHeight="1" ht="17.25">
      <c r="A2" s="284" t="s">
        <v>1449</v>
      </c>
    </row>
    <row s="11403" customFormat="1" customHeight="1" ht="17.25"/>
    <row s="11357" customFormat="1" customHeight="1" ht="15">
      <c r="C4" s="342"/>
      <c r="D4" s="318"/>
      <c r="E4" s="605"/>
    </row>
    <row r="6" s="9233" customFormat="1" customHeight="1" ht="17.25">
      <c r="A6" s="284" t="s">
        <v>1450</v>
      </c>
    </row>
    <row r="8" s="11357" customFormat="1" customHeight="1" ht="17.25">
      <c r="C8" s="293"/>
      <c r="D8" s="318"/>
      <c r="E8" s="319"/>
    </row>
    <row r="10" s="11403" customFormat="1" customHeight="1" ht="17.25"/>
    <row s="9233" customFormat="1" customHeight="1" ht="17.25">
      <c r="A11" s="284" t="s">
        <v>1451</v>
      </c>
    </row>
    <row s="11403" customFormat="1" customHeight="1" ht="17.25"/>
    <row s="9038" customFormat="1" customHeight="1" ht="14.25">
      <c r="A13" s="2270">
        <v>1</v>
      </c>
      <c r="B13" s="653"/>
      <c r="C13" s="1041" t="s">
        <v>121</v>
      </c>
      <c r="D13" s="1020"/>
      <c r="E13" s="427">
        <f>A13</f>
        <v>1</v>
      </c>
      <c r="F13" s="1046"/>
      <c r="G13" s="777" t="str">
        <f>"Территория "&amp;E13</f>
        <v>Территория 1</v>
      </c>
      <c r="H13" s="1032"/>
      <c r="I13" s="1032"/>
      <c r="J13" s="1029"/>
      <c r="K13" s="737"/>
      <c r="L13" s="737"/>
      <c r="M13" s="737"/>
      <c r="N13" s="434"/>
      <c r="O13" s="737"/>
      <c r="P13" s="433"/>
      <c r="Q13" s="433"/>
      <c r="R13" s="433"/>
      <c r="S13" s="433"/>
    </row>
    <row s="11403" customFormat="1" customHeight="1" ht="15">
      <c r="A14" s="2270"/>
      <c r="B14" s="653">
        <v>1</v>
      </c>
      <c r="C14" s="653"/>
      <c r="D14" s="1040" t="s">
        <v>121</v>
      </c>
      <c r="E14" s="1038" t="str">
        <f>A13&amp;"."&amp;B14</f>
        <v>1.1</v>
      </c>
      <c r="F14" s="1043">
        <f>$F$16</f>
        <v>0</v>
      </c>
      <c r="G14" s="1033"/>
      <c r="H14" s="1033"/>
      <c r="I14" s="1031"/>
      <c r="J14" s="737">
        <f>MERGEVALUE(G14)</f>
      </c>
      <c r="K14" s="748"/>
      <c r="L14" s="748"/>
      <c r="M14" s="737" t="str">
        <f t="array" ref="M14:M14">IF(ISERROR(MATCH(MID(N14,1,250),MID(note_ter,1,250),0)),"n","y")</f>
        <v>n</v>
      </c>
      <c r="N14" s="748"/>
      <c r="O14" s="737" t="str">
        <f>H14&amp;"("&amp;I14&amp;")"</f>
        <v>()</v>
      </c>
      <c r="P14" s="653"/>
      <c r="Q14" s="653"/>
      <c r="R14" s="656"/>
      <c r="S14" s="653"/>
      <c r="T14" s="653"/>
      <c r="U14" s="653"/>
      <c r="V14" s="658"/>
      <c r="W14" s="658"/>
      <c r="X14" s="655"/>
      <c r="Y14" s="655"/>
      <c r="Z14" s="655"/>
      <c r="AA14" s="655"/>
      <c r="AB14" s="655"/>
      <c r="AC14" s="655"/>
      <c r="AD14" s="655"/>
      <c r="AE14" s="655"/>
      <c r="AF14" s="655"/>
      <c r="AG14" s="655"/>
      <c r="AH14" s="655"/>
      <c r="AI14" s="655"/>
      <c r="AJ14" s="655"/>
      <c r="AK14" s="655"/>
      <c r="AL14" s="655"/>
      <c r="AM14" s="655"/>
      <c r="AN14" s="655"/>
      <c r="AO14" s="655"/>
      <c r="AP14" s="655"/>
      <c r="AQ14" s="655"/>
      <c r="AR14" s="655"/>
      <c r="AS14" s="655"/>
      <c r="AT14" s="655"/>
      <c r="AU14" s="655"/>
      <c r="AV14" s="655"/>
      <c r="AW14" s="655"/>
      <c r="AX14" s="655"/>
      <c r="AY14" s="655"/>
      <c r="AZ14" s="655"/>
      <c r="BA14" s="655"/>
      <c r="BB14" s="655"/>
      <c r="BC14" s="655"/>
      <c r="BD14" s="655"/>
      <c r="BE14" s="655"/>
      <c r="BF14" s="655"/>
      <c r="BG14" s="655"/>
      <c r="BH14" s="655"/>
      <c r="BI14" s="655"/>
      <c r="BJ14" s="655"/>
      <c r="BK14" s="655"/>
      <c r="BL14" s="655"/>
      <c r="BM14" s="655"/>
      <c r="BN14" s="655"/>
      <c r="BO14" s="655"/>
      <c r="BP14" s="655"/>
      <c r="BQ14" s="655"/>
      <c r="BR14" s="655"/>
      <c r="BS14" s="658"/>
      <c r="BT14" s="658"/>
      <c r="BU14" s="658"/>
      <c r="BV14" s="658"/>
      <c r="BW14" s="658"/>
      <c r="BX14" s="658"/>
      <c r="BY14" s="658"/>
      <c r="BZ14" s="658"/>
      <c r="CA14" s="658"/>
      <c r="CB14" s="658"/>
    </row>
    <row s="11403" customFormat="1" customHeight="1" ht="15">
      <c r="A15" s="2270"/>
      <c r="B15" s="653"/>
      <c r="C15" s="648"/>
      <c r="D15" s="1041"/>
      <c r="E15" s="657"/>
      <c r="F15" s="385"/>
      <c r="G15" s="651" t="s">
        <v>102</v>
      </c>
      <c r="H15" s="1044"/>
      <c r="I15" s="1045"/>
      <c r="J15" s="748"/>
      <c r="K15" s="748"/>
      <c r="L15" s="748"/>
      <c r="M15" s="748"/>
      <c r="N15" s="737"/>
      <c r="O15" s="748"/>
      <c r="P15" s="653"/>
      <c r="Q15" s="653"/>
      <c r="R15" s="656"/>
      <c r="S15" s="653"/>
      <c r="T15" s="653"/>
      <c r="U15" s="653"/>
      <c r="V15" s="658"/>
      <c r="W15" s="658"/>
      <c r="X15" s="655"/>
      <c r="Y15" s="655"/>
      <c r="Z15" s="655"/>
      <c r="AA15" s="655"/>
      <c r="AB15" s="655"/>
      <c r="AC15" s="655"/>
      <c r="AD15" s="655"/>
      <c r="AE15" s="655"/>
      <c r="AF15" s="655"/>
      <c r="AG15" s="655"/>
      <c r="AH15" s="655"/>
      <c r="AI15" s="655"/>
      <c r="AJ15" s="655"/>
      <c r="AK15" s="655"/>
      <c r="AL15" s="655"/>
      <c r="AM15" s="655"/>
      <c r="AN15" s="655"/>
      <c r="AO15" s="655"/>
      <c r="AP15" s="655"/>
      <c r="AQ15" s="655"/>
      <c r="AR15" s="655"/>
      <c r="AS15" s="655"/>
      <c r="AT15" s="655"/>
      <c r="AU15" s="655"/>
      <c r="AV15" s="655"/>
      <c r="AW15" s="655"/>
      <c r="AX15" s="655"/>
      <c r="AY15" s="655"/>
      <c r="AZ15" s="655"/>
      <c r="BA15" s="655"/>
      <c r="BB15" s="655"/>
      <c r="BC15" s="655"/>
      <c r="BD15" s="655"/>
      <c r="BE15" s="655"/>
      <c r="BF15" s="655"/>
      <c r="BG15" s="655"/>
      <c r="BH15" s="655"/>
      <c r="BI15" s="655"/>
      <c r="BJ15" s="655"/>
      <c r="BK15" s="655"/>
      <c r="BL15" s="655"/>
      <c r="BM15" s="655"/>
      <c r="BN15" s="655"/>
      <c r="BO15" s="655"/>
      <c r="BP15" s="655"/>
      <c r="BQ15" s="655"/>
      <c r="BR15" s="655"/>
      <c r="BS15" s="658"/>
      <c r="BT15" s="658"/>
      <c r="BU15" s="658"/>
      <c r="BV15" s="658"/>
      <c r="BW15" s="658"/>
      <c r="BX15" s="658"/>
      <c r="BY15" s="658"/>
      <c r="BZ15" s="658"/>
      <c r="CA15" s="658"/>
      <c r="CB15" s="658"/>
    </row>
    <row s="11403" customFormat="1" customHeight="1" ht="17.25"/>
    <row s="11403" customFormat="1" customHeight="1" ht="15">
      <c r="A17" s="284" t="s">
        <v>1452</v>
      </c>
      <c r="B17" s="284"/>
      <c r="C17" s="284"/>
      <c r="D17" s="284"/>
      <c r="E17" s="284"/>
      <c r="F17" s="284"/>
      <c r="G17" s="284"/>
      <c r="H17" s="284"/>
      <c r="I17" s="284"/>
      <c r="J17" s="284"/>
      <c r="K17" s="284"/>
      <c r="L17" s="284"/>
      <c r="M17" s="284"/>
      <c r="N17" s="284"/>
      <c r="O17" s="284"/>
      <c r="P17" s="284"/>
      <c r="Q17" s="284"/>
      <c r="R17" s="284"/>
      <c r="S17" s="284"/>
      <c r="T17" s="284"/>
      <c r="U17" s="391"/>
      <c r="V17" s="284"/>
      <c r="W17" s="284"/>
    </row>
    <row s="11403" customFormat="1" customHeight="1" ht="15">
      <c r="U18" s="392"/>
    </row>
    <row s="10859" customFormat="1" customHeight="1" ht="15">
      <c r="A19" s="503"/>
      <c r="B19" s="503"/>
      <c r="C19" s="2041" t="s">
        <v>121</v>
      </c>
      <c r="D19" s="2143" t="s">
        <v>109</v>
      </c>
      <c r="E19" s="2364"/>
      <c r="F19" s="2142" t="s">
        <v>57</v>
      </c>
      <c r="G19" s="2365"/>
      <c r="H19" s="2277">
        <v>1</v>
      </c>
      <c r="I19" s="2367" t="str">
        <f>IF(U19="","",INDEX(TERRITORY_MR_LIST,MATCH(U19,TERRITORY_LIST_ID,0)))</f>
        <v/>
      </c>
      <c r="J19" s="2142" t="s">
        <v>57</v>
      </c>
      <c r="K19" s="1077"/>
      <c r="L19" s="1048" t="s">
        <v>109</v>
      </c>
      <c r="M19" s="840"/>
      <c r="N19" s="841"/>
      <c r="O19" s="841"/>
      <c r="P19" s="841"/>
      <c r="Q19" s="841"/>
      <c r="R19" s="841"/>
      <c r="S19" s="841"/>
      <c r="T19" s="841"/>
      <c r="U19" s="842"/>
      <c r="V19" s="841"/>
      <c r="W19" s="841"/>
      <c r="X19" s="832"/>
      <c r="Y19" s="832" t="s">
        <v>120</v>
      </c>
      <c r="Z19" s="832">
        <v>1705000</v>
      </c>
      <c r="AA19" s="832"/>
      <c r="AB19" s="832"/>
      <c r="AC19" s="832"/>
      <c r="AD19" s="832"/>
      <c r="AE19" s="832"/>
      <c r="AF19" s="832"/>
      <c r="AG19" s="832"/>
      <c r="AH19" s="832"/>
      <c r="AI19" s="832"/>
      <c r="AJ19" s="832"/>
      <c r="AK19" s="832"/>
      <c r="AL19" s="832"/>
    </row>
    <row s="10859" customFormat="1" customHeight="1" ht="15">
      <c r="A20" s="503"/>
      <c r="B20" s="503"/>
      <c r="C20" s="384"/>
      <c r="D20" s="2143"/>
      <c r="E20" s="2364"/>
      <c r="F20" s="2142"/>
      <c r="G20" s="2366"/>
      <c r="H20" s="2277"/>
      <c r="I20" s="2368"/>
      <c r="J20" s="2142"/>
      <c r="K20" s="657"/>
      <c r="L20" s="385"/>
      <c r="M20" s="844" t="s">
        <v>196</v>
      </c>
      <c r="N20" s="841"/>
      <c r="O20" s="841"/>
      <c r="P20" s="841"/>
      <c r="Q20" s="841"/>
      <c r="R20" s="841"/>
      <c r="S20" s="841"/>
      <c r="T20" s="841"/>
      <c r="U20" s="842"/>
      <c r="V20" s="841"/>
      <c r="W20" s="841"/>
      <c r="X20" s="832"/>
      <c r="Y20" s="832"/>
      <c r="Z20" s="832"/>
      <c r="AA20" s="832"/>
      <c r="AB20" s="832"/>
      <c r="AC20" s="832"/>
      <c r="AD20" s="832"/>
      <c r="AE20" s="832"/>
      <c r="AF20" s="832"/>
      <c r="AG20" s="832"/>
      <c r="AH20" s="832"/>
      <c r="AI20" s="832"/>
      <c r="AJ20" s="832"/>
      <c r="AK20" s="832"/>
      <c r="AL20" s="832"/>
    </row>
    <row s="10859" customFormat="1" customHeight="1" ht="15">
      <c r="A21" s="503"/>
      <c r="B21" s="503"/>
      <c r="C21" s="384"/>
      <c r="D21" s="2143"/>
      <c r="E21" s="2364"/>
      <c r="F21" s="2142"/>
      <c r="G21" s="657"/>
      <c r="H21" s="385"/>
      <c r="I21" s="817" t="s">
        <v>197</v>
      </c>
      <c r="J21" s="385"/>
      <c r="K21" s="385"/>
      <c r="L21" s="385"/>
      <c r="M21" s="845"/>
      <c r="N21" s="841"/>
      <c r="O21" s="841"/>
      <c r="P21" s="841"/>
      <c r="Q21" s="841"/>
      <c r="R21" s="841"/>
      <c r="S21" s="841"/>
      <c r="T21" s="841"/>
      <c r="U21" s="842"/>
      <c r="V21" s="841"/>
      <c r="W21" s="841"/>
      <c r="X21" s="832"/>
      <c r="Y21" s="832"/>
      <c r="Z21" s="832"/>
      <c r="AA21" s="832"/>
      <c r="AB21" s="832"/>
      <c r="AC21" s="832"/>
      <c r="AD21" s="832"/>
      <c r="AE21" s="832"/>
      <c r="AF21" s="832"/>
      <c r="AG21" s="832"/>
      <c r="AH21" s="832"/>
      <c r="AI21" s="832"/>
      <c r="AJ21" s="832"/>
      <c r="AK21" s="832"/>
      <c r="AL21" s="832"/>
    </row>
    <row s="11403" customFormat="1" customHeight="1" ht="15">
      <c r="U22" s="392"/>
    </row>
    <row s="11403" customFormat="1" customHeight="1" ht="15">
      <c r="A23" s="284" t="s">
        <v>1453</v>
      </c>
      <c r="B23" s="284"/>
      <c r="C23" s="284"/>
      <c r="D23" s="284"/>
      <c r="E23" s="284"/>
      <c r="F23" s="284"/>
      <c r="G23" s="284"/>
      <c r="H23" s="284"/>
      <c r="I23" s="284"/>
      <c r="J23" s="284"/>
      <c r="K23" s="284"/>
      <c r="L23" s="284"/>
      <c r="M23" s="284"/>
      <c r="N23" s="284"/>
      <c r="O23" s="284"/>
      <c r="P23" s="284"/>
      <c r="Q23" s="284"/>
      <c r="R23" s="284"/>
      <c r="S23" s="284"/>
      <c r="T23" s="284"/>
      <c r="U23" s="391"/>
      <c r="V23" s="284"/>
      <c r="W23" s="284"/>
    </row>
    <row s="11403" customFormat="1" customHeight="1" ht="15">
      <c r="U24" s="392"/>
    </row>
    <row s="10859" customFormat="1" customHeight="1" ht="15">
      <c r="A25" s="503"/>
      <c r="B25" s="503"/>
      <c r="C25" s="384"/>
      <c r="D25" s="2043"/>
      <c r="E25" s="2043"/>
      <c r="F25" s="2043"/>
      <c r="G25" s="2369" t="s">
        <v>121</v>
      </c>
      <c r="H25" s="2138">
        <v>1</v>
      </c>
      <c r="I25" s="2370" t="str">
        <f>IF(U25="","",INDEX(TERRITORY_MR_LIST,MATCH(U25,TERRITORY_LIST_ID,0)))</f>
        <v/>
      </c>
      <c r="J25" s="2142" t="s">
        <v>57</v>
      </c>
      <c r="K25" s="1077"/>
      <c r="L25" s="1048" t="s">
        <v>109</v>
      </c>
      <c r="M25" s="840"/>
      <c r="N25" s="841"/>
      <c r="O25" s="841"/>
      <c r="P25" s="841"/>
      <c r="Q25" s="841"/>
      <c r="R25" s="841"/>
      <c r="S25" s="841"/>
      <c r="T25" s="841"/>
      <c r="U25" s="842"/>
      <c r="V25" s="841"/>
      <c r="W25" s="841"/>
      <c r="X25" s="832"/>
      <c r="Y25" s="832" t="s">
        <v>120</v>
      </c>
      <c r="Z25" s="832">
        <v>1705000</v>
      </c>
      <c r="AA25" s="832"/>
      <c r="AB25" s="832"/>
      <c r="AC25" s="832"/>
      <c r="AD25" s="832"/>
      <c r="AE25" s="832"/>
      <c r="AF25" s="832"/>
      <c r="AG25" s="832"/>
      <c r="AH25" s="832"/>
      <c r="AI25" s="832"/>
      <c r="AJ25" s="832"/>
      <c r="AK25" s="832"/>
      <c r="AL25" s="832"/>
    </row>
    <row s="10859" customFormat="1" customHeight="1" ht="15">
      <c r="A26" s="503"/>
      <c r="B26" s="503"/>
      <c r="C26" s="384"/>
      <c r="D26" s="2043"/>
      <c r="E26" s="2043"/>
      <c r="F26" s="2043"/>
      <c r="G26" s="2369"/>
      <c r="H26" s="2138"/>
      <c r="I26" s="2370"/>
      <c r="J26" s="2142"/>
      <c r="K26" s="657"/>
      <c r="L26" s="385"/>
      <c r="M26" s="844" t="s">
        <v>196</v>
      </c>
      <c r="N26" s="841"/>
      <c r="O26" s="841"/>
      <c r="P26" s="841"/>
      <c r="Q26" s="841"/>
      <c r="R26" s="841"/>
      <c r="S26" s="841"/>
      <c r="T26" s="841"/>
      <c r="U26" s="842"/>
      <c r="V26" s="841"/>
      <c r="W26" s="841"/>
      <c r="X26" s="832"/>
      <c r="Y26" s="832"/>
      <c r="Z26" s="832"/>
      <c r="AA26" s="832"/>
      <c r="AB26" s="832"/>
      <c r="AC26" s="832"/>
      <c r="AD26" s="832"/>
      <c r="AE26" s="832"/>
      <c r="AF26" s="832"/>
      <c r="AG26" s="832"/>
      <c r="AH26" s="832"/>
      <c r="AI26" s="832"/>
      <c r="AJ26" s="832"/>
      <c r="AK26" s="832"/>
      <c r="AL26" s="832"/>
    </row>
    <row s="11403" customFormat="1" customHeight="1" ht="15">
      <c r="U27" s="392"/>
    </row>
    <row s="11403" customFormat="1" customHeight="1" ht="15">
      <c r="A28" s="284" t="s">
        <v>1454</v>
      </c>
      <c r="B28" s="284"/>
      <c r="C28" s="284"/>
      <c r="D28" s="284"/>
      <c r="E28" s="284"/>
      <c r="F28" s="284"/>
      <c r="G28" s="284"/>
      <c r="H28" s="284"/>
      <c r="I28" s="284"/>
      <c r="J28" s="284"/>
      <c r="K28" s="284"/>
      <c r="L28" s="284"/>
      <c r="M28" s="284"/>
      <c r="N28" s="284"/>
      <c r="O28" s="284"/>
      <c r="P28" s="284"/>
      <c r="Q28" s="284"/>
      <c r="R28" s="284"/>
      <c r="S28" s="284"/>
      <c r="T28" s="284"/>
      <c r="U28" s="391"/>
      <c r="V28" s="284"/>
      <c r="W28" s="284"/>
    </row>
    <row s="11403" customFormat="1" customHeight="1" ht="15">
      <c r="U29" s="392"/>
    </row>
    <row s="10859" customFormat="1" customHeight="1" ht="15">
      <c r="A30" s="503"/>
      <c r="B30" s="503"/>
      <c r="C30" s="384"/>
      <c r="D30" s="2043"/>
      <c r="E30" s="2043"/>
      <c r="F30" s="2043"/>
      <c r="G30" s="2043"/>
      <c r="H30" s="2043"/>
      <c r="I30" s="2043"/>
      <c r="J30" s="2043"/>
      <c r="K30" s="2044" t="s">
        <v>121</v>
      </c>
      <c r="L30" s="2042" t="s">
        <v>109</v>
      </c>
      <c r="M30" s="1054"/>
      <c r="N30" s="1055"/>
      <c r="O30" s="841"/>
      <c r="P30" s="841"/>
      <c r="Q30" s="841"/>
      <c r="R30" s="841"/>
      <c r="S30" s="841"/>
      <c r="T30" s="841"/>
      <c r="U30" s="842"/>
      <c r="V30" s="841"/>
      <c r="W30" s="841"/>
      <c r="X30" s="832"/>
      <c r="Y30" s="832" t="s">
        <v>120</v>
      </c>
      <c r="Z30" s="832">
        <v>1705000</v>
      </c>
      <c r="AA30" s="832"/>
      <c r="AB30" s="832"/>
      <c r="AC30" s="832"/>
      <c r="AD30" s="832"/>
      <c r="AE30" s="832"/>
      <c r="AF30" s="832"/>
      <c r="AG30" s="832"/>
      <c r="AH30" s="832"/>
      <c r="AI30" s="832"/>
      <c r="AJ30" s="832"/>
      <c r="AK30" s="832"/>
      <c r="AL30" s="832"/>
    </row>
    <row s="11403" customFormat="1" customHeight="1" ht="15">
      <c r="U31" s="392"/>
    </row>
    <row s="11403" customFormat="1" customHeight="1" ht="15">
      <c r="U32" s="392"/>
    </row>
    <row s="9233" customFormat="1" customHeight="1" ht="11.25">
      <c r="A33" s="284" t="s">
        <v>1455</v>
      </c>
    </row>
    <row s="11403" customFormat="1" customHeight="1" ht="11.25"/>
    <row s="8929" customFormat="1" customHeight="1" ht="22.5">
      <c r="A35" s="1104"/>
      <c r="B35" s="694"/>
      <c r="C35" s="1105"/>
      <c r="D35" s="677"/>
      <c r="E35" s="1106"/>
      <c r="F35" s="1107"/>
      <c r="G35" s="1065"/>
      <c r="H35" s="712"/>
    </row>
    <row s="11403" customFormat="1" customHeight="1" ht="11.25"/>
    <row s="9233" customFormat="1" customHeight="1" ht="11.25">
      <c r="A37" s="284" t="s">
        <v>1456</v>
      </c>
    </row>
    <row s="11403" customFormat="1" customHeight="1" ht="11.25"/>
    <row s="8929" customFormat="1" customHeight="1" ht="22.5">
      <c r="A39" s="694"/>
      <c r="B39" s="694"/>
      <c r="C39" s="694"/>
      <c r="D39" s="677"/>
      <c r="E39" s="1106"/>
      <c r="F39" s="1108"/>
      <c r="G39" s="1065"/>
      <c r="H39" s="712"/>
    </row>
    <row s="11403" customFormat="1" customHeight="1" ht="17.25"/>
    <row s="11403" customFormat="1" customHeight="1" ht="17.25"/>
    <row s="9233" customFormat="1" customHeight="1" ht="17.25">
      <c r="A42" s="284" t="s">
        <v>1457</v>
      </c>
    </row>
    <row s="11403" customFormat="1" customHeight="1" ht="17.25"/>
    <row s="9070" customFormat="1" customHeight="1" ht="18.75">
      <c r="A44" s="598"/>
      <c r="B44" s="741"/>
      <c r="C44" s="741"/>
      <c r="D44" s="1113"/>
      <c r="E44" s="1072"/>
      <c r="F44" s="1115">
        <v>13</v>
      </c>
      <c r="G44" s="1114"/>
      <c r="H44" s="1033"/>
      <c r="I44" s="1031"/>
      <c r="J44" s="757" t="s">
        <v>67</v>
      </c>
      <c r="K44" s="1422" t="s">
        <v>17</v>
      </c>
      <c r="L44" s="598"/>
      <c r="M44" s="748"/>
      <c r="N44" s="748"/>
      <c r="O44" s="748"/>
      <c r="P44" s="753" t="s">
        <v>456</v>
      </c>
      <c r="Q44" s="753" t="s">
        <v>457</v>
      </c>
      <c r="R44" s="754" t="s">
        <v>458</v>
      </c>
      <c r="S44" s="748" t="s">
        <v>459</v>
      </c>
      <c r="T44" s="748"/>
      <c r="U44" s="748"/>
      <c r="V44" s="748"/>
    </row>
    <row s="11403" customFormat="1" customHeight="1" ht="17.25"/>
    <row s="9233" customFormat="1" customHeight="1" ht="11.25">
      <c r="A46" s="284" t="s">
        <v>1458</v>
      </c>
    </row>
    <row s="11403" customFormat="1" customHeight="1" ht="17.25"/>
    <row s="11126" customFormat="1" customHeight="1" ht="14.25">
      <c r="C48" s="1066"/>
      <c r="D48" s="671"/>
      <c r="E48" s="1129"/>
      <c r="F48" s="1101"/>
      <c r="G48" s="1102"/>
      <c r="H48" s="670"/>
      <c r="I48" s="670"/>
      <c r="J48" s="670"/>
      <c r="K48" s="669"/>
      <c r="L48" s="668"/>
      <c r="M48" s="669"/>
      <c r="N48" s="670"/>
      <c r="O48" s="669"/>
      <c r="P48" s="670"/>
      <c r="Q48" s="669"/>
      <c r="R48" s="670"/>
      <c r="S48" s="1100"/>
      <c r="T48" s="670"/>
      <c r="U48" s="670"/>
      <c r="V48" s="670"/>
      <c r="W48" s="1071"/>
      <c r="X48" s="670"/>
      <c r="Y48" s="670"/>
      <c r="Z48" s="670"/>
      <c r="AA48" s="1071"/>
      <c r="AB48" s="670"/>
      <c r="AC48" s="670"/>
      <c r="AD48" s="1071"/>
      <c r="AE48" s="598"/>
      <c r="AF48" s="598"/>
      <c r="AG48" s="598"/>
      <c r="AH48" s="598"/>
      <c r="AJ48" s="748"/>
      <c r="AK48" s="748"/>
      <c r="AL48" s="748"/>
      <c r="AM48" s="748"/>
      <c r="AN48" s="748"/>
      <c r="AO48" s="748"/>
      <c r="AP48" s="737" t="s">
        <v>445</v>
      </c>
      <c r="AQ48" s="737" t="s">
        <v>445</v>
      </c>
      <c r="AR48" s="748"/>
      <c r="AS48" s="748"/>
    </row>
    <row s="11403" customFormat="1" customHeight="1" ht="17.25"/>
    <row s="9233" customFormat="1" customHeight="1" ht="11.25">
      <c r="A50" s="284" t="s">
        <v>1459</v>
      </c>
    </row>
    <row s="11403" customFormat="1" customHeight="1" ht="17.25"/>
    <row s="11265" customFormat="1" customHeight="1" ht="14.25">
      <c r="A52" s="351" t="s">
        <v>90</v>
      </c>
      <c r="B52" s="330" t="s">
        <v>17</v>
      </c>
      <c r="C52" s="331"/>
      <c r="D52" s="333"/>
      <c r="E52" s="612"/>
      <c r="F52" s="612"/>
      <c r="G52" s="2049"/>
      <c r="H52" s="613"/>
      <c r="I52" s="1082"/>
      <c r="K52" s="480"/>
      <c r="L52" s="481"/>
    </row>
    <row s="11403" customFormat="1" customHeight="1" ht="17.25"/>
    <row s="9233" customFormat="1" customHeight="1" ht="11.25">
      <c r="A54" s="284" t="s">
        <v>1460</v>
      </c>
    </row>
    <row s="11403" customFormat="1" customHeight="1" ht="17.25"/>
    <row s="11126" customFormat="1" customHeight="1" ht="14.25">
      <c r="A56" s="564"/>
      <c r="B56" s="653"/>
      <c r="C56" s="602"/>
      <c r="D56" s="1133"/>
      <c r="E56" s="3670"/>
      <c r="F56" s="613"/>
      <c r="G56" s="598"/>
      <c r="I56" s="737"/>
      <c r="J56" s="737"/>
    </row>
    <row s="11403" customFormat="1" customHeight="1" ht="17.25"/>
    <row s="9233" customFormat="1" customHeight="1" ht="11.25">
      <c r="A58" s="284" t="s">
        <v>1461</v>
      </c>
    </row>
    <row s="11403" customFormat="1" customHeight="1" ht="17.25"/>
    <row s="11126" customFormat="1" customHeight="1" ht="27">
      <c r="A60" s="1427"/>
      <c r="B60" s="1427"/>
      <c r="C60" s="1427"/>
      <c r="D60" s="1421"/>
      <c r="E60" s="1459"/>
      <c r="F60" s="2394"/>
      <c r="G60" s="2395"/>
      <c r="H60" s="2396" t="s">
        <v>67</v>
      </c>
      <c r="I60" s="2398"/>
      <c r="J60" s="2359"/>
      <c r="K60" s="2400"/>
      <c r="L60" s="2361"/>
      <c r="M60" s="2361"/>
      <c r="N60" s="2362"/>
      <c r="O60" s="2362"/>
      <c r="P60" s="2363">
        <f>DATEDIF(DATEVALUE(N60),DATEVALUE(O60),"y")&amp;"г. "&amp;DATEDIF(DATEVALUE(N60),DATEVALUE(O60),"ym")&amp;"мес. "&amp;DATEVALUE(O60)-DATE(YEAR(DATEVALUE(O60)),MONTH(DATEVALUE(O60)),1)&amp;"дн. "</f>
      </c>
      <c r="Q60" s="2358"/>
      <c r="R60" s="2358"/>
      <c r="S60" s="2358"/>
      <c r="T60" s="2359"/>
      <c r="U60" s="2358"/>
      <c r="V60" s="2358"/>
      <c r="W60" s="2358"/>
      <c r="X60" s="2359"/>
      <c r="Y60" s="2356" t="s">
        <v>67</v>
      </c>
      <c r="Z60" s="1457"/>
      <c r="AA60" s="1458">
        <v>1</v>
      </c>
      <c r="AB60" s="1520"/>
      <c r="AD60" s="748" t="s">
        <v>1462</v>
      </c>
    </row>
    <row s="11126" customFormat="1" customHeight="1" ht="10.5">
      <c r="A61" s="1427"/>
      <c r="B61" s="1427"/>
      <c r="C61" s="1427"/>
      <c r="D61" s="1421"/>
      <c r="E61" s="1203"/>
      <c r="F61" s="2394"/>
      <c r="G61" s="2395"/>
      <c r="H61" s="2397"/>
      <c r="I61" s="2399"/>
      <c r="J61" s="2360"/>
      <c r="K61" s="2400"/>
      <c r="L61" s="2361"/>
      <c r="M61" s="2361"/>
      <c r="N61" s="2362"/>
      <c r="O61" s="2362"/>
      <c r="P61" s="2363"/>
      <c r="Q61" s="2358"/>
      <c r="R61" s="2358"/>
      <c r="S61" s="2358"/>
      <c r="T61" s="2360"/>
      <c r="U61" s="2358"/>
      <c r="V61" s="2358"/>
      <c r="W61" s="2358"/>
      <c r="X61" s="2360"/>
      <c r="Y61" s="2357"/>
      <c r="Z61" s="568"/>
      <c r="AA61" s="809"/>
      <c r="AB61" s="889" t="s">
        <v>1463</v>
      </c>
    </row>
    <row s="11403" customFormat="1" customHeight="1" ht="17.25"/>
    <row s="9233" customFormat="1" customHeight="1" ht="11.25">
      <c r="A63" s="284" t="s">
        <v>1464</v>
      </c>
    </row>
    <row s="11403" customFormat="1" customHeight="1" ht="17.25"/>
    <row s="11126" customFormat="1" customHeight="1" ht="27">
      <c r="A65" s="1427"/>
      <c r="B65" s="1427"/>
      <c r="C65" s="1427"/>
      <c r="D65" s="1421"/>
      <c r="E65" s="2057"/>
      <c r="F65" s="2064"/>
      <c r="G65" s="2077"/>
      <c r="H65" s="2078"/>
      <c r="I65" s="2079"/>
      <c r="J65" s="2080"/>
      <c r="K65" s="2081"/>
      <c r="L65" s="2082"/>
      <c r="M65" s="2082"/>
      <c r="N65" s="2083"/>
      <c r="O65" s="2083"/>
      <c r="P65" s="2084"/>
      <c r="Q65" s="2085"/>
      <c r="R65" s="2085"/>
      <c r="S65" s="2085"/>
      <c r="T65" s="2080"/>
      <c r="U65" s="2085"/>
      <c r="V65" s="2085"/>
      <c r="W65" s="2085"/>
      <c r="X65" s="2080"/>
      <c r="Y65" s="2078"/>
      <c r="Z65" s="2056"/>
      <c r="AA65" s="2055">
        <v>1</v>
      </c>
      <c r="AB65" s="1520"/>
      <c r="AD65" s="1949" t="s">
        <v>1462</v>
      </c>
    </row>
    <row s="11403" customFormat="1" customHeight="1" ht="17.25"/>
    <row s="9233" customFormat="1" customHeight="1" ht="11.25">
      <c r="A67" s="284" t="s">
        <v>1465</v>
      </c>
    </row>
    <row s="11403" customFormat="1" customHeight="1" ht="17.25"/>
    <row s="11126" customFormat="1" customHeight="1" ht="21">
      <c r="A69" s="1428"/>
      <c r="B69" s="1427"/>
      <c r="C69" s="1427"/>
      <c r="D69" s="1421"/>
      <c r="E69" s="1431"/>
      <c r="F69" s="1383">
        <f>INDEX(IP_MAIN_LIST_NAME_IP,MATCH(A69,IP_MAIN_LIST_IP_ID,0))&amp;" ("&amp;INDEX(IP_MAIN_START_DATE,MATCH(A69,IP_MAIN_LIST_IP_ID,0))&amp;"-"&amp;INDEX(IP_MAIN_END_DATE,MATCH(A69,IP_MAIN_LIST_IP_ID,0))&amp;")"</f>
      </c>
      <c r="G69" s="1384"/>
      <c r="H69" s="1384"/>
      <c r="I69" s="1450"/>
      <c r="J69" s="1450"/>
      <c r="K69" s="1451"/>
      <c r="L69" s="1451"/>
      <c r="M69" s="1451"/>
      <c r="N69" s="1452"/>
      <c r="O69" s="1452"/>
      <c r="P69" s="1452"/>
      <c r="Q69" s="1452"/>
      <c r="R69" s="1452"/>
      <c r="S69" s="1452"/>
      <c r="T69" s="1452"/>
      <c r="U69" s="1452"/>
      <c r="V69" s="1452"/>
      <c r="W69" s="1452"/>
      <c r="X69" s="1452"/>
      <c r="Y69" s="1452"/>
      <c r="Z69" s="1452"/>
      <c r="AA69" s="1452"/>
      <c r="AB69" s="1452"/>
      <c r="AC69" s="1452"/>
      <c r="AD69" s="1452"/>
      <c r="AE69" s="1453"/>
      <c r="AF69" s="1451"/>
      <c r="AG69" s="1451"/>
      <c r="AH69" s="1451"/>
      <c r="AI69" s="1451"/>
      <c r="AJ69" s="1451"/>
      <c r="AK69" s="1451"/>
      <c r="AL69" s="1432"/>
      <c r="AM69" s="1418"/>
      <c r="AN69" s="1418"/>
      <c r="AO69" s="1418"/>
      <c r="AP69" s="1418"/>
      <c r="AQ69" s="1418"/>
      <c r="AR69" s="1418"/>
      <c r="AS69" s="1418"/>
      <c r="AT69" s="1418"/>
      <c r="AU69" s="1418"/>
      <c r="AV69" s="1418"/>
      <c r="AW69" s="1418"/>
      <c r="AX69" s="1418"/>
      <c r="AY69" s="1418"/>
      <c r="AZ69" s="1418"/>
      <c r="BA69" s="1418"/>
      <c r="BB69" s="1418"/>
      <c r="BC69" s="1418"/>
      <c r="BD69" s="1418"/>
      <c r="BE69" s="1418"/>
      <c r="BF69" s="1418"/>
    </row>
    <row s="11126" customFormat="1" customHeight="1" ht="11.25">
      <c r="A70" s="1427"/>
      <c r="B70" s="1427"/>
      <c r="C70" s="1427"/>
      <c r="D70" s="1421"/>
      <c r="E70" s="1431"/>
      <c r="F70" s="2354"/>
      <c r="G70" s="2331"/>
      <c r="H70" s="2331" t="s">
        <v>109</v>
      </c>
      <c r="I70" s="2332"/>
      <c r="J70" s="2333"/>
      <c r="K70" s="2334"/>
      <c r="L70" s="2323" t="s">
        <v>57</v>
      </c>
      <c r="M70" s="2335"/>
      <c r="N70" s="1440"/>
      <c r="O70" s="1439" t="s">
        <v>440</v>
      </c>
      <c r="P70" s="1440"/>
      <c r="Q70" s="1440"/>
      <c r="R70" s="1440"/>
      <c r="S70" s="1440"/>
      <c r="T70" s="1440"/>
      <c r="U70" s="1440"/>
      <c r="V70" s="1440"/>
      <c r="W70" s="1440"/>
      <c r="X70" s="1440"/>
      <c r="Y70" s="1440"/>
      <c r="Z70" s="1440"/>
      <c r="AA70" s="1440"/>
      <c r="AB70" s="1440"/>
      <c r="AC70" s="1440"/>
      <c r="AD70" s="1440"/>
      <c r="AE70" s="1440"/>
      <c r="AF70" s="2322"/>
      <c r="AG70" s="2323"/>
      <c r="AH70" s="2323"/>
      <c r="AI70" s="2322"/>
      <c r="AJ70" s="2323"/>
      <c r="AK70" s="2323"/>
      <c r="AL70" s="1434"/>
      <c r="AM70" s="1418"/>
      <c r="AN70" s="1418"/>
      <c r="AO70" s="1418"/>
      <c r="AP70" s="1418"/>
      <c r="AQ70" s="1418"/>
      <c r="AR70" s="1418"/>
      <c r="AS70" s="1418"/>
      <c r="AT70" s="1418"/>
      <c r="AU70" s="1418"/>
      <c r="AV70" s="1418"/>
      <c r="AW70" s="1418"/>
      <c r="AX70" s="1418"/>
      <c r="AY70" s="1418"/>
      <c r="AZ70" s="1418"/>
      <c r="BA70" s="1418"/>
      <c r="BB70" s="1418"/>
      <c r="BC70" s="1418"/>
      <c r="BD70" s="1418"/>
      <c r="BE70" s="1418"/>
      <c r="BF70" s="1418"/>
    </row>
    <row s="11126" customFormat="1" customHeight="1" ht="11.25">
      <c r="A71" s="1427"/>
      <c r="B71" s="1427"/>
      <c r="C71" s="1427"/>
      <c r="D71" s="1421"/>
      <c r="E71" s="1431"/>
      <c r="F71" s="2354"/>
      <c r="G71" s="2331"/>
      <c r="H71" s="2331"/>
      <c r="I71" s="2332"/>
      <c r="J71" s="2333"/>
      <c r="K71" s="2334"/>
      <c r="L71" s="2323"/>
      <c r="M71" s="2335"/>
      <c r="N71" s="2324"/>
      <c r="O71" s="2325">
        <v>1</v>
      </c>
      <c r="P71" s="3733" t="s">
        <v>57</v>
      </c>
      <c r="Q71" s="3734" t="s">
        <v>17</v>
      </c>
      <c r="R71" s="3734" t="s">
        <v>17</v>
      </c>
      <c r="S71" s="3734" t="s">
        <v>17</v>
      </c>
      <c r="T71" s="3734" t="s">
        <v>17</v>
      </c>
      <c r="U71" s="3734" t="s">
        <v>17</v>
      </c>
      <c r="V71" s="3734" t="s">
        <v>17</v>
      </c>
      <c r="W71" s="3734" t="s">
        <v>17</v>
      </c>
      <c r="X71" s="3734" t="s">
        <v>17</v>
      </c>
      <c r="Y71" s="3734"/>
      <c r="Z71" s="1437"/>
      <c r="AA71" s="1438"/>
      <c r="AB71" s="1438"/>
      <c r="AC71" s="3737"/>
      <c r="AD71" s="3737"/>
      <c r="AE71" s="3738"/>
      <c r="AF71" s="2322"/>
      <c r="AG71" s="2323"/>
      <c r="AH71" s="2323"/>
      <c r="AI71" s="2322"/>
      <c r="AJ71" s="2323"/>
      <c r="AK71" s="2323"/>
      <c r="AL71" s="1434"/>
      <c r="AM71" s="1418"/>
      <c r="AN71" s="1418"/>
      <c r="AO71" s="1418"/>
      <c r="AP71" s="1418"/>
      <c r="AQ71" s="1418"/>
      <c r="AR71" s="1418"/>
      <c r="AS71" s="1418"/>
      <c r="AT71" s="1418"/>
      <c r="AU71" s="1418"/>
      <c r="AV71" s="1418"/>
      <c r="AW71" s="1418"/>
      <c r="AX71" s="1418"/>
      <c r="AY71" s="1418"/>
      <c r="AZ71" s="1418"/>
      <c r="BA71" s="1418"/>
      <c r="BB71" s="1418"/>
      <c r="BC71" s="1418"/>
      <c r="BD71" s="1418"/>
      <c r="BE71" s="1418"/>
      <c r="BF71" s="1418"/>
    </row>
    <row s="11126" customFormat="1" customHeight="1" ht="11.25">
      <c r="A72" s="1427"/>
      <c r="B72" s="1427"/>
      <c r="C72" s="1427"/>
      <c r="D72" s="1421"/>
      <c r="E72" s="1431"/>
      <c r="F72" s="2354"/>
      <c r="G72" s="2331"/>
      <c r="H72" s="2331"/>
      <c r="I72" s="2332"/>
      <c r="J72" s="2333"/>
      <c r="K72" s="2334"/>
      <c r="L72" s="2323"/>
      <c r="M72" s="2335"/>
      <c r="N72" s="2324"/>
      <c r="O72" s="2325"/>
      <c r="P72" s="3739"/>
      <c r="Q72" s="3734"/>
      <c r="R72" s="3734"/>
      <c r="S72" s="3740"/>
      <c r="T72" s="3734"/>
      <c r="U72" s="3734"/>
      <c r="V72" s="3734"/>
      <c r="W72" s="3734"/>
      <c r="X72" s="3734"/>
      <c r="Y72" s="3734"/>
      <c r="Z72" s="1441"/>
      <c r="AA72" s="1442">
        <v>1</v>
      </c>
      <c r="AB72" s="3743"/>
      <c r="AC72" s="1430"/>
      <c r="AD72" s="3743">
        <f>AB72</f>
        <v>0</v>
      </c>
      <c r="AE72" s="1430"/>
      <c r="AF72" s="2322"/>
      <c r="AG72" s="2323"/>
      <c r="AH72" s="2323"/>
      <c r="AI72" s="2322"/>
      <c r="AJ72" s="2323"/>
      <c r="AK72" s="2323"/>
      <c r="AL72" s="1434"/>
      <c r="AM72" s="1418"/>
      <c r="AN72" s="1418"/>
      <c r="AO72" s="1418"/>
      <c r="AP72" s="1418"/>
      <c r="AQ72" s="1418"/>
      <c r="AR72" s="1418"/>
      <c r="AS72" s="1418"/>
      <c r="AT72" s="1418"/>
      <c r="AU72" s="1418"/>
      <c r="AV72" s="1418"/>
      <c r="AW72" s="1418"/>
      <c r="AX72" s="1418"/>
      <c r="AY72" s="1418"/>
      <c r="AZ72" s="1418"/>
      <c r="BA72" s="1418"/>
      <c r="BB72" s="1418"/>
      <c r="BC72" s="1418"/>
      <c r="BD72" s="1418"/>
      <c r="BE72" s="1418"/>
      <c r="BF72" s="1418"/>
    </row>
    <row s="11126" customFormat="1" customHeight="1" ht="11.25">
      <c r="A73" s="1427"/>
      <c r="B73" s="1427"/>
      <c r="C73" s="1427"/>
      <c r="D73" s="1421"/>
      <c r="E73" s="1431"/>
      <c r="F73" s="2354"/>
      <c r="G73" s="2331"/>
      <c r="H73" s="2331"/>
      <c r="I73" s="2332"/>
      <c r="J73" s="2333"/>
      <c r="K73" s="2334"/>
      <c r="L73" s="2323"/>
      <c r="M73" s="2335"/>
      <c r="N73" s="2324"/>
      <c r="O73" s="2325"/>
      <c r="P73" s="3745"/>
      <c r="Q73" s="3734"/>
      <c r="R73" s="3734"/>
      <c r="S73" s="3740"/>
      <c r="T73" s="3734"/>
      <c r="U73" s="3734"/>
      <c r="V73" s="3734"/>
      <c r="W73" s="3734"/>
      <c r="X73" s="3734"/>
      <c r="Y73" s="3734"/>
      <c r="Z73" s="1437"/>
      <c r="AA73" s="1438"/>
      <c r="AB73" s="1519" t="s">
        <v>1466</v>
      </c>
      <c r="AC73" s="3737"/>
      <c r="AD73" s="3737"/>
      <c r="AE73" s="3747"/>
      <c r="AF73" s="2322"/>
      <c r="AG73" s="2323"/>
      <c r="AH73" s="2323"/>
      <c r="AI73" s="2322"/>
      <c r="AJ73" s="2323"/>
      <c r="AK73" s="2323"/>
      <c r="AL73" s="1434"/>
      <c r="AM73" s="1418"/>
      <c r="AN73" s="1418"/>
      <c r="AO73" s="1418"/>
      <c r="AP73" s="1418"/>
      <c r="AQ73" s="1418"/>
      <c r="AR73" s="1418"/>
      <c r="AS73" s="1418"/>
      <c r="AT73" s="1418"/>
      <c r="AU73" s="1418"/>
      <c r="AV73" s="1418"/>
      <c r="AW73" s="1418"/>
      <c r="AX73" s="1418"/>
      <c r="AY73" s="1418"/>
      <c r="AZ73" s="1418"/>
      <c r="BA73" s="1418"/>
      <c r="BB73" s="1418"/>
      <c r="BC73" s="1418"/>
      <c r="BD73" s="1418"/>
      <c r="BE73" s="1418"/>
      <c r="BF73" s="1418"/>
    </row>
    <row s="11126" customFormat="1" customHeight="1" ht="11.25">
      <c r="A74" s="1427"/>
      <c r="B74" s="1427"/>
      <c r="C74" s="1427"/>
      <c r="D74" s="1421"/>
      <c r="E74" s="1431"/>
      <c r="F74" s="2354"/>
      <c r="G74" s="2331"/>
      <c r="H74" s="2331"/>
      <c r="I74" s="2332"/>
      <c r="J74" s="2333"/>
      <c r="K74" s="2334"/>
      <c r="L74" s="2323"/>
      <c r="M74" s="2335"/>
      <c r="N74" s="1438"/>
      <c r="O74" s="1438"/>
      <c r="P74" s="1429" t="s">
        <v>1467</v>
      </c>
      <c r="Q74" s="1438"/>
      <c r="R74" s="1438"/>
      <c r="S74" s="1438"/>
      <c r="T74" s="1438"/>
      <c r="U74" s="1438"/>
      <c r="V74" s="1438"/>
      <c r="W74" s="1438"/>
      <c r="X74" s="1438"/>
      <c r="Y74" s="1438"/>
      <c r="Z74" s="1438"/>
      <c r="AA74" s="1438"/>
      <c r="AB74" s="1438"/>
      <c r="AC74" s="1438"/>
      <c r="AD74" s="1438"/>
      <c r="AE74" s="1447"/>
      <c r="AF74" s="2322"/>
      <c r="AG74" s="2323"/>
      <c r="AH74" s="2323"/>
      <c r="AI74" s="2322"/>
      <c r="AJ74" s="2323"/>
      <c r="AK74" s="2323"/>
      <c r="AL74" s="1434"/>
      <c r="AM74" s="1418"/>
      <c r="AN74" s="1418"/>
      <c r="AO74" s="1418"/>
      <c r="AP74" s="1418"/>
      <c r="AQ74" s="1418"/>
      <c r="AR74" s="1418"/>
      <c r="AS74" s="1418"/>
      <c r="AT74" s="1418"/>
      <c r="AU74" s="1418"/>
      <c r="AV74" s="1418"/>
      <c r="AW74" s="1418"/>
      <c r="AX74" s="1418"/>
      <c r="AY74" s="1418"/>
      <c r="AZ74" s="1418"/>
      <c r="BA74" s="1418"/>
      <c r="BB74" s="1418"/>
      <c r="BC74" s="1418"/>
      <c r="BD74" s="1418"/>
      <c r="BE74" s="1418"/>
      <c r="BF74" s="1418"/>
    </row>
    <row s="11126" customFormat="1" customHeight="1" ht="12">
      <c r="A75" s="1427"/>
      <c r="B75" s="1427"/>
      <c r="C75" s="1427"/>
      <c r="D75" s="1421"/>
      <c r="E75" s="1431"/>
      <c r="F75" s="2355"/>
      <c r="G75" s="1455"/>
      <c r="H75" s="1455"/>
      <c r="I75" s="2353" t="s">
        <v>1468</v>
      </c>
      <c r="J75" s="2353"/>
      <c r="K75" s="2353"/>
      <c r="L75" s="1435"/>
      <c r="M75" s="1435"/>
      <c r="N75" s="1436"/>
      <c r="O75" s="1436"/>
      <c r="P75" s="1436"/>
      <c r="Q75" s="1436"/>
      <c r="R75" s="1436"/>
      <c r="S75" s="1436"/>
      <c r="T75" s="1436"/>
      <c r="U75" s="1436"/>
      <c r="V75" s="1436"/>
      <c r="W75" s="1436"/>
      <c r="X75" s="1436"/>
      <c r="Y75" s="1436"/>
      <c r="Z75" s="1436"/>
      <c r="AA75" s="1436"/>
      <c r="AB75" s="1436"/>
      <c r="AC75" s="1436"/>
      <c r="AD75" s="1436"/>
      <c r="AE75" s="1436"/>
      <c r="AF75" s="1436"/>
      <c r="AG75" s="1435"/>
      <c r="AH75" s="1435"/>
      <c r="AI75" s="1436"/>
      <c r="AJ75" s="1435"/>
      <c r="AK75" s="1448"/>
      <c r="AL75" s="1434"/>
      <c r="AM75" s="1418"/>
      <c r="AN75" s="1418"/>
      <c r="AO75" s="1418"/>
      <c r="AP75" s="1418"/>
      <c r="AQ75" s="1418"/>
      <c r="AR75" s="1418"/>
      <c r="AS75" s="1418"/>
      <c r="AT75" s="1418"/>
      <c r="AU75" s="1418"/>
      <c r="AV75" s="1418"/>
      <c r="AW75" s="1418"/>
      <c r="AX75" s="1418"/>
      <c r="AY75" s="1418"/>
      <c r="AZ75" s="1418"/>
      <c r="BA75" s="1418"/>
      <c r="BB75" s="1418"/>
      <c r="BC75" s="1418"/>
      <c r="BD75" s="1418"/>
      <c r="BE75" s="1418"/>
      <c r="BF75" s="1418"/>
    </row>
    <row s="11403" customFormat="1" customHeight="1" ht="17.25"/>
    <row s="9233" customFormat="1" customHeight="1" ht="11.25">
      <c r="A77" s="284" t="s">
        <v>1469</v>
      </c>
    </row>
    <row s="11403" customFormat="1" customHeight="1" ht="17.25"/>
    <row s="11126" customFormat="1" customHeight="1" ht="11.25">
      <c r="A79" s="1427"/>
      <c r="B79" s="1427"/>
      <c r="C79" s="1427"/>
      <c r="D79" s="1421"/>
      <c r="E79" s="1431"/>
      <c r="F79" s="2109"/>
      <c r="G79" s="2086"/>
      <c r="H79" s="2086"/>
      <c r="I79" s="3758"/>
      <c r="J79" s="3758"/>
      <c r="K79" s="2094"/>
      <c r="L79" s="3758"/>
      <c r="M79" s="2086"/>
      <c r="N79" s="2393"/>
      <c r="O79" s="2325">
        <v>1</v>
      </c>
      <c r="P79" s="3733" t="s">
        <v>57</v>
      </c>
      <c r="Q79" s="3734" t="s">
        <v>17</v>
      </c>
      <c r="R79" s="3734" t="s">
        <v>17</v>
      </c>
      <c r="S79" s="3734" t="s">
        <v>17</v>
      </c>
      <c r="T79" s="3734" t="s">
        <v>17</v>
      </c>
      <c r="U79" s="3734" t="s">
        <v>17</v>
      </c>
      <c r="V79" s="3734" t="s">
        <v>17</v>
      </c>
      <c r="W79" s="3734" t="s">
        <v>17</v>
      </c>
      <c r="X79" s="3734" t="s">
        <v>17</v>
      </c>
      <c r="Y79" s="3734"/>
      <c r="Z79" s="1437"/>
      <c r="AA79" s="1438"/>
      <c r="AB79" s="1438"/>
      <c r="AC79" s="3737"/>
      <c r="AD79" s="3737"/>
      <c r="AE79" s="3737"/>
      <c r="AF79" s="2093"/>
      <c r="AG79" s="2096"/>
      <c r="AH79" s="2096"/>
      <c r="AI79" s="2093"/>
      <c r="AJ79" s="2096"/>
      <c r="AK79" s="2096"/>
      <c r="AL79" s="1434"/>
      <c r="AM79" s="1418"/>
      <c r="AN79" s="1418"/>
      <c r="AO79" s="1418"/>
      <c r="AP79" s="1418"/>
      <c r="AQ79" s="1418"/>
      <c r="AR79" s="1418"/>
      <c r="AS79" s="1418"/>
      <c r="AT79" s="1418"/>
      <c r="AU79" s="1418"/>
      <c r="AV79" s="1418"/>
      <c r="AW79" s="1418"/>
      <c r="AX79" s="1418"/>
      <c r="AY79" s="1418"/>
      <c r="AZ79" s="1418"/>
      <c r="BA79" s="1418"/>
      <c r="BB79" s="1418"/>
      <c r="BC79" s="1418"/>
      <c r="BD79" s="1418"/>
      <c r="BE79" s="1418"/>
      <c r="BF79" s="1418"/>
    </row>
    <row s="11126" customFormat="1" customHeight="1" ht="11.25">
      <c r="A80" s="1427"/>
      <c r="B80" s="1427"/>
      <c r="C80" s="1427"/>
      <c r="D80" s="1421"/>
      <c r="E80" s="1431"/>
      <c r="F80" s="2109"/>
      <c r="G80" s="2086"/>
      <c r="H80" s="2086"/>
      <c r="I80" s="3763"/>
      <c r="J80" s="3763"/>
      <c r="K80" s="2094"/>
      <c r="L80" s="3763"/>
      <c r="M80" s="2086"/>
      <c r="N80" s="2393"/>
      <c r="O80" s="2325"/>
      <c r="P80" s="3739"/>
      <c r="Q80" s="3734"/>
      <c r="R80" s="3734"/>
      <c r="S80" s="3740"/>
      <c r="T80" s="3734"/>
      <c r="U80" s="3734"/>
      <c r="V80" s="3734"/>
      <c r="W80" s="3734"/>
      <c r="X80" s="3734"/>
      <c r="Y80" s="3734"/>
      <c r="Z80" s="1441"/>
      <c r="AA80" s="2074">
        <v>1</v>
      </c>
      <c r="AB80" s="3743"/>
      <c r="AC80" s="1430"/>
      <c r="AD80" s="3743">
        <f>AB80</f>
        <v>0</v>
      </c>
      <c r="AE80" s="962"/>
      <c r="AF80" s="2094"/>
      <c r="AG80" s="2096"/>
      <c r="AH80" s="2096"/>
      <c r="AI80" s="2094"/>
      <c r="AJ80" s="2096"/>
      <c r="AK80" s="2096"/>
      <c r="AL80" s="1434"/>
      <c r="AM80" s="1418"/>
      <c r="AN80" s="1418"/>
      <c r="AO80" s="1418"/>
      <c r="AP80" s="1418"/>
      <c r="AQ80" s="1418"/>
      <c r="AR80" s="1418"/>
      <c r="AS80" s="1418"/>
      <c r="AT80" s="1418"/>
      <c r="AU80" s="1418"/>
      <c r="AV80" s="1418"/>
      <c r="AW80" s="1418"/>
      <c r="AX80" s="1418"/>
      <c r="AY80" s="1418"/>
      <c r="AZ80" s="1418"/>
      <c r="BA80" s="1418"/>
      <c r="BB80" s="1418"/>
      <c r="BC80" s="1418"/>
      <c r="BD80" s="1418"/>
      <c r="BE80" s="1418"/>
      <c r="BF80" s="1418"/>
    </row>
    <row s="11126" customFormat="1" customHeight="1" ht="11.25">
      <c r="A81" s="1427"/>
      <c r="B81" s="1427"/>
      <c r="C81" s="1427"/>
      <c r="D81" s="1421"/>
      <c r="E81" s="1431"/>
      <c r="F81" s="2109"/>
      <c r="G81" s="2086"/>
      <c r="H81" s="2086"/>
      <c r="I81" s="3766"/>
      <c r="J81" s="3766"/>
      <c r="K81" s="2094"/>
      <c r="L81" s="3766"/>
      <c r="M81" s="2086"/>
      <c r="N81" s="2393"/>
      <c r="O81" s="2325"/>
      <c r="P81" s="3745"/>
      <c r="Q81" s="3734"/>
      <c r="R81" s="3734"/>
      <c r="S81" s="3740"/>
      <c r="T81" s="3734"/>
      <c r="U81" s="3734"/>
      <c r="V81" s="3734"/>
      <c r="W81" s="3734"/>
      <c r="X81" s="3734"/>
      <c r="Y81" s="3734"/>
      <c r="Z81" s="1437"/>
      <c r="AA81" s="1438"/>
      <c r="AB81" s="1519" t="s">
        <v>1466</v>
      </c>
      <c r="AC81" s="3737"/>
      <c r="AD81" s="3737"/>
      <c r="AE81" s="3737"/>
      <c r="AF81" s="2095"/>
      <c r="AG81" s="2096"/>
      <c r="AH81" s="2096"/>
      <c r="AI81" s="2095"/>
      <c r="AJ81" s="2096"/>
      <c r="AK81" s="2096"/>
      <c r="AL81" s="1434"/>
      <c r="AM81" s="1418"/>
      <c r="AN81" s="1418"/>
      <c r="AO81" s="1418"/>
      <c r="AP81" s="1418"/>
      <c r="AQ81" s="1418"/>
      <c r="AR81" s="1418"/>
      <c r="AS81" s="1418"/>
      <c r="AT81" s="1418"/>
      <c r="AU81" s="1418"/>
      <c r="AV81" s="1418"/>
      <c r="AW81" s="1418"/>
      <c r="AX81" s="1418"/>
      <c r="AY81" s="1418"/>
      <c r="AZ81" s="1418"/>
      <c r="BA81" s="1418"/>
      <c r="BB81" s="1418"/>
      <c r="BC81" s="1418"/>
      <c r="BD81" s="1418"/>
      <c r="BE81" s="1418"/>
      <c r="BF81" s="1418"/>
    </row>
    <row s="11403" customFormat="1" customHeight="1" ht="17.25"/>
    <row s="9233" customFormat="1" customHeight="1" ht="11.25">
      <c r="A83" s="284" t="s">
        <v>1470</v>
      </c>
    </row>
    <row s="11403" customFormat="1" customHeight="1" ht="17.25"/>
    <row s="11126" customFormat="1" customHeight="1" ht="11.25">
      <c r="A85" s="1427"/>
      <c r="B85" s="1427"/>
      <c r="C85" s="1427"/>
      <c r="D85" s="1421"/>
      <c r="E85" s="1431"/>
      <c r="F85" s="598"/>
      <c r="G85" s="598"/>
      <c r="H85" s="598"/>
      <c r="I85" s="598"/>
      <c r="J85" s="598"/>
      <c r="K85" s="598"/>
      <c r="L85" s="598"/>
      <c r="M85" s="598"/>
      <c r="N85" s="598"/>
      <c r="O85" s="598"/>
      <c r="P85" s="598"/>
      <c r="Q85" s="598"/>
      <c r="R85" s="598"/>
      <c r="S85" s="598"/>
      <c r="T85" s="598"/>
      <c r="U85" s="598"/>
      <c r="V85" s="598"/>
      <c r="W85" s="598"/>
      <c r="X85" s="598"/>
      <c r="Y85" s="598"/>
      <c r="Z85" s="1441"/>
      <c r="AA85" s="2074">
        <v>1</v>
      </c>
      <c r="AB85" s="3743"/>
      <c r="AC85" s="1430"/>
      <c r="AD85" s="3743">
        <f>AB85</f>
        <v>0</v>
      </c>
      <c r="AE85" s="1430"/>
      <c r="AF85" s="2094"/>
      <c r="AG85" s="2096"/>
      <c r="AH85" s="2096"/>
      <c r="AI85" s="2094"/>
      <c r="AJ85" s="2096"/>
      <c r="AK85" s="2096"/>
      <c r="AL85" s="1434"/>
      <c r="AM85" s="1418"/>
      <c r="AN85" s="1418"/>
      <c r="AO85" s="1418"/>
      <c r="AP85" s="1418"/>
      <c r="AQ85" s="1418"/>
      <c r="AR85" s="1418"/>
      <c r="AS85" s="1418"/>
      <c r="AT85" s="1418"/>
      <c r="AU85" s="1418"/>
      <c r="AV85" s="1418"/>
      <c r="AW85" s="1418"/>
      <c r="AX85" s="1418"/>
      <c r="AY85" s="1418"/>
      <c r="AZ85" s="1418"/>
      <c r="BA85" s="1418"/>
      <c r="BB85" s="1418"/>
      <c r="BC85" s="1418"/>
      <c r="BD85" s="1418"/>
      <c r="BE85" s="1418"/>
      <c r="BF85" s="1418"/>
    </row>
    <row s="11403" customFormat="1" customHeight="1" ht="17.25"/>
    <row s="9233" customFormat="1" customHeight="1" ht="11.25">
      <c r="A87" s="284" t="s">
        <v>1471</v>
      </c>
    </row>
    <row s="11403" customFormat="1" customHeight="1" ht="17.25"/>
    <row s="11126" customFormat="1" customHeight="1" ht="11.25">
      <c r="A89" s="1427"/>
      <c r="B89" s="1427"/>
      <c r="C89" s="1427"/>
      <c r="D89" s="1421"/>
      <c r="E89" s="1431"/>
      <c r="F89" s="2109"/>
      <c r="G89" s="2086"/>
      <c r="H89" s="2331" t="s">
        <v>109</v>
      </c>
      <c r="I89" s="2332"/>
      <c r="J89" s="2333"/>
      <c r="K89" s="2334"/>
      <c r="L89" s="2323" t="s">
        <v>57</v>
      </c>
      <c r="M89" s="2335"/>
      <c r="N89" s="1440"/>
      <c r="O89" s="1439" t="s">
        <v>440</v>
      </c>
      <c r="P89" s="1440"/>
      <c r="Q89" s="1440"/>
      <c r="R89" s="1440"/>
      <c r="S89" s="1440"/>
      <c r="T89" s="1440"/>
      <c r="U89" s="1440"/>
      <c r="V89" s="1440"/>
      <c r="W89" s="1440"/>
      <c r="X89" s="1440"/>
      <c r="Y89" s="1440"/>
      <c r="Z89" s="1440"/>
      <c r="AA89" s="1440"/>
      <c r="AB89" s="1440"/>
      <c r="AC89" s="1440"/>
      <c r="AD89" s="1440"/>
      <c r="AE89" s="1440"/>
      <c r="AF89" s="2322"/>
      <c r="AG89" s="2323"/>
      <c r="AH89" s="2323"/>
      <c r="AI89" s="2322"/>
      <c r="AJ89" s="2323"/>
      <c r="AK89" s="2323"/>
      <c r="AL89" s="1434"/>
      <c r="AM89" s="1418"/>
      <c r="AN89" s="1418"/>
      <c r="AO89" s="1418"/>
      <c r="AP89" s="1418"/>
      <c r="AQ89" s="1418"/>
      <c r="AR89" s="1418"/>
      <c r="AS89" s="1418"/>
      <c r="AT89" s="1418"/>
      <c r="AU89" s="1418"/>
      <c r="AV89" s="1418"/>
      <c r="AW89" s="1418"/>
      <c r="AX89" s="1418"/>
      <c r="AY89" s="1418"/>
      <c r="AZ89" s="1418"/>
      <c r="BA89" s="1418"/>
      <c r="BB89" s="1418"/>
      <c r="BC89" s="1418"/>
      <c r="BD89" s="1418"/>
      <c r="BE89" s="1418"/>
      <c r="BF89" s="1418"/>
    </row>
    <row s="11126" customFormat="1" customHeight="1" ht="11.25">
      <c r="A90" s="1427"/>
      <c r="B90" s="1427"/>
      <c r="C90" s="1427"/>
      <c r="D90" s="1421"/>
      <c r="E90" s="1431"/>
      <c r="F90" s="2109"/>
      <c r="G90" s="2086"/>
      <c r="H90" s="2331"/>
      <c r="I90" s="2332"/>
      <c r="J90" s="2333"/>
      <c r="K90" s="2334"/>
      <c r="L90" s="2323"/>
      <c r="M90" s="2335"/>
      <c r="N90" s="2324"/>
      <c r="O90" s="2325">
        <v>1</v>
      </c>
      <c r="P90" s="3733" t="s">
        <v>57</v>
      </c>
      <c r="Q90" s="3734" t="s">
        <v>17</v>
      </c>
      <c r="R90" s="3734" t="s">
        <v>17</v>
      </c>
      <c r="S90" s="3734" t="s">
        <v>17</v>
      </c>
      <c r="T90" s="3734" t="s">
        <v>17</v>
      </c>
      <c r="U90" s="3734" t="s">
        <v>17</v>
      </c>
      <c r="V90" s="3734" t="s">
        <v>17</v>
      </c>
      <c r="W90" s="3734" t="s">
        <v>17</v>
      </c>
      <c r="X90" s="3734" t="s">
        <v>17</v>
      </c>
      <c r="Y90" s="3734"/>
      <c r="Z90" s="1437"/>
      <c r="AA90" s="1438"/>
      <c r="AB90" s="1438"/>
      <c r="AC90" s="3737"/>
      <c r="AD90" s="3737"/>
      <c r="AE90" s="3738"/>
      <c r="AF90" s="2322"/>
      <c r="AG90" s="2323"/>
      <c r="AH90" s="2323"/>
      <c r="AI90" s="2322"/>
      <c r="AJ90" s="2323"/>
      <c r="AK90" s="2323"/>
      <c r="AL90" s="1434"/>
      <c r="AM90" s="1418"/>
      <c r="AN90" s="1418"/>
      <c r="AO90" s="1418"/>
      <c r="AP90" s="1418"/>
      <c r="AQ90" s="1418"/>
      <c r="AR90" s="1418"/>
      <c r="AS90" s="1418"/>
      <c r="AT90" s="1418"/>
      <c r="AU90" s="1418"/>
      <c r="AV90" s="1418"/>
      <c r="AW90" s="1418"/>
      <c r="AX90" s="1418"/>
      <c r="AY90" s="1418"/>
      <c r="AZ90" s="1418"/>
      <c r="BA90" s="1418"/>
      <c r="BB90" s="1418"/>
      <c r="BC90" s="1418"/>
      <c r="BD90" s="1418"/>
      <c r="BE90" s="1418"/>
      <c r="BF90" s="1418"/>
    </row>
    <row s="11126" customFormat="1" customHeight="1" ht="11.25">
      <c r="A91" s="1427"/>
      <c r="B91" s="1427"/>
      <c r="C91" s="1427"/>
      <c r="D91" s="1421"/>
      <c r="E91" s="1431"/>
      <c r="F91" s="2109"/>
      <c r="G91" s="2086"/>
      <c r="H91" s="2331"/>
      <c r="I91" s="2332"/>
      <c r="J91" s="2333"/>
      <c r="K91" s="2334"/>
      <c r="L91" s="2323"/>
      <c r="M91" s="2335"/>
      <c r="N91" s="2324"/>
      <c r="O91" s="2325"/>
      <c r="P91" s="3739"/>
      <c r="Q91" s="3734"/>
      <c r="R91" s="3734"/>
      <c r="S91" s="3740"/>
      <c r="T91" s="3734"/>
      <c r="U91" s="3734"/>
      <c r="V91" s="3734"/>
      <c r="W91" s="3734"/>
      <c r="X91" s="3734"/>
      <c r="Y91" s="3734"/>
      <c r="Z91" s="1441"/>
      <c r="AA91" s="2074">
        <v>1</v>
      </c>
      <c r="AB91" s="3743"/>
      <c r="AC91" s="1430"/>
      <c r="AD91" s="3743">
        <f>AB91</f>
        <v>0</v>
      </c>
      <c r="AE91" s="1430"/>
      <c r="AF91" s="2322"/>
      <c r="AG91" s="2323"/>
      <c r="AH91" s="2323"/>
      <c r="AI91" s="2322"/>
      <c r="AJ91" s="2323"/>
      <c r="AK91" s="2323"/>
      <c r="AL91" s="1434"/>
      <c r="AM91" s="1418"/>
      <c r="AN91" s="1418"/>
      <c r="AO91" s="1418"/>
      <c r="AP91" s="1418"/>
      <c r="AQ91" s="1418"/>
      <c r="AR91" s="1418"/>
      <c r="AS91" s="1418"/>
      <c r="AT91" s="1418"/>
      <c r="AU91" s="1418"/>
      <c r="AV91" s="1418"/>
      <c r="AW91" s="1418"/>
      <c r="AX91" s="1418"/>
      <c r="AY91" s="1418"/>
      <c r="AZ91" s="1418"/>
      <c r="BA91" s="1418"/>
      <c r="BB91" s="1418"/>
      <c r="BC91" s="1418"/>
      <c r="BD91" s="1418"/>
      <c r="BE91" s="1418"/>
      <c r="BF91" s="1418"/>
    </row>
    <row s="11126" customFormat="1" customHeight="1" ht="11.25">
      <c r="A92" s="1427"/>
      <c r="B92" s="1427"/>
      <c r="C92" s="1427"/>
      <c r="D92" s="1421"/>
      <c r="E92" s="1431"/>
      <c r="F92" s="2109"/>
      <c r="G92" s="2086"/>
      <c r="H92" s="2331"/>
      <c r="I92" s="2332"/>
      <c r="J92" s="2333"/>
      <c r="K92" s="2334"/>
      <c r="L92" s="2323"/>
      <c r="M92" s="2335"/>
      <c r="N92" s="2324"/>
      <c r="O92" s="2325"/>
      <c r="P92" s="3745"/>
      <c r="Q92" s="3734"/>
      <c r="R92" s="3734"/>
      <c r="S92" s="3740"/>
      <c r="T92" s="3734"/>
      <c r="U92" s="3734"/>
      <c r="V92" s="3734"/>
      <c r="W92" s="3734"/>
      <c r="X92" s="3734"/>
      <c r="Y92" s="3734"/>
      <c r="Z92" s="1437"/>
      <c r="AA92" s="1438"/>
      <c r="AB92" s="1519" t="s">
        <v>1466</v>
      </c>
      <c r="AC92" s="3737"/>
      <c r="AD92" s="3737"/>
      <c r="AE92" s="3747"/>
      <c r="AF92" s="2322"/>
      <c r="AG92" s="2323"/>
      <c r="AH92" s="2323"/>
      <c r="AI92" s="2322"/>
      <c r="AJ92" s="2323"/>
      <c r="AK92" s="2323"/>
      <c r="AL92" s="1434"/>
      <c r="AM92" s="1418"/>
      <c r="AN92" s="1418"/>
      <c r="AO92" s="1418"/>
      <c r="AP92" s="1418"/>
      <c r="AQ92" s="1418"/>
      <c r="AR92" s="1418"/>
      <c r="AS92" s="1418"/>
      <c r="AT92" s="1418"/>
      <c r="AU92" s="1418"/>
      <c r="AV92" s="1418"/>
      <c r="AW92" s="1418"/>
      <c r="AX92" s="1418"/>
      <c r="AY92" s="1418"/>
      <c r="AZ92" s="1418"/>
      <c r="BA92" s="1418"/>
      <c r="BB92" s="1418"/>
      <c r="BC92" s="1418"/>
      <c r="BD92" s="1418"/>
      <c r="BE92" s="1418"/>
      <c r="BF92" s="1418"/>
    </row>
    <row s="11126" customFormat="1" customHeight="1" ht="11.25">
      <c r="A93" s="1427"/>
      <c r="B93" s="1427"/>
      <c r="C93" s="1427"/>
      <c r="D93" s="1421"/>
      <c r="E93" s="1431"/>
      <c r="F93" s="2109"/>
      <c r="G93" s="2086"/>
      <c r="H93" s="2331"/>
      <c r="I93" s="2332"/>
      <c r="J93" s="2333"/>
      <c r="K93" s="2334"/>
      <c r="L93" s="2323"/>
      <c r="M93" s="2335"/>
      <c r="N93" s="1438"/>
      <c r="O93" s="1438"/>
      <c r="P93" s="1429" t="s">
        <v>1467</v>
      </c>
      <c r="Q93" s="1438"/>
      <c r="R93" s="1438"/>
      <c r="S93" s="1438"/>
      <c r="T93" s="1438"/>
      <c r="U93" s="1438"/>
      <c r="V93" s="1438"/>
      <c r="W93" s="1438"/>
      <c r="X93" s="1438"/>
      <c r="Y93" s="1438"/>
      <c r="Z93" s="1438"/>
      <c r="AA93" s="1438"/>
      <c r="AB93" s="1438"/>
      <c r="AC93" s="1438"/>
      <c r="AD93" s="1438"/>
      <c r="AE93" s="1447"/>
      <c r="AF93" s="2322"/>
      <c r="AG93" s="2323"/>
      <c r="AH93" s="2323"/>
      <c r="AI93" s="2322"/>
      <c r="AJ93" s="2323"/>
      <c r="AK93" s="2323"/>
      <c r="AL93" s="1434"/>
      <c r="AM93" s="1418"/>
      <c r="AN93" s="1418"/>
      <c r="AO93" s="1418"/>
      <c r="AP93" s="1418"/>
      <c r="AQ93" s="1418"/>
      <c r="AR93" s="1418"/>
      <c r="AS93" s="1418"/>
      <c r="AT93" s="1418"/>
      <c r="AU93" s="1418"/>
      <c r="AV93" s="1418"/>
      <c r="AW93" s="1418"/>
      <c r="AX93" s="1418"/>
      <c r="AY93" s="1418"/>
      <c r="AZ93" s="1418"/>
      <c r="BA93" s="1418"/>
      <c r="BB93" s="1418"/>
      <c r="BC93" s="1418"/>
      <c r="BD93" s="1418"/>
      <c r="BE93" s="1418"/>
      <c r="BF93" s="1418"/>
    </row>
    <row s="11403" customFormat="1" customHeight="1" ht="17.25"/>
    <row s="9233" customFormat="1" customHeight="1" ht="11.25">
      <c r="A95" s="284" t="s">
        <v>1472</v>
      </c>
    </row>
    <row s="11403" customFormat="1" customHeight="1" ht="17.25"/>
    <row s="11213" customFormat="1" customHeight="1" ht="21">
      <c r="A97" s="1428"/>
      <c r="B97" s="1195"/>
      <c r="D97" s="1179"/>
      <c r="E97" s="1194" t="s">
        <v>17</v>
      </c>
      <c r="F97" s="1382">
        <f>INDEX(IP_MAIN_LIST_NAME_IP,MATCH(A97,IP_MAIN_LIST_IP_ID,0))&amp;" ("&amp;INDEX(IP_MAIN_START_DATE,MATCH(A97,IP_MAIN_LIST_IP_ID,0))&amp;"-"&amp;INDEX(IP_MAIN_END_DATE,MATCH(A97,IP_MAIN_LIST_IP_ID,0))&amp;")"</f>
      </c>
      <c r="G97" s="1473"/>
      <c r="H97" s="1474"/>
      <c r="I97" s="1474"/>
      <c r="J97" s="1474"/>
      <c r="K97" s="1474"/>
      <c r="L97" s="1474"/>
      <c r="M97" s="1474"/>
      <c r="N97" s="1474"/>
      <c r="O97" s="1473"/>
      <c r="P97" s="1473"/>
      <c r="Q97" s="1473"/>
      <c r="R97" s="1473"/>
      <c r="S97" s="1473"/>
      <c r="T97" s="1473"/>
      <c r="U97" s="1475"/>
      <c r="V97" s="1475"/>
      <c r="W97" s="1475"/>
      <c r="X97" s="1475"/>
      <c r="Y97" s="1475"/>
      <c r="Z97" s="1475"/>
      <c r="AA97" s="1475"/>
      <c r="AB97" s="1473"/>
      <c r="AC97" s="1474"/>
      <c r="AD97" s="1474"/>
      <c r="AE97" s="1474"/>
      <c r="AF97" s="1474"/>
      <c r="AG97" s="1474"/>
      <c r="AH97" s="1474"/>
      <c r="AI97" s="1474"/>
      <c r="AJ97" s="1474"/>
      <c r="AK97" s="1474"/>
      <c r="AL97" s="1474"/>
      <c r="AM97" s="1474"/>
      <c r="AN97" s="1474"/>
      <c r="AO97" s="1474"/>
      <c r="AP97" s="1474"/>
      <c r="AQ97" s="1474"/>
      <c r="AR97" s="1474"/>
      <c r="AS97" s="1474"/>
      <c r="AT97" s="1474"/>
      <c r="AU97" s="1474"/>
      <c r="AV97" s="1474"/>
      <c r="AW97" s="1474"/>
      <c r="AX97" s="1474"/>
      <c r="AY97" s="1474"/>
      <c r="AZ97" s="1474"/>
      <c r="BA97" s="1474"/>
      <c r="BB97" s="1474"/>
      <c r="BC97" s="1474"/>
      <c r="BD97" s="1474"/>
      <c r="BE97" s="1474"/>
      <c r="BF97" s="1474"/>
      <c r="BG97" s="1474"/>
      <c r="BH97" s="1474"/>
      <c r="BI97" s="1474"/>
      <c r="BJ97" s="1474"/>
      <c r="BK97" s="1474"/>
      <c r="BL97" s="1474"/>
      <c r="BM97" s="1474"/>
      <c r="BN97" s="1474"/>
      <c r="BO97" s="1474"/>
      <c r="BP97" s="1474"/>
      <c r="BQ97" s="1474"/>
      <c r="BR97" s="1474"/>
      <c r="BS97" s="1474"/>
      <c r="BT97" s="1474"/>
      <c r="BU97" s="1474"/>
      <c r="BV97" s="1474"/>
      <c r="BW97" s="1474"/>
      <c r="BX97" s="1474"/>
      <c r="BY97" s="1474"/>
      <c r="BZ97" s="1474"/>
      <c r="CA97" s="1474"/>
      <c r="CB97" s="1474"/>
      <c r="CC97" s="1474"/>
      <c r="CD97" s="1474"/>
      <c r="CE97" s="1474"/>
      <c r="CF97" s="1474"/>
      <c r="CG97" s="1474"/>
      <c r="CH97" s="1474"/>
      <c r="CI97" s="1474"/>
      <c r="CJ97" s="1474"/>
      <c r="CK97" s="1474"/>
      <c r="CL97" s="1476"/>
      <c r="CM97" s="1476"/>
      <c r="CN97" s="1476"/>
      <c r="CO97" s="1476"/>
      <c r="CP97" s="1476"/>
      <c r="CQ97" s="1476"/>
      <c r="CR97" s="1476"/>
      <c r="CS97" s="1476"/>
      <c r="CT97" s="1476"/>
      <c r="CU97" s="1476"/>
      <c r="CV97" s="1476"/>
      <c r="CW97" s="1476"/>
      <c r="CX97" s="1476"/>
      <c r="CY97" s="1476"/>
      <c r="CZ97" s="1476"/>
      <c r="DA97" s="1476"/>
      <c r="DB97" s="1476"/>
      <c r="DC97" s="1476"/>
      <c r="DD97" s="1476"/>
      <c r="DE97" s="1476"/>
      <c r="DF97" s="1476"/>
      <c r="DG97" s="1476"/>
      <c r="DH97" s="1476"/>
      <c r="DI97" s="1476"/>
      <c r="DJ97" s="1476"/>
      <c r="DK97" s="1476"/>
      <c r="DL97" s="1476"/>
      <c r="DM97" s="1476"/>
      <c r="DN97" s="1476"/>
      <c r="DO97" s="1476"/>
      <c r="DP97" s="1476"/>
      <c r="DQ97" s="1476"/>
      <c r="DR97" s="1476"/>
      <c r="DS97" s="1476"/>
      <c r="DT97" s="1476"/>
      <c r="DU97" s="1476"/>
      <c r="DV97" s="1476"/>
      <c r="DW97" s="1476"/>
      <c r="DX97" s="1476"/>
      <c r="DY97" s="1476"/>
      <c r="DZ97" s="1476"/>
      <c r="EA97" s="1476"/>
      <c r="EB97" s="1476"/>
      <c r="EC97" s="1476"/>
      <c r="ED97" s="1476"/>
      <c r="EE97" s="1476"/>
      <c r="EF97" s="1476"/>
      <c r="EG97" s="1476"/>
      <c r="EH97" s="1476"/>
      <c r="EI97" s="1476"/>
      <c r="EJ97" s="1476"/>
      <c r="EK97" s="1476"/>
      <c r="EL97" s="1476"/>
      <c r="EM97" s="1476"/>
      <c r="EN97" s="1476"/>
      <c r="EO97" s="1476"/>
      <c r="EP97" s="1476"/>
      <c r="EQ97" s="1476"/>
      <c r="ER97" s="1476"/>
      <c r="ES97" s="1476"/>
      <c r="ET97" s="1476"/>
      <c r="EU97" s="1476"/>
      <c r="EV97" s="1476"/>
      <c r="EW97" s="1476"/>
      <c r="EX97" s="1476"/>
      <c r="EY97" s="1476"/>
      <c r="EZ97" s="1476"/>
      <c r="FA97" s="1476"/>
      <c r="FB97" s="1476"/>
      <c r="FC97" s="1476"/>
      <c r="FD97" s="1476"/>
      <c r="FE97" s="1476"/>
      <c r="FF97" s="1476"/>
      <c r="FG97" s="1476"/>
      <c r="FH97" s="1476"/>
      <c r="FI97" s="1476"/>
      <c r="FJ97" s="1476"/>
      <c r="FK97" s="1476"/>
      <c r="FL97" s="1476"/>
      <c r="FM97" s="1476"/>
      <c r="FN97" s="1476"/>
      <c r="FO97" s="1476"/>
      <c r="FP97" s="1476"/>
      <c r="FQ97" s="1476"/>
      <c r="FR97" s="1476"/>
      <c r="FS97" s="1476"/>
      <c r="FT97" s="1476"/>
      <c r="FU97" s="1476"/>
      <c r="FV97" s="1477"/>
      <c r="FW97" s="1471"/>
      <c r="FX97" s="1472"/>
    </row>
    <row s="11213" customFormat="1" customHeight="1" ht="24.75">
      <c r="B98" s="1178"/>
      <c r="C98" s="1179"/>
      <c r="D98" s="1179"/>
      <c r="E98" s="1456"/>
      <c r="F98" s="1478">
        <v>1</v>
      </c>
      <c r="G98" s="3783"/>
      <c r="H98" s="3784"/>
      <c r="I98" s="1488"/>
      <c r="J98" s="1481"/>
      <c r="K98" s="1481"/>
      <c r="L98" s="1481"/>
      <c r="M98" s="1481"/>
      <c r="N98" s="1481"/>
      <c r="O98" s="1482"/>
      <c r="P98" s="1482"/>
      <c r="Q98" s="1482"/>
      <c r="R98" s="1482"/>
      <c r="S98" s="1482"/>
      <c r="T98" s="1482"/>
      <c r="U98" s="1482"/>
      <c r="V98" s="1482"/>
      <c r="W98" s="1482"/>
      <c r="X98" s="1482"/>
      <c r="Y98" s="1482"/>
      <c r="Z98" s="1482"/>
      <c r="AA98" s="1482"/>
      <c r="AB98" s="1482"/>
      <c r="AC98" s="1481"/>
      <c r="AD98" s="1481"/>
      <c r="AE98" s="1481"/>
      <c r="AF98" s="1481"/>
      <c r="AG98" s="1481"/>
      <c r="AH98" s="1481"/>
      <c r="AI98" s="1481"/>
      <c r="AJ98" s="1481"/>
      <c r="AK98" s="1481"/>
      <c r="AL98" s="1481"/>
      <c r="AM98" s="1481"/>
      <c r="AN98" s="1481"/>
      <c r="AO98" s="1481"/>
      <c r="AP98" s="1481"/>
      <c r="AQ98" s="1481"/>
      <c r="AR98" s="1481"/>
      <c r="AS98" s="1481"/>
      <c r="AT98" s="1481"/>
      <c r="AU98" s="1481"/>
      <c r="AV98" s="1481"/>
      <c r="AW98" s="1481"/>
      <c r="AX98" s="1481"/>
      <c r="AY98" s="1481"/>
      <c r="AZ98" s="1481"/>
      <c r="BA98" s="1481"/>
      <c r="BB98" s="1481"/>
      <c r="BC98" s="1481"/>
      <c r="BD98" s="1481"/>
      <c r="BE98" s="1481"/>
      <c r="BF98" s="1481"/>
      <c r="BG98" s="1481"/>
      <c r="BH98" s="1481"/>
      <c r="BI98" s="1481"/>
      <c r="BJ98" s="1481"/>
      <c r="BK98" s="1481"/>
      <c r="BL98" s="1481"/>
      <c r="BM98" s="1481"/>
      <c r="BN98" s="1481"/>
      <c r="BO98" s="1481"/>
      <c r="BP98" s="1481"/>
      <c r="BQ98" s="1481"/>
      <c r="BR98" s="1481"/>
      <c r="BS98" s="1481"/>
      <c r="BT98" s="1483"/>
      <c r="BU98" s="1483"/>
      <c r="BV98" s="1483"/>
      <c r="BW98" s="1483"/>
      <c r="BX98" s="1483"/>
      <c r="BY98" s="1483"/>
      <c r="BZ98" s="1483"/>
      <c r="CA98" s="1483"/>
      <c r="CB98" s="1483"/>
      <c r="CC98" s="1483"/>
      <c r="CD98" s="1483"/>
      <c r="CE98" s="1483"/>
      <c r="CF98" s="1483"/>
      <c r="CG98" s="1483"/>
      <c r="CH98" s="1483"/>
      <c r="CI98" s="1483"/>
      <c r="CJ98" s="1483"/>
      <c r="CK98" s="1483"/>
      <c r="CL98" s="1481"/>
      <c r="CM98" s="1481"/>
      <c r="CN98" s="1481"/>
      <c r="CO98" s="1481"/>
      <c r="CP98" s="1481"/>
      <c r="CQ98" s="1481"/>
      <c r="CR98" s="1481"/>
      <c r="CS98" s="1481"/>
      <c r="CT98" s="1481"/>
      <c r="CU98" s="1481"/>
      <c r="CV98" s="1481"/>
      <c r="CW98" s="1481"/>
      <c r="CX98" s="1481"/>
      <c r="CY98" s="1482"/>
      <c r="CZ98" s="1482"/>
      <c r="DA98" s="1482"/>
      <c r="DB98" s="1482"/>
      <c r="DC98" s="1482"/>
      <c r="DD98" s="1482"/>
      <c r="DE98" s="1482"/>
      <c r="DF98" s="1482"/>
      <c r="DG98" s="1482"/>
      <c r="DH98" s="1482"/>
      <c r="DI98" s="1482"/>
      <c r="DJ98" s="1482"/>
      <c r="DK98" s="1481"/>
      <c r="DL98" s="1481"/>
      <c r="DM98" s="1481"/>
      <c r="DN98" s="1481"/>
      <c r="DO98" s="1481"/>
      <c r="DP98" s="1481"/>
      <c r="DQ98" s="1481"/>
      <c r="DR98" s="1481"/>
      <c r="DS98" s="1481"/>
      <c r="DT98" s="1481"/>
      <c r="DU98" s="1481"/>
      <c r="DV98" s="1481"/>
      <c r="DW98" s="1481"/>
      <c r="DX98" s="1481"/>
      <c r="DY98" s="1481"/>
      <c r="DZ98" s="1481"/>
      <c r="EA98" s="1481"/>
      <c r="EB98" s="1481"/>
      <c r="EC98" s="1481"/>
      <c r="ED98" s="1481"/>
      <c r="EE98" s="1481"/>
      <c r="EF98" s="1481"/>
      <c r="EG98" s="1481"/>
      <c r="EH98" s="1481"/>
      <c r="EI98" s="1481"/>
      <c r="EJ98" s="1481"/>
      <c r="EK98" s="1481"/>
      <c r="EL98" s="1481"/>
      <c r="EM98" s="1481"/>
      <c r="EN98" s="1481"/>
      <c r="EO98" s="1481"/>
      <c r="EP98" s="1481"/>
      <c r="EQ98" s="1481"/>
      <c r="ER98" s="1481"/>
      <c r="ES98" s="1481"/>
      <c r="ET98" s="1481"/>
      <c r="EU98" s="1481"/>
      <c r="EV98" s="1481"/>
      <c r="EW98" s="1481"/>
      <c r="EX98" s="1481"/>
      <c r="EY98" s="1481"/>
      <c r="EZ98" s="1481"/>
      <c r="FA98" s="1481"/>
      <c r="FB98" s="1481"/>
      <c r="FC98" s="1481"/>
      <c r="FD98" s="1481"/>
      <c r="FE98" s="1481"/>
      <c r="FF98" s="1481"/>
      <c r="FG98" s="1481"/>
      <c r="FH98" s="1481"/>
      <c r="FI98" s="1481"/>
      <c r="FJ98" s="1481"/>
      <c r="FK98" s="1481"/>
      <c r="FL98" s="1481"/>
      <c r="FM98" s="1481"/>
      <c r="FN98" s="1481"/>
      <c r="FO98" s="1481"/>
      <c r="FP98" s="1481"/>
      <c r="FQ98" s="1481"/>
      <c r="FR98" s="1481"/>
      <c r="FS98" s="1481"/>
      <c r="FT98" s="1481"/>
      <c r="FU98" s="1481"/>
      <c r="FV98" s="1481"/>
      <c r="FW98" s="1481"/>
      <c r="FX98" s="1472"/>
    </row>
    <row s="11213" customFormat="1" customHeight="1" ht="12">
      <c r="A99" s="1179"/>
      <c r="B99" s="1178"/>
      <c r="C99" s="1179"/>
      <c r="D99" s="1179"/>
      <c r="E99" s="1179"/>
      <c r="F99" s="1484"/>
      <c r="G99" s="1460" t="s">
        <v>1473</v>
      </c>
      <c r="H99" s="1485"/>
      <c r="I99" s="1485"/>
      <c r="J99" s="1485"/>
      <c r="K99" s="1485"/>
      <c r="L99" s="1485"/>
      <c r="M99" s="1485"/>
      <c r="N99" s="1485"/>
      <c r="O99" s="1485"/>
      <c r="P99" s="1485"/>
      <c r="Q99" s="1485"/>
      <c r="R99" s="1485"/>
      <c r="S99" s="1485"/>
      <c r="T99" s="1485"/>
      <c r="U99" s="1485"/>
      <c r="V99" s="1485"/>
      <c r="W99" s="1485"/>
      <c r="X99" s="1485"/>
      <c r="Y99" s="1485"/>
      <c r="Z99" s="1485"/>
      <c r="AA99" s="1485"/>
      <c r="AB99" s="1485"/>
      <c r="AC99" s="1485"/>
      <c r="AD99" s="1485"/>
      <c r="AE99" s="1485"/>
      <c r="AF99" s="1485"/>
      <c r="AG99" s="1485"/>
      <c r="AH99" s="1485"/>
      <c r="AI99" s="1485"/>
      <c r="AJ99" s="1485"/>
      <c r="AK99" s="1485"/>
      <c r="AL99" s="1485"/>
      <c r="AM99" s="1485"/>
      <c r="AN99" s="1485"/>
      <c r="AO99" s="1485"/>
      <c r="AP99" s="1485"/>
      <c r="AQ99" s="1485"/>
      <c r="AR99" s="1485"/>
      <c r="AS99" s="1485"/>
      <c r="AT99" s="1485"/>
      <c r="AU99" s="1485"/>
      <c r="AV99" s="1485"/>
      <c r="AW99" s="1485"/>
      <c r="AX99" s="1485"/>
      <c r="AY99" s="1485"/>
      <c r="AZ99" s="1485"/>
      <c r="BA99" s="1485"/>
      <c r="BB99" s="1485"/>
      <c r="BC99" s="1485"/>
      <c r="BD99" s="1485"/>
      <c r="BE99" s="1485"/>
      <c r="BF99" s="1485"/>
      <c r="BG99" s="1485"/>
      <c r="BH99" s="1485"/>
      <c r="BI99" s="1485"/>
      <c r="BJ99" s="1485"/>
      <c r="BK99" s="1485"/>
      <c r="BL99" s="1485"/>
      <c r="BM99" s="1485"/>
      <c r="BN99" s="1485"/>
      <c r="BO99" s="1485"/>
      <c r="BP99" s="1485"/>
      <c r="BQ99" s="1485"/>
      <c r="BR99" s="1485"/>
      <c r="BS99" s="1485"/>
      <c r="BT99" s="1485"/>
      <c r="BU99" s="1485"/>
      <c r="BV99" s="1485"/>
      <c r="BW99" s="1485"/>
      <c r="BX99" s="1485"/>
      <c r="BY99" s="1485"/>
      <c r="BZ99" s="1485"/>
      <c r="CA99" s="1485"/>
      <c r="CB99" s="1485"/>
      <c r="CC99" s="1485"/>
      <c r="CD99" s="1485"/>
      <c r="CE99" s="1485"/>
      <c r="CF99" s="1485"/>
      <c r="CG99" s="1485"/>
      <c r="CH99" s="1485"/>
      <c r="CI99" s="1485"/>
      <c r="CJ99" s="1485"/>
      <c r="CK99" s="1485"/>
      <c r="CL99" s="1485"/>
      <c r="CM99" s="1485"/>
      <c r="CN99" s="1485"/>
      <c r="CO99" s="1485"/>
      <c r="CP99" s="1485"/>
      <c r="CQ99" s="1485"/>
      <c r="CR99" s="1485"/>
      <c r="CS99" s="1485"/>
      <c r="CT99" s="1485"/>
      <c r="CU99" s="1485"/>
      <c r="CV99" s="1485"/>
      <c r="CW99" s="1485"/>
      <c r="CX99" s="1485"/>
      <c r="CY99" s="1485"/>
      <c r="CZ99" s="1485"/>
      <c r="DA99" s="1485"/>
      <c r="DB99" s="1485"/>
      <c r="DC99" s="1485"/>
      <c r="DD99" s="1485"/>
      <c r="DE99" s="1485"/>
      <c r="DF99" s="1485"/>
      <c r="DG99" s="1485"/>
      <c r="DH99" s="1485"/>
      <c r="DI99" s="1485"/>
      <c r="DJ99" s="1485"/>
      <c r="DK99" s="1485"/>
      <c r="DL99" s="1485"/>
      <c r="DM99" s="1485"/>
      <c r="DN99" s="1485"/>
      <c r="DO99" s="1485"/>
      <c r="DP99" s="1485"/>
      <c r="DQ99" s="1485"/>
      <c r="DR99" s="1485"/>
      <c r="DS99" s="1485"/>
      <c r="DT99" s="1485"/>
      <c r="DU99" s="1485"/>
      <c r="DV99" s="1485"/>
      <c r="DW99" s="1485"/>
      <c r="DX99" s="1485"/>
      <c r="DY99" s="1485"/>
      <c r="DZ99" s="1485"/>
      <c r="EA99" s="1485"/>
      <c r="EB99" s="1485"/>
      <c r="EC99" s="1485"/>
      <c r="ED99" s="1485"/>
      <c r="EE99" s="1485"/>
      <c r="EF99" s="1485"/>
      <c r="EG99" s="1485"/>
      <c r="EH99" s="1485"/>
      <c r="EI99" s="1485"/>
      <c r="EJ99" s="1485"/>
      <c r="EK99" s="1485"/>
      <c r="EL99" s="1485"/>
      <c r="EM99" s="1485"/>
      <c r="EN99" s="1485"/>
      <c r="EO99" s="1485"/>
      <c r="EP99" s="1485"/>
      <c r="EQ99" s="1485"/>
      <c r="ER99" s="1485"/>
      <c r="ES99" s="1485"/>
      <c r="ET99" s="1485"/>
      <c r="EU99" s="1485"/>
      <c r="EV99" s="1485"/>
      <c r="EW99" s="1485"/>
      <c r="EX99" s="1485"/>
      <c r="EY99" s="1485"/>
      <c r="EZ99" s="1485"/>
      <c r="FA99" s="1485"/>
      <c r="FB99" s="1485"/>
      <c r="FC99" s="1485"/>
      <c r="FD99" s="1485"/>
      <c r="FE99" s="1485"/>
      <c r="FF99" s="1485"/>
      <c r="FG99" s="1485"/>
      <c r="FH99" s="1485"/>
      <c r="FI99" s="1485"/>
      <c r="FJ99" s="1485"/>
      <c r="FK99" s="1485"/>
      <c r="FL99" s="1485"/>
      <c r="FM99" s="1485"/>
      <c r="FN99" s="1485"/>
      <c r="FO99" s="1485"/>
      <c r="FP99" s="1485"/>
      <c r="FQ99" s="1485"/>
      <c r="FR99" s="1485"/>
      <c r="FS99" s="1485"/>
      <c r="FT99" s="1485"/>
      <c r="FU99" s="1485"/>
      <c r="FV99" s="1485"/>
      <c r="FW99" s="1486"/>
      <c r="FX99" s="1487"/>
      <c r="FY99" s="1196"/>
      <c r="FZ99" s="1196"/>
      <c r="GA99" s="1196"/>
      <c r="GB99" s="1196"/>
    </row>
    <row s="11403" customFormat="1" customHeight="1" ht="17.25"/>
    <row s="9233" customFormat="1" customHeight="1" ht="11.25">
      <c r="A101" s="284" t="s">
        <v>1474</v>
      </c>
    </row>
    <row s="11403" customFormat="1" customHeight="1" ht="17.25"/>
    <row s="11403" customFormat="1" customHeight="1" ht="15">
      <c r="A103" s="860"/>
      <c r="B103" s="861"/>
      <c r="C103" s="861"/>
      <c r="D103" s="2390" t="s">
        <v>109</v>
      </c>
      <c r="E103" s="2374" t="s">
        <v>105</v>
      </c>
      <c r="F103" s="2375"/>
      <c r="G103" s="2376"/>
      <c r="H103" s="2377" t="str">
        <f>IF(A103="","",INDEX(DIFFERENTIATION_UNMERGE_VD,MATCH(A103,DIFFERENTIATION_ID_DIFF,0)))</f>
        <v/>
      </c>
      <c r="I103" s="2377"/>
      <c r="J103" s="2377"/>
      <c r="K103" s="2377"/>
      <c r="L103" s="2377"/>
      <c r="M103" s="2377"/>
      <c r="N103" s="2377"/>
      <c r="O103" s="2377"/>
      <c r="P103" s="2377"/>
      <c r="Q103" s="2377"/>
      <c r="R103" s="2377"/>
      <c r="S103" s="956"/>
      <c r="T103" s="953"/>
      <c r="U103" s="862"/>
      <c r="V103" s="862"/>
      <c r="W103" s="863"/>
      <c r="X103" s="863"/>
      <c r="Y103" s="863"/>
      <c r="Z103" s="863"/>
      <c r="AA103" s="864"/>
      <c r="AB103" s="865"/>
      <c r="AC103" s="2373"/>
      <c r="AD103" s="866"/>
      <c r="AE103" s="867" t="s">
        <v>17</v>
      </c>
      <c r="AF103" s="867"/>
      <c r="AG103" s="868" t="s">
        <v>1475</v>
      </c>
      <c r="AH103" s="869">
        <v>3</v>
      </c>
      <c r="AI103" s="862"/>
      <c r="AJ103" s="862"/>
      <c r="AK103" s="862"/>
      <c r="AL103" s="862"/>
      <c r="AM103" s="862"/>
      <c r="AN103" s="862"/>
      <c r="AO103" s="862"/>
      <c r="AP103" s="862"/>
      <c r="AQ103" s="862"/>
      <c r="AR103" s="862"/>
      <c r="AS103" s="862"/>
      <c r="AT103" s="862"/>
      <c r="AU103" s="862"/>
      <c r="AV103" s="862"/>
      <c r="AW103" s="862"/>
      <c r="AX103" s="862"/>
      <c r="AY103" s="862"/>
      <c r="AZ103" s="862"/>
      <c r="BA103" s="862"/>
      <c r="BB103" s="862"/>
      <c r="BC103" s="862"/>
      <c r="BD103" s="862"/>
      <c r="BE103" s="862"/>
      <c r="BF103" s="862"/>
      <c r="BG103" s="862"/>
      <c r="BH103" s="862"/>
      <c r="BI103" s="862"/>
      <c r="BJ103" s="862"/>
      <c r="BK103" s="862"/>
      <c r="BL103" s="862"/>
      <c r="BM103" s="862"/>
      <c r="BN103" s="862"/>
      <c r="BO103" s="862"/>
      <c r="BP103" s="862"/>
      <c r="BQ103" s="862"/>
      <c r="BR103" s="862"/>
      <c r="BS103" s="862"/>
      <c r="BT103" s="862"/>
      <c r="BU103" s="862"/>
      <c r="BV103" s="863"/>
      <c r="BW103" s="863"/>
      <c r="BX103" s="863"/>
      <c r="BY103" s="863"/>
      <c r="BZ103" s="863"/>
      <c r="CA103" s="863"/>
      <c r="CB103" s="863"/>
      <c r="CC103" s="863"/>
      <c r="CD103" s="863"/>
      <c r="CE103" s="863"/>
    </row>
    <row s="11403" customFormat="1" customHeight="1" ht="15">
      <c r="A104" s="860"/>
      <c r="B104" s="861"/>
      <c r="C104" s="861"/>
      <c r="D104" s="2391"/>
      <c r="E104" s="2374" t="s">
        <v>1476</v>
      </c>
      <c r="F104" s="2375"/>
      <c r="G104" s="2376"/>
      <c r="H104" s="2377" t="str">
        <f>IF(A103="","",INDEX(DIFFERENTIATION_UNMERGE_AREA,MATCH(A103,DIFFERENTIATION_ID_DIFF,0)))</f>
        <v/>
      </c>
      <c r="I104" s="2377"/>
      <c r="J104" s="2377"/>
      <c r="K104" s="2377"/>
      <c r="L104" s="2377"/>
      <c r="M104" s="2377"/>
      <c r="N104" s="2377"/>
      <c r="O104" s="2377"/>
      <c r="P104" s="2377"/>
      <c r="Q104" s="2377"/>
      <c r="R104" s="2377"/>
      <c r="S104" s="956"/>
      <c r="T104" s="953"/>
      <c r="U104" s="862"/>
      <c r="V104" s="862"/>
      <c r="W104" s="863"/>
      <c r="X104" s="863"/>
      <c r="Y104" s="863"/>
      <c r="Z104" s="863"/>
      <c r="AA104" s="864"/>
      <c r="AB104" s="865"/>
      <c r="AC104" s="2373"/>
      <c r="AD104" s="866"/>
      <c r="AE104" s="867"/>
      <c r="AF104" s="867"/>
      <c r="AG104" s="868"/>
      <c r="AH104" s="869"/>
      <c r="AI104" s="862"/>
      <c r="AJ104" s="862"/>
      <c r="AK104" s="862"/>
      <c r="AL104" s="862"/>
      <c r="AM104" s="862"/>
      <c r="AN104" s="862"/>
      <c r="AO104" s="862"/>
      <c r="AP104" s="862"/>
      <c r="AQ104" s="862"/>
      <c r="AR104" s="862"/>
      <c r="AS104" s="862"/>
      <c r="AT104" s="862"/>
      <c r="AU104" s="862"/>
      <c r="AV104" s="862"/>
      <c r="AW104" s="862"/>
      <c r="AX104" s="862"/>
      <c r="AY104" s="862"/>
      <c r="AZ104" s="862"/>
      <c r="BA104" s="862"/>
      <c r="BB104" s="862"/>
      <c r="BC104" s="862"/>
      <c r="BD104" s="862"/>
      <c r="BE104" s="862"/>
      <c r="BF104" s="862"/>
      <c r="BG104" s="862"/>
      <c r="BH104" s="862"/>
      <c r="BI104" s="862"/>
      <c r="BJ104" s="862"/>
      <c r="BK104" s="862"/>
      <c r="BL104" s="862"/>
      <c r="BM104" s="862"/>
      <c r="BN104" s="862"/>
      <c r="BO104" s="862"/>
      <c r="BP104" s="862"/>
      <c r="BQ104" s="862"/>
      <c r="BR104" s="862"/>
      <c r="BS104" s="862"/>
      <c r="BT104" s="862"/>
      <c r="BU104" s="862"/>
      <c r="BV104" s="863"/>
      <c r="BW104" s="863"/>
      <c r="BX104" s="863"/>
      <c r="BY104" s="863"/>
      <c r="BZ104" s="863"/>
      <c r="CA104" s="863"/>
      <c r="CB104" s="863"/>
      <c r="CC104" s="863"/>
      <c r="CD104" s="863"/>
      <c r="CE104" s="863"/>
    </row>
    <row s="11403" customFormat="1" customHeight="1" ht="15">
      <c r="A105" s="860"/>
      <c r="B105" s="861"/>
      <c r="C105" s="861"/>
      <c r="D105" s="2391"/>
      <c r="E105" s="2374" t="s">
        <v>1477</v>
      </c>
      <c r="F105" s="2375"/>
      <c r="G105" s="2376"/>
      <c r="H105" s="2377" t="str">
        <f>IF(A103="","",INDEX(DIFFERENTIATION_UNMERGE_SYSTEM,MATCH(A103,DIFFERENTIATION_ID_DIFF,0)))</f>
        <v/>
      </c>
      <c r="I105" s="2377"/>
      <c r="J105" s="2377"/>
      <c r="K105" s="2377"/>
      <c r="L105" s="2377"/>
      <c r="M105" s="2377"/>
      <c r="N105" s="2377"/>
      <c r="O105" s="2377"/>
      <c r="P105" s="2377"/>
      <c r="Q105" s="2377"/>
      <c r="R105" s="2377"/>
      <c r="S105" s="956"/>
      <c r="T105" s="953"/>
      <c r="U105" s="862"/>
      <c r="V105" s="862"/>
      <c r="W105" s="863"/>
      <c r="X105" s="863"/>
      <c r="Y105" s="863"/>
      <c r="Z105" s="863"/>
      <c r="AA105" s="864"/>
      <c r="AB105" s="865"/>
      <c r="AC105" s="2373"/>
      <c r="AD105" s="866"/>
      <c r="AE105" s="867"/>
      <c r="AF105" s="867"/>
      <c r="AG105" s="868"/>
      <c r="AH105" s="869"/>
      <c r="AI105" s="862"/>
      <c r="AJ105" s="862"/>
      <c r="AK105" s="862"/>
      <c r="AL105" s="862"/>
      <c r="AM105" s="862"/>
      <c r="AN105" s="862"/>
      <c r="AO105" s="862"/>
      <c r="AP105" s="862"/>
      <c r="AQ105" s="862"/>
      <c r="AR105" s="862"/>
      <c r="AS105" s="862"/>
      <c r="AT105" s="862"/>
      <c r="AU105" s="862"/>
      <c r="AV105" s="862"/>
      <c r="AW105" s="862"/>
      <c r="AX105" s="862"/>
      <c r="AY105" s="862"/>
      <c r="AZ105" s="862"/>
      <c r="BA105" s="862"/>
      <c r="BB105" s="862"/>
      <c r="BC105" s="862"/>
      <c r="BD105" s="862"/>
      <c r="BE105" s="862"/>
      <c r="BF105" s="862"/>
      <c r="BG105" s="862"/>
      <c r="BH105" s="862"/>
      <c r="BI105" s="862"/>
      <c r="BJ105" s="862"/>
      <c r="BK105" s="862"/>
      <c r="BL105" s="862"/>
      <c r="BM105" s="862"/>
      <c r="BN105" s="862"/>
      <c r="BO105" s="862"/>
      <c r="BP105" s="862"/>
      <c r="BQ105" s="862"/>
      <c r="BR105" s="862"/>
      <c r="BS105" s="862"/>
      <c r="BT105" s="862"/>
      <c r="BU105" s="862"/>
      <c r="BV105" s="863"/>
      <c r="BW105" s="863"/>
      <c r="BX105" s="863"/>
      <c r="BY105" s="863"/>
      <c r="BZ105" s="863"/>
      <c r="CA105" s="863"/>
      <c r="CB105" s="863"/>
      <c r="CC105" s="863"/>
      <c r="CD105" s="863"/>
      <c r="CE105" s="863"/>
    </row>
    <row s="11403" customFormat="1" customHeight="1" ht="24.75">
      <c r="A106" s="870"/>
      <c r="B106" s="653"/>
      <c r="C106" s="648"/>
      <c r="D106" s="2391"/>
      <c r="E106" s="2388" t="s">
        <v>1478</v>
      </c>
      <c r="F106" s="2388"/>
      <c r="G106" s="2388"/>
      <c r="H106" s="2388"/>
      <c r="I106" s="2388"/>
      <c r="J106" s="2388"/>
      <c r="K106" s="2388"/>
      <c r="L106" s="2388"/>
      <c r="M106" s="2388"/>
      <c r="N106" s="2388"/>
      <c r="O106" s="2388"/>
      <c r="P106" s="2388"/>
      <c r="Q106" s="795">
        <f>SUMIF(T107:T108,"i",Q107:Q108)</f>
        <v>0</v>
      </c>
      <c r="R106" s="1273"/>
      <c r="S106" s="1148" t="s">
        <v>1479</v>
      </c>
      <c r="T106" s="954" t="s">
        <v>1480</v>
      </c>
      <c r="U106" s="2389">
        <v>1</v>
      </c>
      <c r="V106" s="2389" t="s">
        <v>1481</v>
      </c>
      <c r="W106" s="653"/>
      <c r="X106" s="653"/>
      <c r="Y106" s="653"/>
      <c r="Z106" s="653"/>
      <c r="AA106" s="748"/>
      <c r="AB106" s="653"/>
      <c r="AC106" s="2373"/>
      <c r="AD106" s="866"/>
      <c r="AE106" s="653"/>
      <c r="AF106" s="653"/>
      <c r="AG106" s="748"/>
      <c r="AH106" s="748"/>
      <c r="AI106" s="748"/>
      <c r="AJ106" s="748"/>
      <c r="AK106" s="748"/>
      <c r="AL106" s="748"/>
      <c r="AM106" s="748"/>
      <c r="AN106" s="748"/>
      <c r="AO106" s="748"/>
      <c r="AP106" s="748"/>
      <c r="AQ106" s="748"/>
      <c r="AR106" s="748"/>
      <c r="AS106" s="748"/>
      <c r="AT106" s="748"/>
      <c r="AU106" s="748"/>
      <c r="AV106" s="748"/>
      <c r="AW106" s="748"/>
      <c r="AX106" s="748"/>
      <c r="AY106" s="748"/>
      <c r="AZ106" s="748"/>
      <c r="BA106" s="748"/>
      <c r="BB106" s="748"/>
      <c r="BC106" s="748"/>
      <c r="BD106" s="748"/>
      <c r="BE106" s="748"/>
      <c r="BF106" s="748"/>
      <c r="BG106" s="748"/>
      <c r="BH106" s="748"/>
      <c r="BI106" s="748"/>
      <c r="BJ106" s="748"/>
      <c r="BK106" s="748"/>
      <c r="BL106" s="748"/>
      <c r="BM106" s="748"/>
      <c r="BN106" s="748"/>
      <c r="BO106" s="748"/>
      <c r="BP106" s="748"/>
      <c r="BQ106" s="748"/>
      <c r="BR106" s="748"/>
      <c r="BS106" s="748"/>
      <c r="BT106" s="748"/>
      <c r="BU106" s="748"/>
      <c r="BV106" s="653"/>
      <c r="BW106" s="653"/>
      <c r="BX106" s="653"/>
      <c r="BY106" s="653"/>
      <c r="BZ106" s="653"/>
      <c r="CA106" s="653"/>
      <c r="CB106" s="653"/>
      <c r="CC106" s="653"/>
      <c r="CD106" s="653"/>
      <c r="CE106" s="653"/>
    </row>
    <row s="11403" customFormat="1" customHeight="1" ht="11.25" hidden="1">
      <c r="A107" s="1154"/>
      <c r="B107" s="748"/>
      <c r="C107" s="748"/>
      <c r="D107" s="2391"/>
      <c r="E107" s="872"/>
      <c r="F107" s="872">
        <v>0</v>
      </c>
      <c r="G107" s="872"/>
      <c r="H107" s="872"/>
      <c r="I107" s="872"/>
      <c r="J107" s="872"/>
      <c r="K107" s="872"/>
      <c r="L107" s="872"/>
      <c r="M107" s="872"/>
      <c r="N107" s="872"/>
      <c r="O107" s="872"/>
      <c r="P107" s="872"/>
      <c r="Q107" s="872"/>
      <c r="R107" s="872"/>
      <c r="S107" s="873"/>
      <c r="T107" s="955"/>
      <c r="U107" s="2389"/>
      <c r="V107" s="2389"/>
      <c r="W107" s="748"/>
      <c r="X107" s="748"/>
      <c r="Y107" s="748"/>
      <c r="Z107" s="748"/>
      <c r="AA107" s="748"/>
      <c r="AB107" s="653"/>
      <c r="AC107" s="2373"/>
      <c r="AD107" s="866"/>
      <c r="AE107" s="653"/>
      <c r="AF107" s="653"/>
      <c r="AG107" s="748"/>
      <c r="AH107" s="748"/>
      <c r="AI107" s="748"/>
      <c r="AJ107" s="748"/>
      <c r="AK107" s="748"/>
      <c r="AL107" s="748"/>
      <c r="AM107" s="748"/>
      <c r="AN107" s="748"/>
      <c r="AO107" s="748"/>
      <c r="AP107" s="748"/>
      <c r="AQ107" s="748"/>
      <c r="AR107" s="748"/>
      <c r="AS107" s="748"/>
      <c r="AT107" s="748"/>
      <c r="AU107" s="748"/>
      <c r="AV107" s="748"/>
      <c r="AW107" s="748"/>
      <c r="AX107" s="748"/>
      <c r="AY107" s="748"/>
      <c r="AZ107" s="748"/>
      <c r="BA107" s="748"/>
      <c r="BB107" s="748"/>
      <c r="BC107" s="748"/>
      <c r="BD107" s="748"/>
      <c r="BE107" s="748"/>
      <c r="BF107" s="748"/>
      <c r="BG107" s="748"/>
      <c r="BH107" s="748"/>
      <c r="BI107" s="748"/>
      <c r="BJ107" s="748"/>
      <c r="BK107" s="748"/>
      <c r="BL107" s="748"/>
      <c r="BM107" s="748"/>
      <c r="BN107" s="748"/>
      <c r="BO107" s="748"/>
      <c r="BP107" s="748"/>
      <c r="BQ107" s="748"/>
      <c r="BR107" s="748"/>
      <c r="BS107" s="748"/>
      <c r="BT107" s="748"/>
      <c r="BU107" s="748"/>
      <c r="BV107" s="748"/>
      <c r="BW107" s="748"/>
      <c r="BX107" s="748"/>
      <c r="BY107" s="748"/>
      <c r="BZ107" s="748"/>
      <c r="CA107" s="748"/>
      <c r="CB107" s="748"/>
      <c r="CC107" s="748"/>
      <c r="CD107" s="748"/>
      <c r="CE107" s="748"/>
    </row>
    <row s="11403" customFormat="1" customHeight="1" ht="11.25">
      <c r="A108" s="870"/>
      <c r="B108" s="653"/>
      <c r="C108" s="648"/>
      <c r="D108" s="2391"/>
      <c r="E108" s="886" t="s">
        <v>17</v>
      </c>
      <c r="F108" s="887" t="s">
        <v>17</v>
      </c>
      <c r="G108" s="887" t="s">
        <v>1482</v>
      </c>
      <c r="H108" s="888" t="s">
        <v>17</v>
      </c>
      <c r="I108" s="888"/>
      <c r="J108" s="888"/>
      <c r="K108" s="888"/>
      <c r="L108" s="888"/>
      <c r="M108" s="888"/>
      <c r="N108" s="888"/>
      <c r="O108" s="888"/>
      <c r="P108" s="888"/>
      <c r="Q108" s="888"/>
      <c r="R108" s="889"/>
      <c r="S108" s="890"/>
      <c r="T108" s="955"/>
      <c r="U108" s="2389"/>
      <c r="V108" s="2389"/>
      <c r="W108" s="653"/>
      <c r="X108" s="653"/>
      <c r="Y108" s="653"/>
      <c r="Z108" s="653"/>
      <c r="AA108" s="748"/>
      <c r="AB108" s="653"/>
      <c r="AC108" s="2373"/>
      <c r="AD108" s="866"/>
      <c r="AE108" s="653"/>
      <c r="AF108" s="653"/>
      <c r="AG108" s="748"/>
      <c r="AH108" s="748"/>
      <c r="AI108" s="748"/>
      <c r="AJ108" s="748"/>
      <c r="AK108" s="748"/>
      <c r="AL108" s="748"/>
      <c r="AM108" s="748"/>
      <c r="AN108" s="748"/>
      <c r="AO108" s="748"/>
      <c r="AP108" s="748"/>
      <c r="AQ108" s="748"/>
      <c r="AR108" s="748"/>
      <c r="AS108" s="748"/>
      <c r="AT108" s="748"/>
      <c r="AU108" s="748"/>
      <c r="AV108" s="748"/>
      <c r="AW108" s="748"/>
      <c r="AX108" s="748"/>
      <c r="AY108" s="748"/>
      <c r="AZ108" s="748"/>
      <c r="BA108" s="748"/>
      <c r="BB108" s="748"/>
      <c r="BC108" s="748"/>
      <c r="BD108" s="748"/>
      <c r="BE108" s="748"/>
      <c r="BF108" s="748"/>
      <c r="BG108" s="748"/>
      <c r="BH108" s="748"/>
      <c r="BI108" s="748"/>
      <c r="BJ108" s="748"/>
      <c r="BK108" s="748"/>
      <c r="BL108" s="748"/>
      <c r="BM108" s="748"/>
      <c r="BN108" s="748"/>
      <c r="BO108" s="748"/>
      <c r="BP108" s="748"/>
      <c r="BQ108" s="748"/>
      <c r="BR108" s="748"/>
      <c r="BS108" s="748"/>
      <c r="BT108" s="748"/>
      <c r="BU108" s="748"/>
      <c r="BV108" s="653"/>
      <c r="BW108" s="653"/>
      <c r="BX108" s="653"/>
      <c r="BY108" s="653"/>
      <c r="BZ108" s="653"/>
      <c r="CA108" s="653"/>
      <c r="CB108" s="653"/>
      <c r="CC108" s="653"/>
      <c r="CD108" s="653"/>
      <c r="CE108" s="653"/>
    </row>
    <row s="11403" customFormat="1" customHeight="1" ht="24.75">
      <c r="A109" s="870"/>
      <c r="B109" s="653"/>
      <c r="C109" s="648"/>
      <c r="D109" s="2391"/>
      <c r="E109" s="2388" t="s">
        <v>1483</v>
      </c>
      <c r="F109" s="2388"/>
      <c r="G109" s="2388"/>
      <c r="H109" s="2388"/>
      <c r="I109" s="2388"/>
      <c r="J109" s="2388"/>
      <c r="K109" s="2388"/>
      <c r="L109" s="2388"/>
      <c r="M109" s="2388"/>
      <c r="N109" s="2388"/>
      <c r="O109" s="2388"/>
      <c r="P109" s="2388"/>
      <c r="Q109" s="795">
        <f>SUMIF(T110:T111,"i",Q110:Q111)</f>
        <v>0</v>
      </c>
      <c r="R109" s="1273"/>
      <c r="S109" s="1148" t="s">
        <v>1484</v>
      </c>
      <c r="T109" s="954" t="s">
        <v>1480</v>
      </c>
      <c r="U109" s="2389">
        <v>1</v>
      </c>
      <c r="V109" s="2389" t="s">
        <v>1481</v>
      </c>
      <c r="W109" s="653"/>
      <c r="X109" s="653"/>
      <c r="Y109" s="653"/>
      <c r="Z109" s="653"/>
      <c r="AA109" s="748"/>
      <c r="AB109" s="653"/>
      <c r="AC109" s="1156"/>
      <c r="AD109" s="866"/>
      <c r="AE109" s="653"/>
      <c r="AF109" s="653"/>
      <c r="AG109" s="748"/>
      <c r="AH109" s="748"/>
      <c r="AI109" s="748"/>
      <c r="AJ109" s="748"/>
      <c r="AK109" s="748"/>
      <c r="AL109" s="748"/>
      <c r="AM109" s="748"/>
      <c r="AN109" s="748"/>
      <c r="AO109" s="748"/>
      <c r="AP109" s="748"/>
      <c r="AQ109" s="748"/>
      <c r="AR109" s="748"/>
      <c r="AS109" s="748"/>
      <c r="AT109" s="748"/>
      <c r="AU109" s="748"/>
      <c r="AV109" s="748"/>
      <c r="AW109" s="748"/>
      <c r="AX109" s="748"/>
      <c r="AY109" s="748"/>
      <c r="AZ109" s="748"/>
      <c r="BA109" s="748"/>
      <c r="BB109" s="748"/>
      <c r="BC109" s="748"/>
      <c r="BD109" s="748"/>
      <c r="BE109" s="748"/>
      <c r="BF109" s="748"/>
      <c r="BG109" s="748"/>
      <c r="BH109" s="748"/>
      <c r="BI109" s="748"/>
      <c r="BJ109" s="748"/>
      <c r="BK109" s="748"/>
      <c r="BL109" s="748"/>
      <c r="BM109" s="748"/>
      <c r="BN109" s="748"/>
      <c r="BO109" s="748"/>
      <c r="BP109" s="748"/>
      <c r="BQ109" s="748"/>
      <c r="BR109" s="748"/>
      <c r="BS109" s="748"/>
      <c r="BT109" s="748"/>
      <c r="BU109" s="748"/>
      <c r="BV109" s="653"/>
      <c r="BW109" s="653"/>
      <c r="BX109" s="653"/>
      <c r="BY109" s="653"/>
      <c r="BZ109" s="653"/>
      <c r="CA109" s="653"/>
      <c r="CB109" s="653"/>
      <c r="CC109" s="653"/>
      <c r="CD109" s="653"/>
      <c r="CE109" s="653"/>
    </row>
    <row s="11403" customFormat="1" customHeight="1" ht="11.25" hidden="1">
      <c r="A110" s="1154"/>
      <c r="B110" s="748"/>
      <c r="C110" s="748"/>
      <c r="D110" s="2391"/>
      <c r="E110" s="872"/>
      <c r="F110" s="872">
        <v>0</v>
      </c>
      <c r="G110" s="872"/>
      <c r="H110" s="872"/>
      <c r="I110" s="872"/>
      <c r="J110" s="872"/>
      <c r="K110" s="872"/>
      <c r="L110" s="872"/>
      <c r="M110" s="872"/>
      <c r="N110" s="872"/>
      <c r="O110" s="872"/>
      <c r="P110" s="872"/>
      <c r="Q110" s="872"/>
      <c r="R110" s="872"/>
      <c r="S110" s="873"/>
      <c r="T110" s="955"/>
      <c r="U110" s="2389"/>
      <c r="V110" s="2389"/>
      <c r="W110" s="748"/>
      <c r="X110" s="748"/>
      <c r="Y110" s="748"/>
      <c r="Z110" s="748"/>
      <c r="AA110" s="748"/>
      <c r="AB110" s="653"/>
      <c r="AC110" s="1156"/>
      <c r="AD110" s="866"/>
      <c r="AE110" s="653"/>
      <c r="AF110" s="653"/>
      <c r="AG110" s="748"/>
      <c r="AH110" s="748"/>
      <c r="AI110" s="748"/>
      <c r="AJ110" s="748"/>
      <c r="AK110" s="748"/>
      <c r="AL110" s="748"/>
      <c r="AM110" s="748"/>
      <c r="AN110" s="748"/>
      <c r="AO110" s="748"/>
      <c r="AP110" s="748"/>
      <c r="AQ110" s="748"/>
      <c r="AR110" s="748"/>
      <c r="AS110" s="748"/>
      <c r="AT110" s="748"/>
      <c r="AU110" s="748"/>
      <c r="AV110" s="748"/>
      <c r="AW110" s="748"/>
      <c r="AX110" s="748"/>
      <c r="AY110" s="748"/>
      <c r="AZ110" s="748"/>
      <c r="BA110" s="748"/>
      <c r="BB110" s="748"/>
      <c r="BC110" s="748"/>
      <c r="BD110" s="748"/>
      <c r="BE110" s="748"/>
      <c r="BF110" s="748"/>
      <c r="BG110" s="748"/>
      <c r="BH110" s="748"/>
      <c r="BI110" s="748"/>
      <c r="BJ110" s="748"/>
      <c r="BK110" s="748"/>
      <c r="BL110" s="748"/>
      <c r="BM110" s="748"/>
      <c r="BN110" s="748"/>
      <c r="BO110" s="748"/>
      <c r="BP110" s="748"/>
      <c r="BQ110" s="748"/>
      <c r="BR110" s="748"/>
      <c r="BS110" s="748"/>
      <c r="BT110" s="748"/>
      <c r="BU110" s="748"/>
      <c r="BV110" s="748"/>
      <c r="BW110" s="748"/>
      <c r="BX110" s="748"/>
      <c r="BY110" s="748"/>
      <c r="BZ110" s="748"/>
      <c r="CA110" s="748"/>
      <c r="CB110" s="748"/>
      <c r="CC110" s="748"/>
      <c r="CD110" s="748"/>
      <c r="CE110" s="748"/>
    </row>
    <row s="11403" customFormat="1" customHeight="1" ht="11.25">
      <c r="A111" s="870"/>
      <c r="B111" s="653"/>
      <c r="C111" s="648"/>
      <c r="D111" s="2392"/>
      <c r="E111" s="886" t="s">
        <v>17</v>
      </c>
      <c r="F111" s="887" t="s">
        <v>17</v>
      </c>
      <c r="G111" s="887" t="s">
        <v>1482</v>
      </c>
      <c r="H111" s="888" t="s">
        <v>17</v>
      </c>
      <c r="I111" s="888"/>
      <c r="J111" s="888"/>
      <c r="K111" s="888"/>
      <c r="L111" s="888"/>
      <c r="M111" s="888"/>
      <c r="N111" s="888"/>
      <c r="O111" s="888"/>
      <c r="P111" s="888"/>
      <c r="Q111" s="888"/>
      <c r="R111" s="889"/>
      <c r="S111" s="890"/>
      <c r="T111" s="955"/>
      <c r="U111" s="2389"/>
      <c r="V111" s="2389"/>
      <c r="W111" s="653"/>
      <c r="X111" s="653"/>
      <c r="Y111" s="653"/>
      <c r="Z111" s="653"/>
      <c r="AA111" s="748"/>
      <c r="AB111" s="653"/>
      <c r="AC111" s="1156"/>
      <c r="AD111" s="866"/>
      <c r="AE111" s="653"/>
      <c r="AF111" s="653"/>
      <c r="AG111" s="748"/>
      <c r="AH111" s="748"/>
      <c r="AI111" s="748"/>
      <c r="AJ111" s="748"/>
      <c r="AK111" s="748"/>
      <c r="AL111" s="748"/>
      <c r="AM111" s="748"/>
      <c r="AN111" s="748"/>
      <c r="AO111" s="748"/>
      <c r="AP111" s="748"/>
      <c r="AQ111" s="748"/>
      <c r="AR111" s="748"/>
      <c r="AS111" s="748"/>
      <c r="AT111" s="748"/>
      <c r="AU111" s="748"/>
      <c r="AV111" s="748"/>
      <c r="AW111" s="748"/>
      <c r="AX111" s="748"/>
      <c r="AY111" s="748"/>
      <c r="AZ111" s="748"/>
      <c r="BA111" s="748"/>
      <c r="BB111" s="748"/>
      <c r="BC111" s="748"/>
      <c r="BD111" s="748"/>
      <c r="BE111" s="748"/>
      <c r="BF111" s="748"/>
      <c r="BG111" s="748"/>
      <c r="BH111" s="748"/>
      <c r="BI111" s="748"/>
      <c r="BJ111" s="748"/>
      <c r="BK111" s="748"/>
      <c r="BL111" s="748"/>
      <c r="BM111" s="748"/>
      <c r="BN111" s="748"/>
      <c r="BO111" s="748"/>
      <c r="BP111" s="748"/>
      <c r="BQ111" s="748"/>
      <c r="BR111" s="748"/>
      <c r="BS111" s="748"/>
      <c r="BT111" s="748"/>
      <c r="BU111" s="748"/>
      <c r="BV111" s="653"/>
      <c r="BW111" s="653"/>
      <c r="BX111" s="653"/>
      <c r="BY111" s="653"/>
      <c r="BZ111" s="653"/>
      <c r="CA111" s="653"/>
      <c r="CB111" s="653"/>
      <c r="CC111" s="653"/>
      <c r="CD111" s="653"/>
      <c r="CE111" s="653"/>
    </row>
    <row s="11403" customFormat="1" customHeight="1" ht="17.25"/>
    <row s="9233" customFormat="1" customHeight="1" ht="11.25">
      <c r="A113" s="284" t="s">
        <v>1485</v>
      </c>
    </row>
    <row s="11403" customFormat="1" customHeight="1" ht="17.25"/>
    <row s="11403" customFormat="1" customHeight="1" ht="15" hidden="1">
      <c r="A115" s="860"/>
      <c r="B115" s="861"/>
      <c r="C115" s="861"/>
      <c r="D115" s="2390" t="s">
        <v>109</v>
      </c>
      <c r="E115" s="2374" t="s">
        <v>105</v>
      </c>
      <c r="F115" s="2375"/>
      <c r="G115" s="2376"/>
      <c r="H115" s="2377" t="str">
        <f>IF(A115="","",INDEX(DIFFERENTIATION_UNMERGE_VD,MATCH(A115,DIFFERENTIATION_ID_DIFF,0)))</f>
        <v/>
      </c>
      <c r="I115" s="2377"/>
      <c r="J115" s="2377"/>
      <c r="K115" s="2377"/>
      <c r="L115" s="2377"/>
      <c r="M115" s="2377"/>
      <c r="N115" s="2377"/>
      <c r="O115" s="2377"/>
      <c r="P115" s="2377"/>
      <c r="Q115" s="2377"/>
      <c r="R115" s="2377"/>
      <c r="S115" s="956"/>
      <c r="T115" s="953"/>
      <c r="U115" s="862"/>
      <c r="V115" s="862"/>
      <c r="W115" s="863"/>
      <c r="X115" s="863"/>
      <c r="Y115" s="863"/>
      <c r="Z115" s="863"/>
      <c r="AA115" s="864"/>
      <c r="AB115" s="865"/>
      <c r="AC115" s="2373"/>
      <c r="AD115" s="866"/>
      <c r="AE115" s="867" t="s">
        <v>17</v>
      </c>
      <c r="AF115" s="867"/>
      <c r="AG115" s="868" t="s">
        <v>1475</v>
      </c>
      <c r="AH115" s="869">
        <v>3</v>
      </c>
      <c r="AI115" s="862"/>
      <c r="AJ115" s="862"/>
      <c r="AK115" s="862"/>
      <c r="AL115" s="862"/>
      <c r="AM115" s="862"/>
      <c r="AN115" s="862"/>
      <c r="AO115" s="862"/>
      <c r="AP115" s="862"/>
      <c r="AQ115" s="862"/>
      <c r="AR115" s="862"/>
      <c r="AS115" s="862"/>
      <c r="AT115" s="862"/>
      <c r="AU115" s="862"/>
      <c r="AV115" s="862"/>
      <c r="AW115" s="862"/>
      <c r="AX115" s="862"/>
      <c r="AY115" s="862"/>
      <c r="AZ115" s="862"/>
      <c r="BA115" s="862"/>
      <c r="BB115" s="862"/>
      <c r="BC115" s="862"/>
      <c r="BD115" s="862"/>
      <c r="BE115" s="862"/>
      <c r="BF115" s="862"/>
      <c r="BG115" s="862"/>
      <c r="BH115" s="862"/>
      <c r="BI115" s="862"/>
      <c r="BJ115" s="862"/>
      <c r="BK115" s="862"/>
      <c r="BL115" s="862"/>
      <c r="BM115" s="862"/>
      <c r="BN115" s="862"/>
      <c r="BO115" s="862"/>
      <c r="BP115" s="862"/>
      <c r="BQ115" s="862"/>
      <c r="BR115" s="862"/>
      <c r="BS115" s="862"/>
      <c r="BT115" s="862"/>
      <c r="BU115" s="862"/>
      <c r="BV115" s="863"/>
      <c r="BW115" s="863"/>
      <c r="BX115" s="863"/>
      <c r="BY115" s="863"/>
      <c r="BZ115" s="863"/>
      <c r="CA115" s="863"/>
      <c r="CB115" s="863"/>
      <c r="CC115" s="863"/>
      <c r="CD115" s="863"/>
      <c r="CE115" s="863"/>
    </row>
    <row s="11403" customFormat="1" customHeight="1" ht="15" hidden="1">
      <c r="A116" s="860"/>
      <c r="B116" s="861"/>
      <c r="C116" s="861"/>
      <c r="D116" s="2391"/>
      <c r="E116" s="2374" t="s">
        <v>1476</v>
      </c>
      <c r="F116" s="2375"/>
      <c r="G116" s="2376"/>
      <c r="H116" s="2377" t="str">
        <f>IF(A115="","",INDEX(DIFFERENTIATION_UNMERGE_AREA,MATCH(A115,DIFFERENTIATION_ID_DIFF,0)))</f>
        <v/>
      </c>
      <c r="I116" s="2377"/>
      <c r="J116" s="2377"/>
      <c r="K116" s="2377"/>
      <c r="L116" s="2377"/>
      <c r="M116" s="2377"/>
      <c r="N116" s="2377"/>
      <c r="O116" s="2377"/>
      <c r="P116" s="2377"/>
      <c r="Q116" s="2377"/>
      <c r="R116" s="2377"/>
      <c r="S116" s="956"/>
      <c r="T116" s="953"/>
      <c r="U116" s="862"/>
      <c r="V116" s="862"/>
      <c r="W116" s="863"/>
      <c r="X116" s="863"/>
      <c r="Y116" s="863"/>
      <c r="Z116" s="863"/>
      <c r="AA116" s="864"/>
      <c r="AB116" s="865"/>
      <c r="AC116" s="2373"/>
      <c r="AD116" s="866"/>
      <c r="AE116" s="867"/>
      <c r="AF116" s="867"/>
      <c r="AG116" s="868"/>
      <c r="AH116" s="869"/>
      <c r="AI116" s="862"/>
      <c r="AJ116" s="862"/>
      <c r="AK116" s="862"/>
      <c r="AL116" s="862"/>
      <c r="AM116" s="862"/>
      <c r="AN116" s="862"/>
      <c r="AO116" s="862"/>
      <c r="AP116" s="862"/>
      <c r="AQ116" s="862"/>
      <c r="AR116" s="862"/>
      <c r="AS116" s="862"/>
      <c r="AT116" s="862"/>
      <c r="AU116" s="862"/>
      <c r="AV116" s="862"/>
      <c r="AW116" s="862"/>
      <c r="AX116" s="862"/>
      <c r="AY116" s="862"/>
      <c r="AZ116" s="862"/>
      <c r="BA116" s="862"/>
      <c r="BB116" s="862"/>
      <c r="BC116" s="862"/>
      <c r="BD116" s="862"/>
      <c r="BE116" s="862"/>
      <c r="BF116" s="862"/>
      <c r="BG116" s="862"/>
      <c r="BH116" s="862"/>
      <c r="BI116" s="862"/>
      <c r="BJ116" s="862"/>
      <c r="BK116" s="862"/>
      <c r="BL116" s="862"/>
      <c r="BM116" s="862"/>
      <c r="BN116" s="862"/>
      <c r="BO116" s="862"/>
      <c r="BP116" s="862"/>
      <c r="BQ116" s="862"/>
      <c r="BR116" s="862"/>
      <c r="BS116" s="862"/>
      <c r="BT116" s="862"/>
      <c r="BU116" s="862"/>
      <c r="BV116" s="863"/>
      <c r="BW116" s="863"/>
      <c r="BX116" s="863"/>
      <c r="BY116" s="863"/>
      <c r="BZ116" s="863"/>
      <c r="CA116" s="863"/>
      <c r="CB116" s="863"/>
      <c r="CC116" s="863"/>
      <c r="CD116" s="863"/>
      <c r="CE116" s="863"/>
    </row>
    <row s="11403" customFormat="1" customHeight="1" ht="15" hidden="1">
      <c r="A117" s="860"/>
      <c r="B117" s="861"/>
      <c r="C117" s="861"/>
      <c r="D117" s="2391"/>
      <c r="E117" s="2374" t="s">
        <v>1477</v>
      </c>
      <c r="F117" s="2375"/>
      <c r="G117" s="2376"/>
      <c r="H117" s="2377" t="str">
        <f>IF(A115="","",INDEX(DIFFERENTIATION_UNMERGE_SYSTEM,MATCH(A115,DIFFERENTIATION_ID_DIFF,0)))</f>
        <v/>
      </c>
      <c r="I117" s="2377"/>
      <c r="J117" s="2377"/>
      <c r="K117" s="2377"/>
      <c r="L117" s="2377"/>
      <c r="M117" s="2377"/>
      <c r="N117" s="2377"/>
      <c r="O117" s="2377"/>
      <c r="P117" s="2377"/>
      <c r="Q117" s="2377"/>
      <c r="R117" s="2377"/>
      <c r="S117" s="956"/>
      <c r="T117" s="953"/>
      <c r="U117" s="862"/>
      <c r="V117" s="862"/>
      <c r="W117" s="863"/>
      <c r="X117" s="863"/>
      <c r="Y117" s="863"/>
      <c r="Z117" s="863"/>
      <c r="AA117" s="864"/>
      <c r="AB117" s="865"/>
      <c r="AC117" s="2373"/>
      <c r="AD117" s="866"/>
      <c r="AE117" s="867"/>
      <c r="AF117" s="867"/>
      <c r="AG117" s="868"/>
      <c r="AH117" s="869"/>
      <c r="AI117" s="862"/>
      <c r="AJ117" s="862"/>
      <c r="AK117" s="862"/>
      <c r="AL117" s="862"/>
      <c r="AM117" s="862"/>
      <c r="AN117" s="862"/>
      <c r="AO117" s="862"/>
      <c r="AP117" s="862"/>
      <c r="AQ117" s="862"/>
      <c r="AR117" s="862"/>
      <c r="AS117" s="862"/>
      <c r="AT117" s="862"/>
      <c r="AU117" s="862"/>
      <c r="AV117" s="862"/>
      <c r="AW117" s="862"/>
      <c r="AX117" s="862"/>
      <c r="AY117" s="862"/>
      <c r="AZ117" s="862"/>
      <c r="BA117" s="862"/>
      <c r="BB117" s="862"/>
      <c r="BC117" s="862"/>
      <c r="BD117" s="862"/>
      <c r="BE117" s="862"/>
      <c r="BF117" s="862"/>
      <c r="BG117" s="862"/>
      <c r="BH117" s="862"/>
      <c r="BI117" s="862"/>
      <c r="BJ117" s="862"/>
      <c r="BK117" s="862"/>
      <c r="BL117" s="862"/>
      <c r="BM117" s="862"/>
      <c r="BN117" s="862"/>
      <c r="BO117" s="862"/>
      <c r="BP117" s="862"/>
      <c r="BQ117" s="862"/>
      <c r="BR117" s="862"/>
      <c r="BS117" s="862"/>
      <c r="BT117" s="862"/>
      <c r="BU117" s="862"/>
      <c r="BV117" s="863"/>
      <c r="BW117" s="863"/>
      <c r="BX117" s="863"/>
      <c r="BY117" s="863"/>
      <c r="BZ117" s="863"/>
      <c r="CA117" s="863"/>
      <c r="CB117" s="863"/>
      <c r="CC117" s="863"/>
      <c r="CD117" s="863"/>
      <c r="CE117" s="863"/>
    </row>
    <row s="11403" customFormat="1" customHeight="1" ht="24.75" hidden="1">
      <c r="A118" s="870"/>
      <c r="B118" s="653"/>
      <c r="C118" s="648"/>
      <c r="D118" s="2391"/>
      <c r="E118" s="2388" t="s">
        <v>1478</v>
      </c>
      <c r="F118" s="2388"/>
      <c r="G118" s="2388"/>
      <c r="H118" s="2388"/>
      <c r="I118" s="2388"/>
      <c r="J118" s="2388"/>
      <c r="K118" s="2388"/>
      <c r="L118" s="2388"/>
      <c r="M118" s="2388"/>
      <c r="N118" s="2388"/>
      <c r="O118" s="2388"/>
      <c r="P118" s="2388"/>
      <c r="Q118" s="795">
        <f>SUMIF(T119:T120,"i",Q119:Q120)</f>
        <v>0</v>
      </c>
      <c r="R118" s="1273"/>
      <c r="S118" s="1278" t="s">
        <v>1479</v>
      </c>
      <c r="T118" s="954" t="s">
        <v>1480</v>
      </c>
      <c r="U118" s="2389">
        <v>1</v>
      </c>
      <c r="V118" s="2389" t="s">
        <v>1481</v>
      </c>
      <c r="W118" s="653"/>
      <c r="X118" s="653"/>
      <c r="Y118" s="653"/>
      <c r="Z118" s="653"/>
      <c r="AA118" s="748"/>
      <c r="AB118" s="653"/>
      <c r="AC118" s="2373"/>
      <c r="AD118" s="866"/>
      <c r="AE118" s="653"/>
      <c r="AF118" s="653"/>
      <c r="AG118" s="748"/>
      <c r="AH118" s="748"/>
      <c r="AI118" s="748"/>
      <c r="AJ118" s="748"/>
      <c r="AK118" s="748"/>
      <c r="AL118" s="748"/>
      <c r="AM118" s="748"/>
      <c r="AN118" s="748"/>
      <c r="AO118" s="748"/>
      <c r="AP118" s="748"/>
      <c r="AQ118" s="748"/>
      <c r="AR118" s="748"/>
      <c r="AS118" s="748"/>
      <c r="AT118" s="748"/>
      <c r="AU118" s="748"/>
      <c r="AV118" s="748"/>
      <c r="AW118" s="748"/>
      <c r="AX118" s="748"/>
      <c r="AY118" s="748"/>
      <c r="AZ118" s="748"/>
      <c r="BA118" s="748"/>
      <c r="BB118" s="748"/>
      <c r="BC118" s="748"/>
      <c r="BD118" s="748"/>
      <c r="BE118" s="748"/>
      <c r="BF118" s="748"/>
      <c r="BG118" s="748"/>
      <c r="BH118" s="748"/>
      <c r="BI118" s="748"/>
      <c r="BJ118" s="748"/>
      <c r="BK118" s="748"/>
      <c r="BL118" s="748"/>
      <c r="BM118" s="748"/>
      <c r="BN118" s="748"/>
      <c r="BO118" s="748"/>
      <c r="BP118" s="748"/>
      <c r="BQ118" s="748"/>
      <c r="BR118" s="748"/>
      <c r="BS118" s="748"/>
      <c r="BT118" s="748"/>
      <c r="BU118" s="748"/>
      <c r="BV118" s="653"/>
      <c r="BW118" s="653"/>
      <c r="BX118" s="653"/>
      <c r="BY118" s="653"/>
      <c r="BZ118" s="653"/>
      <c r="CA118" s="653"/>
      <c r="CB118" s="653"/>
      <c r="CC118" s="653"/>
      <c r="CD118" s="653"/>
      <c r="CE118" s="653"/>
    </row>
    <row s="11403" customFormat="1" customHeight="1" ht="11.25" hidden="1">
      <c r="A119" s="1277"/>
      <c r="B119" s="748"/>
      <c r="C119" s="748"/>
      <c r="D119" s="2391"/>
      <c r="E119" s="872"/>
      <c r="F119" s="872">
        <v>0</v>
      </c>
      <c r="G119" s="872"/>
      <c r="H119" s="872"/>
      <c r="I119" s="872"/>
      <c r="J119" s="872"/>
      <c r="K119" s="872"/>
      <c r="L119" s="872"/>
      <c r="M119" s="872"/>
      <c r="N119" s="872"/>
      <c r="O119" s="872"/>
      <c r="P119" s="872"/>
      <c r="Q119" s="872"/>
      <c r="R119" s="872"/>
      <c r="S119" s="873"/>
      <c r="T119" s="955"/>
      <c r="U119" s="2389"/>
      <c r="V119" s="2389"/>
      <c r="W119" s="748"/>
      <c r="X119" s="748"/>
      <c r="Y119" s="748"/>
      <c r="Z119" s="748"/>
      <c r="AA119" s="748"/>
      <c r="AB119" s="653"/>
      <c r="AC119" s="2373"/>
      <c r="AD119" s="866"/>
      <c r="AE119" s="653"/>
      <c r="AF119" s="653"/>
      <c r="AG119" s="748"/>
      <c r="AH119" s="748"/>
      <c r="AI119" s="748"/>
      <c r="AJ119" s="748"/>
      <c r="AK119" s="748"/>
      <c r="AL119" s="748"/>
      <c r="AM119" s="748"/>
      <c r="AN119" s="748"/>
      <c r="AO119" s="748"/>
      <c r="AP119" s="748"/>
      <c r="AQ119" s="748"/>
      <c r="AR119" s="748"/>
      <c r="AS119" s="748"/>
      <c r="AT119" s="748"/>
      <c r="AU119" s="748"/>
      <c r="AV119" s="748"/>
      <c r="AW119" s="748"/>
      <c r="AX119" s="748"/>
      <c r="AY119" s="748"/>
      <c r="AZ119" s="748"/>
      <c r="BA119" s="748"/>
      <c r="BB119" s="748"/>
      <c r="BC119" s="748"/>
      <c r="BD119" s="748"/>
      <c r="BE119" s="748"/>
      <c r="BF119" s="748"/>
      <c r="BG119" s="748"/>
      <c r="BH119" s="748"/>
      <c r="BI119" s="748"/>
      <c r="BJ119" s="748"/>
      <c r="BK119" s="748"/>
      <c r="BL119" s="748"/>
      <c r="BM119" s="748"/>
      <c r="BN119" s="748"/>
      <c r="BO119" s="748"/>
      <c r="BP119" s="748"/>
      <c r="BQ119" s="748"/>
      <c r="BR119" s="748"/>
      <c r="BS119" s="748"/>
      <c r="BT119" s="748"/>
      <c r="BU119" s="748"/>
      <c r="BV119" s="748"/>
      <c r="BW119" s="748"/>
      <c r="BX119" s="748"/>
      <c r="BY119" s="748"/>
      <c r="BZ119" s="748"/>
      <c r="CA119" s="748"/>
      <c r="CB119" s="748"/>
      <c r="CC119" s="748"/>
      <c r="CD119" s="748"/>
      <c r="CE119" s="748"/>
    </row>
    <row s="11403" customFormat="1" customHeight="1" ht="11.25" hidden="1">
      <c r="A120" s="870"/>
      <c r="B120" s="653"/>
      <c r="C120" s="648"/>
      <c r="D120" s="2391"/>
      <c r="E120" s="886" t="s">
        <v>17</v>
      </c>
      <c r="F120" s="887" t="s">
        <v>17</v>
      </c>
      <c r="G120" s="887" t="s">
        <v>1482</v>
      </c>
      <c r="H120" s="888" t="s">
        <v>17</v>
      </c>
      <c r="I120" s="888"/>
      <c r="J120" s="888"/>
      <c r="K120" s="888"/>
      <c r="L120" s="888"/>
      <c r="M120" s="888"/>
      <c r="N120" s="888"/>
      <c r="O120" s="888"/>
      <c r="P120" s="888"/>
      <c r="Q120" s="888"/>
      <c r="R120" s="889"/>
      <c r="S120" s="890"/>
      <c r="T120" s="955"/>
      <c r="U120" s="2389"/>
      <c r="V120" s="2389"/>
      <c r="W120" s="653"/>
      <c r="X120" s="653"/>
      <c r="Y120" s="653"/>
      <c r="Z120" s="653"/>
      <c r="AA120" s="748"/>
      <c r="AB120" s="653"/>
      <c r="AC120" s="2373"/>
      <c r="AD120" s="866"/>
      <c r="AE120" s="653"/>
      <c r="AF120" s="653"/>
      <c r="AG120" s="748"/>
      <c r="AH120" s="748"/>
      <c r="AI120" s="748"/>
      <c r="AJ120" s="748"/>
      <c r="AK120" s="748"/>
      <c r="AL120" s="748"/>
      <c r="AM120" s="748"/>
      <c r="AN120" s="748"/>
      <c r="AO120" s="748"/>
      <c r="AP120" s="748"/>
      <c r="AQ120" s="748"/>
      <c r="AR120" s="748"/>
      <c r="AS120" s="748"/>
      <c r="AT120" s="748"/>
      <c r="AU120" s="748"/>
      <c r="AV120" s="748"/>
      <c r="AW120" s="748"/>
      <c r="AX120" s="748"/>
      <c r="AY120" s="748"/>
      <c r="AZ120" s="748"/>
      <c r="BA120" s="748"/>
      <c r="BB120" s="748"/>
      <c r="BC120" s="748"/>
      <c r="BD120" s="748"/>
      <c r="BE120" s="748"/>
      <c r="BF120" s="748"/>
      <c r="BG120" s="748"/>
      <c r="BH120" s="748"/>
      <c r="BI120" s="748"/>
      <c r="BJ120" s="748"/>
      <c r="BK120" s="748"/>
      <c r="BL120" s="748"/>
      <c r="BM120" s="748"/>
      <c r="BN120" s="748"/>
      <c r="BO120" s="748"/>
      <c r="BP120" s="748"/>
      <c r="BQ120" s="748"/>
      <c r="BR120" s="748"/>
      <c r="BS120" s="748"/>
      <c r="BT120" s="748"/>
      <c r="BU120" s="748"/>
      <c r="BV120" s="653"/>
      <c r="BW120" s="653"/>
      <c r="BX120" s="653"/>
      <c r="BY120" s="653"/>
      <c r="BZ120" s="653"/>
      <c r="CA120" s="653"/>
      <c r="CB120" s="653"/>
      <c r="CC120" s="653"/>
      <c r="CD120" s="653"/>
      <c r="CE120" s="653"/>
    </row>
    <row s="11129" customFormat="1" customHeight="1" ht="5.25" hidden="1">
      <c r="A121" s="1277"/>
      <c r="B121" s="748"/>
      <c r="C121" s="748"/>
      <c r="D121" s="2391"/>
      <c r="E121" s="1297"/>
      <c r="F121" s="1297"/>
      <c r="G121" s="1297"/>
      <c r="H121" s="1297"/>
      <c r="I121" s="1297"/>
      <c r="J121" s="1297"/>
      <c r="K121" s="1297"/>
      <c r="L121" s="1297"/>
      <c r="M121" s="1297"/>
      <c r="N121" s="1297"/>
      <c r="O121" s="1297"/>
      <c r="P121" s="1297"/>
      <c r="Q121" s="1298"/>
      <c r="R121" s="1299"/>
      <c r="S121" s="1300"/>
      <c r="T121" s="954" t="s">
        <v>1480</v>
      </c>
      <c r="U121" s="2389">
        <v>1</v>
      </c>
      <c r="V121" s="2389" t="s">
        <v>1481</v>
      </c>
      <c r="W121" s="748"/>
      <c r="X121" s="748"/>
      <c r="Y121" s="748"/>
      <c r="Z121" s="748"/>
      <c r="AA121" s="748"/>
      <c r="AB121" s="748"/>
      <c r="AC121" s="1295"/>
      <c r="AD121" s="1296"/>
      <c r="AE121" s="748"/>
      <c r="AF121" s="748"/>
      <c r="AG121" s="748"/>
      <c r="AH121" s="748"/>
      <c r="AI121" s="748"/>
      <c r="AJ121" s="748"/>
      <c r="AK121" s="748"/>
      <c r="AL121" s="748"/>
      <c r="AM121" s="748"/>
      <c r="AN121" s="748"/>
      <c r="AO121" s="748"/>
      <c r="AP121" s="748"/>
      <c r="AQ121" s="748"/>
      <c r="AR121" s="748"/>
      <c r="AS121" s="748"/>
      <c r="AT121" s="748"/>
      <c r="AU121" s="748"/>
      <c r="AV121" s="748"/>
      <c r="AW121" s="748"/>
      <c r="AX121" s="748"/>
      <c r="AY121" s="748"/>
      <c r="AZ121" s="748"/>
      <c r="BA121" s="748"/>
      <c r="BB121" s="748"/>
      <c r="BC121" s="748"/>
      <c r="BD121" s="748"/>
      <c r="BE121" s="748"/>
      <c r="BF121" s="748"/>
      <c r="BG121" s="748"/>
      <c r="BH121" s="748"/>
      <c r="BI121" s="748"/>
      <c r="BJ121" s="748"/>
      <c r="BK121" s="748"/>
      <c r="BL121" s="748"/>
      <c r="BM121" s="748"/>
      <c r="BN121" s="748"/>
      <c r="BO121" s="748"/>
      <c r="BP121" s="748"/>
      <c r="BQ121" s="748"/>
      <c r="BR121" s="748"/>
      <c r="BS121" s="748"/>
      <c r="BT121" s="748"/>
      <c r="BU121" s="748"/>
      <c r="BV121" s="748"/>
      <c r="BW121" s="748"/>
      <c r="BX121" s="748"/>
      <c r="BY121" s="748"/>
      <c r="BZ121" s="748"/>
      <c r="CA121" s="748"/>
      <c r="CB121" s="748"/>
      <c r="CC121" s="748"/>
      <c r="CD121" s="748"/>
      <c r="CE121" s="748"/>
    </row>
    <row s="11129" customFormat="1" customHeight="1" ht="5.25" hidden="1">
      <c r="A122" s="1277"/>
      <c r="B122" s="748"/>
      <c r="C122" s="748"/>
      <c r="D122" s="2391"/>
      <c r="E122" s="872"/>
      <c r="F122" s="872"/>
      <c r="G122" s="872"/>
      <c r="H122" s="872"/>
      <c r="I122" s="872"/>
      <c r="J122" s="872"/>
      <c r="K122" s="872"/>
      <c r="L122" s="872"/>
      <c r="M122" s="872"/>
      <c r="N122" s="872"/>
      <c r="O122" s="872"/>
      <c r="P122" s="872"/>
      <c r="Q122" s="872"/>
      <c r="R122" s="872"/>
      <c r="S122" s="873"/>
      <c r="T122" s="955"/>
      <c r="U122" s="2389"/>
      <c r="V122" s="2389"/>
      <c r="W122" s="748"/>
      <c r="X122" s="748"/>
      <c r="Y122" s="748"/>
      <c r="Z122" s="748"/>
      <c r="AA122" s="748"/>
      <c r="AB122" s="748"/>
      <c r="AC122" s="1295"/>
      <c r="AD122" s="1296"/>
      <c r="AE122" s="748"/>
      <c r="AF122" s="748"/>
      <c r="AG122" s="748"/>
      <c r="AH122" s="748"/>
      <c r="AI122" s="748"/>
      <c r="AJ122" s="748"/>
      <c r="AK122" s="748"/>
      <c r="AL122" s="748"/>
      <c r="AM122" s="748"/>
      <c r="AN122" s="748"/>
      <c r="AO122" s="748"/>
      <c r="AP122" s="748"/>
      <c r="AQ122" s="748"/>
      <c r="AR122" s="748"/>
      <c r="AS122" s="748"/>
      <c r="AT122" s="748"/>
      <c r="AU122" s="748"/>
      <c r="AV122" s="748"/>
      <c r="AW122" s="748"/>
      <c r="AX122" s="748"/>
      <c r="AY122" s="748"/>
      <c r="AZ122" s="748"/>
      <c r="BA122" s="748"/>
      <c r="BB122" s="748"/>
      <c r="BC122" s="748"/>
      <c r="BD122" s="748"/>
      <c r="BE122" s="748"/>
      <c r="BF122" s="748"/>
      <c r="BG122" s="748"/>
      <c r="BH122" s="748"/>
      <c r="BI122" s="748"/>
      <c r="BJ122" s="748"/>
      <c r="BK122" s="748"/>
      <c r="BL122" s="748"/>
      <c r="BM122" s="748"/>
      <c r="BN122" s="748"/>
      <c r="BO122" s="748"/>
      <c r="BP122" s="748"/>
      <c r="BQ122" s="748"/>
      <c r="BR122" s="748"/>
      <c r="BS122" s="748"/>
      <c r="BT122" s="748"/>
      <c r="BU122" s="748"/>
      <c r="BV122" s="748"/>
      <c r="BW122" s="748"/>
      <c r="BX122" s="748"/>
      <c r="BY122" s="748"/>
      <c r="BZ122" s="748"/>
      <c r="CA122" s="748"/>
      <c r="CB122" s="748"/>
      <c r="CC122" s="748"/>
      <c r="CD122" s="748"/>
      <c r="CE122" s="748"/>
    </row>
    <row s="11129" customFormat="1" customHeight="1" ht="5.25" hidden="1">
      <c r="A123" s="1277"/>
      <c r="B123" s="748"/>
      <c r="C123" s="748"/>
      <c r="D123" s="2392"/>
      <c r="E123" s="1301"/>
      <c r="F123" s="1302"/>
      <c r="G123" s="1302"/>
      <c r="H123" s="1303"/>
      <c r="I123" s="1303"/>
      <c r="J123" s="1303"/>
      <c r="K123" s="1303"/>
      <c r="L123" s="1303"/>
      <c r="M123" s="1303"/>
      <c r="N123" s="1303"/>
      <c r="O123" s="1303"/>
      <c r="P123" s="1303"/>
      <c r="Q123" s="1303"/>
      <c r="R123" s="1202"/>
      <c r="S123" s="1304"/>
      <c r="T123" s="955"/>
      <c r="U123" s="2389"/>
      <c r="V123" s="2389"/>
      <c r="W123" s="748"/>
      <c r="X123" s="748"/>
      <c r="Y123" s="748"/>
      <c r="Z123" s="748"/>
      <c r="AA123" s="748"/>
      <c r="AB123" s="748"/>
      <c r="AC123" s="1295"/>
      <c r="AD123" s="1296"/>
      <c r="AE123" s="748"/>
      <c r="AF123" s="748"/>
      <c r="AG123" s="748"/>
      <c r="AH123" s="748"/>
      <c r="AI123" s="748"/>
      <c r="AJ123" s="748"/>
      <c r="AK123" s="748"/>
      <c r="AL123" s="748"/>
      <c r="AM123" s="748"/>
      <c r="AN123" s="748"/>
      <c r="AO123" s="748"/>
      <c r="AP123" s="748"/>
      <c r="AQ123" s="748"/>
      <c r="AR123" s="748"/>
      <c r="AS123" s="748"/>
      <c r="AT123" s="748"/>
      <c r="AU123" s="748"/>
      <c r="AV123" s="748"/>
      <c r="AW123" s="748"/>
      <c r="AX123" s="748"/>
      <c r="AY123" s="748"/>
      <c r="AZ123" s="748"/>
      <c r="BA123" s="748"/>
      <c r="BB123" s="748"/>
      <c r="BC123" s="748"/>
      <c r="BD123" s="748"/>
      <c r="BE123" s="748"/>
      <c r="BF123" s="748"/>
      <c r="BG123" s="748"/>
      <c r="BH123" s="748"/>
      <c r="BI123" s="748"/>
      <c r="BJ123" s="748"/>
      <c r="BK123" s="748"/>
      <c r="BL123" s="748"/>
      <c r="BM123" s="748"/>
      <c r="BN123" s="748"/>
      <c r="BO123" s="748"/>
      <c r="BP123" s="748"/>
      <c r="BQ123" s="748"/>
      <c r="BR123" s="748"/>
      <c r="BS123" s="748"/>
      <c r="BT123" s="748"/>
      <c r="BU123" s="748"/>
      <c r="BV123" s="748"/>
      <c r="BW123" s="748"/>
      <c r="BX123" s="748"/>
      <c r="BY123" s="748"/>
      <c r="BZ123" s="748"/>
      <c r="CA123" s="748"/>
      <c r="CB123" s="748"/>
      <c r="CC123" s="748"/>
      <c r="CD123" s="748"/>
      <c r="CE123" s="748"/>
    </row>
    <row s="11403" customFormat="1" customHeight="1" ht="17.25">
      <c r="D124" s="1305"/>
    </row>
    <row s="9233" customFormat="1" customHeight="1" ht="11.25">
      <c r="A125" s="284" t="s">
        <v>1486</v>
      </c>
    </row>
    <row s="11403" customFormat="1" customHeight="1" ht="17.25"/>
    <row s="11403" customFormat="1" customHeight="1" ht="45">
      <c r="A127" s="870"/>
      <c r="B127" s="653"/>
      <c r="C127" s="648"/>
      <c r="D127" s="598"/>
      <c r="E127" s="2378"/>
      <c r="F127" s="2335" t="s">
        <v>109</v>
      </c>
      <c r="G127" s="2381" t="s">
        <v>17</v>
      </c>
      <c r="H127" s="499"/>
      <c r="I127" s="874" t="s">
        <v>109</v>
      </c>
      <c r="J127" s="1149" t="s">
        <v>1487</v>
      </c>
      <c r="K127" s="875" t="s">
        <v>1488</v>
      </c>
      <c r="L127" s="2279" t="s">
        <v>1488</v>
      </c>
      <c r="M127" s="2383"/>
      <c r="N127" s="875" t="s">
        <v>1488</v>
      </c>
      <c r="O127" s="875" t="s">
        <v>1488</v>
      </c>
      <c r="P127" s="875" t="s">
        <v>1488</v>
      </c>
      <c r="Q127" s="876">
        <f>SUM(Q128:Q130)</f>
        <v>0</v>
      </c>
      <c r="R127" s="876">
        <f>IF(R124=0,0,(Q124/R124)*100)</f>
        <v>0</v>
      </c>
      <c r="S127" s="2384"/>
      <c r="T127" s="954" t="s">
        <v>1480</v>
      </c>
      <c r="U127" s="598"/>
      <c r="V127" s="598"/>
      <c r="AC127" s="598"/>
    </row>
    <row s="11403" customFormat="1" customHeight="1" ht="11.25">
      <c r="A128" s="870"/>
      <c r="B128" s="653"/>
      <c r="C128" s="648"/>
      <c r="D128" s="598"/>
      <c r="E128" s="2379"/>
      <c r="F128" s="2335"/>
      <c r="G128" s="2381"/>
      <c r="H128" s="2277"/>
      <c r="I128" s="2331" t="s">
        <v>685</v>
      </c>
      <c r="J128" s="2385"/>
      <c r="K128" s="2386"/>
      <c r="L128" s="877"/>
      <c r="M128" s="878" t="s">
        <v>109</v>
      </c>
      <c r="N128" s="1155"/>
      <c r="O128" s="879"/>
      <c r="P128" s="880"/>
      <c r="Q128" s="879"/>
      <c r="R128" s="881">
        <v>0</v>
      </c>
      <c r="S128" s="2384"/>
      <c r="T128" s="954"/>
      <c r="U128" s="598"/>
      <c r="V128" s="598"/>
      <c r="AC128" s="598"/>
    </row>
    <row s="11403" customFormat="1" customHeight="1" ht="11.25">
      <c r="A129" s="870"/>
      <c r="B129" s="653"/>
      <c r="C129" s="648"/>
      <c r="D129" s="598"/>
      <c r="E129" s="2379"/>
      <c r="F129" s="2335"/>
      <c r="G129" s="2381"/>
      <c r="H129" s="2277"/>
      <c r="I129" s="2331"/>
      <c r="J129" s="2385"/>
      <c r="K129" s="2387"/>
      <c r="L129" s="882"/>
      <c r="M129" s="883"/>
      <c r="N129" s="884" t="s">
        <v>1489</v>
      </c>
      <c r="O129" s="884"/>
      <c r="P129" s="884"/>
      <c r="Q129" s="884"/>
      <c r="R129" s="885"/>
      <c r="S129" s="2384"/>
      <c r="T129" s="954"/>
      <c r="U129" s="598"/>
      <c r="V129" s="598"/>
      <c r="AC129" s="598"/>
    </row>
    <row s="11403" customFormat="1" customHeight="1" ht="11.25">
      <c r="A130" s="870"/>
      <c r="B130" s="653"/>
      <c r="C130" s="648"/>
      <c r="D130" s="598"/>
      <c r="E130" s="2380"/>
      <c r="F130" s="2335"/>
      <c r="G130" s="2382"/>
      <c r="H130" s="882" t="s">
        <v>17</v>
      </c>
      <c r="I130" s="883"/>
      <c r="J130" s="884" t="s">
        <v>1490</v>
      </c>
      <c r="K130" s="884"/>
      <c r="L130" s="884"/>
      <c r="M130" s="884"/>
      <c r="N130" s="884"/>
      <c r="O130" s="884"/>
      <c r="P130" s="884"/>
      <c r="Q130" s="884"/>
      <c r="R130" s="885"/>
      <c r="S130" s="2384"/>
      <c r="T130" s="954"/>
      <c r="U130" s="598"/>
      <c r="V130" s="598"/>
      <c r="AC130" s="598"/>
    </row>
    <row s="11403" customFormat="1" customHeight="1" ht="17.25"/>
    <row s="11403" customFormat="1" customHeight="1" ht="17.25"/>
    <row s="11403" customFormat="1" customHeight="1" ht="17.25"/>
    <row r="135" s="11403" customFormat="1" customHeight="1" ht="11.25">
      <c r="A135" s="2105"/>
      <c r="B135" s="1421"/>
      <c r="C135" s="648"/>
      <c r="D135" s="598"/>
      <c r="E135" s="2086"/>
      <c r="F135" s="2086"/>
      <c r="G135" s="2086"/>
      <c r="H135" s="2277"/>
      <c r="I135" s="2331" t="s">
        <v>685</v>
      </c>
      <c r="J135" s="2385"/>
      <c r="K135" s="2386"/>
      <c r="L135" s="877"/>
      <c r="M135" s="878" t="s">
        <v>109</v>
      </c>
      <c r="N135" s="2104"/>
      <c r="O135" s="879"/>
      <c r="P135" s="880"/>
      <c r="Q135" s="879"/>
      <c r="R135" s="881">
        <v>0</v>
      </c>
      <c r="S135" s="598"/>
      <c r="T135" s="954"/>
      <c r="U135" s="598"/>
      <c r="V135" s="598"/>
      <c r="AC135" s="598"/>
    </row>
    <row s="11403" customFormat="1" customHeight="1" ht="11.25">
      <c r="A136" s="2105"/>
      <c r="B136" s="1421"/>
      <c r="C136" s="648"/>
      <c r="D136" s="598"/>
      <c r="E136" s="2086"/>
      <c r="F136" s="2086"/>
      <c r="G136" s="2086"/>
      <c r="H136" s="2277"/>
      <c r="I136" s="2331"/>
      <c r="J136" s="2385"/>
      <c r="K136" s="2387"/>
      <c r="L136" s="882"/>
      <c r="M136" s="883"/>
      <c r="N136" s="884" t="s">
        <v>1489</v>
      </c>
      <c r="O136" s="884"/>
      <c r="P136" s="884"/>
      <c r="Q136" s="884"/>
      <c r="R136" s="885"/>
      <c r="S136" s="598"/>
      <c r="T136" s="954"/>
      <c r="U136" s="598"/>
      <c r="V136" s="598"/>
      <c r="AC136" s="598"/>
    </row>
    <row s="11403" customFormat="1" customHeight="1" ht="17.25"/>
    <row s="11403" customFormat="1" customHeight="1" ht="11.25">
      <c r="A138" s="2105"/>
      <c r="B138" s="1421"/>
      <c r="C138" s="648"/>
      <c r="D138" s="598"/>
      <c r="E138" s="2110"/>
      <c r="F138" s="1809"/>
      <c r="G138" s="1809"/>
      <c r="H138" s="580"/>
      <c r="I138" s="2086"/>
      <c r="J138" s="2094"/>
      <c r="K138" s="2094"/>
      <c r="L138" s="877"/>
      <c r="M138" s="878" t="s">
        <v>109</v>
      </c>
      <c r="N138" s="2104"/>
      <c r="O138" s="879"/>
      <c r="P138" s="880"/>
      <c r="Q138" s="879"/>
      <c r="R138" s="881">
        <v>0</v>
      </c>
      <c r="S138" s="598"/>
      <c r="T138" s="954"/>
      <c r="U138" s="598"/>
      <c r="V138" s="598"/>
      <c r="AC138" s="598"/>
    </row>
    <row s="11403" customFormat="1" customHeight="1" ht="17.25"/>
    <row s="9233" customFormat="1" customHeight="1" ht="17.25">
      <c r="A140" s="284" t="s">
        <v>1491</v>
      </c>
    </row>
    <row s="11403" customFormat="1" customHeight="1" ht="17.25">
      <c r="G141" s="305"/>
      <c r="H141" s="305"/>
      <c r="I141" s="305"/>
      <c r="M141" s="1147"/>
      <c r="X141" s="255"/>
      <c r="Y141" s="255"/>
      <c r="Z141" s="255"/>
      <c r="AA141" s="255"/>
      <c r="AB141" s="255"/>
      <c r="AC141" s="255"/>
      <c r="AD141" s="255"/>
      <c r="AE141" s="255"/>
      <c r="AF141" s="255"/>
      <c r="AG141" s="255"/>
      <c r="AH141" s="255"/>
      <c r="AI141" s="255"/>
      <c r="AJ141" s="255"/>
      <c r="AK141" s="255"/>
      <c r="AL141" s="255"/>
      <c r="AM141" s="255"/>
      <c r="AN141" s="255"/>
      <c r="AO141" s="255"/>
      <c r="AP141" s="255"/>
      <c r="AQ141" s="255"/>
      <c r="AR141" s="255"/>
      <c r="AS141" s="255"/>
      <c r="AT141" s="255"/>
      <c r="AU141" s="255"/>
      <c r="AV141" s="255"/>
      <c r="AW141" s="255"/>
      <c r="AX141" s="255"/>
      <c r="AY141" s="255"/>
      <c r="AZ141" s="255"/>
      <c r="BA141" s="255"/>
      <c r="BB141" s="255"/>
      <c r="BC141" s="255"/>
      <c r="BD141" s="255"/>
      <c r="BE141" s="255"/>
      <c r="BF141" s="255"/>
      <c r="BG141" s="255"/>
      <c r="BH141" s="255"/>
      <c r="BI141" s="255"/>
      <c r="BJ141" s="255"/>
      <c r="BK141" s="255"/>
      <c r="BL141" s="255"/>
      <c r="BM141" s="255"/>
      <c r="BN141" s="255"/>
      <c r="BO141" s="255"/>
      <c r="BP141" s="255"/>
      <c r="BQ141" s="255"/>
      <c r="BR141" s="255"/>
      <c r="BS141" s="255"/>
      <c r="BT141" s="255"/>
      <c r="BU141" s="255"/>
      <c r="BV141" s="255"/>
      <c r="BW141" s="255"/>
      <c r="BX141" s="255"/>
      <c r="BY141" s="255"/>
      <c r="BZ141" s="255"/>
      <c r="CA141" s="255"/>
      <c r="CB141" s="255"/>
      <c r="CC141" s="255"/>
      <c r="CD141" s="255"/>
      <c r="CE141" s="255"/>
      <c r="CF141" s="255"/>
      <c r="CG141" s="255"/>
      <c r="CH141" s="255"/>
      <c r="CI141" s="255"/>
      <c r="CJ141" s="255"/>
      <c r="CK141" s="255"/>
      <c r="CL141" s="255"/>
      <c r="CM141" s="255"/>
      <c r="CN141" s="255"/>
      <c r="CO141" s="255"/>
      <c r="CP141" s="255"/>
      <c r="CQ141" s="255"/>
      <c r="CR141" s="255"/>
      <c r="CS141" s="255"/>
      <c r="CT141" s="255"/>
      <c r="CU141" s="255"/>
      <c r="CV141" s="255"/>
      <c r="CW141" s="255"/>
      <c r="CX141" s="255"/>
      <c r="CY141" s="255"/>
      <c r="CZ141" s="255"/>
      <c r="DA141" s="255"/>
      <c r="DB141" s="255"/>
      <c r="DC141" s="255"/>
      <c r="DD141" s="255"/>
      <c r="DE141" s="255"/>
      <c r="DF141" s="255"/>
      <c r="DG141" s="255"/>
      <c r="DH141" s="255"/>
      <c r="DI141" s="255"/>
      <c r="DJ141" s="255"/>
      <c r="DK141" s="255"/>
      <c r="DL141" s="255"/>
      <c r="DM141" s="255"/>
      <c r="DN141" s="255"/>
      <c r="DO141" s="255"/>
      <c r="DP141" s="255"/>
      <c r="DQ141" s="255"/>
      <c r="DR141" s="255"/>
      <c r="DS141" s="255"/>
      <c r="DT141" s="255"/>
      <c r="DU141" s="255"/>
      <c r="DV141" s="255"/>
      <c r="DW141" s="255"/>
      <c r="DX141" s="255"/>
      <c r="DY141" s="255"/>
      <c r="DZ141" s="255"/>
      <c r="EA141" s="255"/>
      <c r="EB141" s="255"/>
      <c r="EC141" s="255"/>
      <c r="ED141" s="255"/>
      <c r="EE141" s="255"/>
      <c r="EF141" s="255"/>
      <c r="EG141" s="255"/>
      <c r="EH141" s="255"/>
      <c r="EI141" s="255"/>
      <c r="EJ141" s="255"/>
      <c r="EK141" s="255"/>
      <c r="EL141" s="255"/>
      <c r="EM141" s="255"/>
      <c r="EN141" s="255"/>
      <c r="EO141" s="255"/>
      <c r="EP141" s="255"/>
      <c r="EQ141" s="255"/>
      <c r="ER141" s="255"/>
      <c r="ES141" s="255"/>
      <c r="ET141" s="255"/>
      <c r="EU141" s="255"/>
      <c r="EV141" s="255"/>
      <c r="EW141" s="255"/>
      <c r="EX141" s="255"/>
      <c r="EY141" s="255"/>
      <c r="EZ141" s="255"/>
      <c r="FA141" s="255"/>
      <c r="FB141" s="255"/>
      <c r="FC141" s="255"/>
      <c r="FD141" s="255"/>
      <c r="FE141" s="255"/>
      <c r="FF141" s="255"/>
      <c r="FG141" s="255"/>
      <c r="FH141" s="255"/>
      <c r="FI141" s="255"/>
      <c r="FJ141" s="255"/>
      <c r="FK141" s="255"/>
      <c r="FL141" s="255"/>
      <c r="FM141" s="255"/>
      <c r="FN141" s="255"/>
      <c r="FO141" s="255"/>
      <c r="FP141" s="255"/>
      <c r="FQ141" s="255"/>
      <c r="FR141" s="255"/>
      <c r="FS141" s="255"/>
      <c r="FT141" s="255"/>
      <c r="FU141" s="255"/>
      <c r="FV141" s="255"/>
      <c r="FW141" s="255"/>
      <c r="FX141" s="255"/>
      <c r="FY141" s="255"/>
      <c r="FZ141" s="255"/>
      <c r="GA141" s="255"/>
      <c r="GB141" s="255"/>
      <c r="GC141" s="255"/>
      <c r="GD141" s="255"/>
      <c r="GE141" s="255"/>
      <c r="GF141" s="255"/>
      <c r="GG141" s="255"/>
      <c r="GH141" s="255"/>
      <c r="GI141" s="255"/>
      <c r="GJ141" s="255"/>
      <c r="GK141" s="255"/>
      <c r="GL141" s="255"/>
      <c r="GM141" s="255"/>
      <c r="GN141" s="255"/>
      <c r="GO141" s="255"/>
      <c r="GP141" s="255"/>
      <c r="GQ141" s="255"/>
      <c r="GR141" s="255"/>
      <c r="GS141" s="255"/>
      <c r="GT141" s="255"/>
      <c r="GU141" s="255"/>
      <c r="GV141" s="255"/>
      <c r="GW141" s="255"/>
      <c r="GX141" s="255"/>
      <c r="GY141" s="255"/>
      <c r="GZ141" s="255"/>
      <c r="HA141" s="255"/>
      <c r="HB141" s="255"/>
      <c r="HC141" s="255"/>
      <c r="HD141" s="255"/>
      <c r="HE141" s="255"/>
      <c r="HF141" s="255"/>
      <c r="HG141" s="255"/>
      <c r="HH141" s="255"/>
      <c r="HI141" s="255"/>
      <c r="HJ141" s="255"/>
      <c r="HK141" s="255"/>
      <c r="HL141" s="255"/>
    </row>
    <row s="10859" customFormat="1" customHeight="1" ht="17.25">
      <c r="A142" s="539"/>
      <c r="C142" s="417"/>
      <c r="D142" s="2319"/>
      <c r="E142" s="2180"/>
      <c r="F142" s="2182"/>
      <c r="G142" s="2185"/>
      <c r="H142" s="2319"/>
      <c r="I142" s="2319">
        <v>1</v>
      </c>
      <c r="J142" s="2320"/>
      <c r="K142" s="2232" t="s">
        <v>67</v>
      </c>
      <c r="L142" s="2143"/>
      <c r="M142" s="2143" t="s">
        <v>109</v>
      </c>
      <c r="N142" s="2317" t="str">
        <f>IF(Z142="","",INDEX(TERRITORY_MR_LIST,MATCH(Z142,TERRITORY_LIST_ID,0)))</f>
        <v/>
      </c>
      <c r="O142" s="2232" t="s">
        <v>67</v>
      </c>
      <c r="P142" s="2143"/>
      <c r="Q142" s="2143" t="s">
        <v>109</v>
      </c>
      <c r="R142" s="2313" t="s">
        <v>17</v>
      </c>
      <c r="S142" s="2142" t="s">
        <v>67</v>
      </c>
      <c r="T142" s="1585"/>
      <c r="U142" s="1585" t="s">
        <v>109</v>
      </c>
      <c r="V142" s="1598" t="s">
        <v>17</v>
      </c>
      <c r="W142" s="416"/>
      <c r="Y142" s="1556"/>
      <c r="Z142" s="1556"/>
      <c r="AA142" s="1556"/>
      <c r="AB142" s="1556"/>
      <c r="AC142" s="1556"/>
      <c r="AD142" s="1556"/>
      <c r="AE142" s="1556"/>
      <c r="AF142" s="1556"/>
      <c r="AG142" s="1556"/>
      <c r="AH142" s="1556"/>
      <c r="AI142" s="1556"/>
      <c r="AJ142" s="1556"/>
      <c r="AK142" s="1556"/>
      <c r="AL142" s="454"/>
      <c r="AM142" s="454"/>
      <c r="AN142" s="1556"/>
      <c r="AO142" s="1556"/>
      <c r="AP142" s="1556"/>
      <c r="AQ142" s="1556"/>
    </row>
    <row s="10859" customFormat="1" customHeight="1" ht="17.25">
      <c r="A143" s="539"/>
      <c r="C143" s="538"/>
      <c r="D143" s="2319"/>
      <c r="E143" s="2180"/>
      <c r="F143" s="2183"/>
      <c r="G143" s="2185"/>
      <c r="H143" s="2319"/>
      <c r="I143" s="2319"/>
      <c r="J143" s="2320"/>
      <c r="K143" s="2233"/>
      <c r="L143" s="2143"/>
      <c r="M143" s="2143"/>
      <c r="N143" s="2317"/>
      <c r="O143" s="2233"/>
      <c r="P143" s="2143"/>
      <c r="Q143" s="2143"/>
      <c r="R143" s="2313"/>
      <c r="S143" s="2142"/>
      <c r="T143" s="535"/>
      <c r="U143" s="536"/>
      <c r="V143" s="536" t="s">
        <v>1492</v>
      </c>
      <c r="W143" s="537"/>
      <c r="Y143" s="1548"/>
      <c r="Z143" s="1548"/>
      <c r="AA143" s="1548"/>
      <c r="AB143" s="1548"/>
      <c r="AC143" s="1548"/>
      <c r="AD143" s="1548"/>
      <c r="AE143" s="1548"/>
      <c r="AF143" s="1548"/>
      <c r="AG143" s="1548"/>
      <c r="AH143" s="1548"/>
      <c r="AI143" s="1548"/>
      <c r="AJ143" s="1548"/>
      <c r="AK143" s="1548"/>
    </row>
    <row s="10859" customFormat="1" customHeight="1" ht="17.25">
      <c r="A144" s="539"/>
      <c r="C144" s="538"/>
      <c r="D144" s="2316"/>
      <c r="E144" s="2181"/>
      <c r="F144" s="2183"/>
      <c r="G144" s="2186"/>
      <c r="H144" s="2316"/>
      <c r="I144" s="2316"/>
      <c r="J144" s="2321"/>
      <c r="K144" s="2233"/>
      <c r="L144" s="2316"/>
      <c r="M144" s="2316"/>
      <c r="N144" s="2318"/>
      <c r="O144" s="2147"/>
      <c r="P144" s="535"/>
      <c r="Q144" s="536"/>
      <c r="R144" s="536" t="s">
        <v>1493</v>
      </c>
      <c r="S144" s="532"/>
      <c r="T144" s="532"/>
      <c r="U144" s="532"/>
      <c r="V144" s="532"/>
      <c r="W144" s="537"/>
      <c r="Y144" s="1548"/>
      <c r="Z144" s="1548"/>
      <c r="AA144" s="1548"/>
      <c r="AB144" s="1548"/>
      <c r="AC144" s="1548"/>
      <c r="AD144" s="1548"/>
      <c r="AE144" s="1548"/>
      <c r="AF144" s="1548"/>
      <c r="AG144" s="1548"/>
      <c r="AH144" s="1548"/>
      <c r="AI144" s="1548"/>
      <c r="AJ144" s="1548"/>
      <c r="AK144" s="1548"/>
    </row>
    <row s="10859" customFormat="1" customHeight="1" ht="17.25">
      <c r="A145" s="539"/>
      <c r="C145" s="538"/>
      <c r="D145" s="2316"/>
      <c r="E145" s="2181"/>
      <c r="F145" s="2183"/>
      <c r="G145" s="2186"/>
      <c r="H145" s="2316"/>
      <c r="I145" s="2316"/>
      <c r="J145" s="2321"/>
      <c r="K145" s="2147"/>
      <c r="L145" s="535"/>
      <c r="M145" s="536"/>
      <c r="N145" s="536" t="s">
        <v>1494</v>
      </c>
      <c r="O145" s="536"/>
      <c r="P145" s="536"/>
      <c r="Q145" s="536"/>
      <c r="R145" s="536"/>
      <c r="S145" s="532"/>
      <c r="T145" s="532"/>
      <c r="U145" s="532"/>
      <c r="V145" s="532"/>
      <c r="W145" s="537"/>
      <c r="Y145" s="1548"/>
      <c r="Z145" s="1548"/>
      <c r="AA145" s="1548"/>
      <c r="AB145" s="1548"/>
      <c r="AC145" s="1548"/>
      <c r="AD145" s="1548"/>
      <c r="AE145" s="1548"/>
      <c r="AF145" s="1548"/>
      <c r="AG145" s="1548"/>
      <c r="AH145" s="1548"/>
      <c r="AI145" s="1548"/>
      <c r="AJ145" s="1548"/>
      <c r="AK145" s="1548"/>
    </row>
    <row s="10859" customFormat="1" customHeight="1" ht="17.25">
      <c r="A146" s="539"/>
      <c r="C146" s="538"/>
      <c r="D146" s="2316"/>
      <c r="E146" s="2181"/>
      <c r="F146" s="2184"/>
      <c r="G146" s="2186"/>
      <c r="H146" s="535"/>
      <c r="I146" s="536"/>
      <c r="J146" s="536" t="s">
        <v>1495</v>
      </c>
      <c r="K146" s="536"/>
      <c r="L146" s="536"/>
      <c r="M146" s="536"/>
      <c r="N146" s="536"/>
      <c r="O146" s="536"/>
      <c r="P146" s="536"/>
      <c r="Q146" s="536"/>
      <c r="R146" s="536"/>
      <c r="S146" s="532"/>
      <c r="T146" s="532"/>
      <c r="U146" s="532"/>
      <c r="V146" s="532"/>
      <c r="W146" s="537"/>
      <c r="Y146" s="1548"/>
      <c r="Z146" s="1548"/>
      <c r="AA146" s="1548"/>
      <c r="AB146" s="1548"/>
      <c r="AC146" s="1548"/>
      <c r="AD146" s="1548"/>
      <c r="AE146" s="1548"/>
      <c r="AF146" s="1548"/>
      <c r="AG146" s="1548"/>
      <c r="AH146" s="1548"/>
      <c r="AI146" s="1548"/>
      <c r="AJ146" s="1548"/>
      <c r="AK146" s="1548"/>
    </row>
    <row s="11403" customFormat="1" customHeight="1" ht="17.25">
      <c r="G147" s="305"/>
      <c r="H147" s="305"/>
      <c r="I147" s="305"/>
      <c r="M147" s="1809"/>
    </row>
    <row s="10859" customFormat="1" customHeight="1" ht="17.25">
      <c r="A148" s="539"/>
      <c r="C148" s="417"/>
      <c r="D148" s="2086"/>
      <c r="E148" s="2087"/>
      <c r="F148" s="2070"/>
      <c r="G148" s="2088"/>
      <c r="H148" s="2319"/>
      <c r="I148" s="2319">
        <v>1</v>
      </c>
      <c r="J148" s="2320"/>
      <c r="K148" s="2232" t="s">
        <v>67</v>
      </c>
      <c r="L148" s="2143"/>
      <c r="M148" s="2143" t="s">
        <v>109</v>
      </c>
      <c r="N148" s="2317" t="str">
        <f>IF(Z148="","",INDEX(TERRITORY_MR_LIST,MATCH(Z148,TERRITORY_LIST_ID,0)))</f>
        <v/>
      </c>
      <c r="O148" s="2232" t="s">
        <v>67</v>
      </c>
      <c r="P148" s="2143"/>
      <c r="Q148" s="2143" t="s">
        <v>109</v>
      </c>
      <c r="R148" s="2313" t="s">
        <v>17</v>
      </c>
      <c r="S148" s="2142" t="s">
        <v>67</v>
      </c>
      <c r="T148" s="2076"/>
      <c r="U148" s="2076" t="s">
        <v>109</v>
      </c>
      <c r="V148" s="2075" t="s">
        <v>17</v>
      </c>
      <c r="W148" s="2073"/>
      <c r="Y148" s="1556"/>
      <c r="Z148" s="1556"/>
      <c r="AA148" s="1556"/>
      <c r="AB148" s="1556"/>
      <c r="AC148" s="1556"/>
      <c r="AD148" s="1556"/>
      <c r="AE148" s="1556"/>
      <c r="AF148" s="1556"/>
      <c r="AG148" s="1556"/>
      <c r="AH148" s="1556"/>
      <c r="AI148" s="1556"/>
      <c r="AJ148" s="1556"/>
      <c r="AK148" s="1556"/>
      <c r="AL148" s="454"/>
      <c r="AM148" s="454"/>
      <c r="AN148" s="1556"/>
      <c r="AO148" s="1556"/>
      <c r="AP148" s="1556"/>
      <c r="AQ148" s="1556"/>
    </row>
    <row s="10859" customFormat="1" customHeight="1" ht="17.25">
      <c r="A149" s="539"/>
      <c r="C149" s="538"/>
      <c r="D149" s="2086"/>
      <c r="E149" s="2087"/>
      <c r="F149" s="2070"/>
      <c r="G149" s="2088"/>
      <c r="H149" s="2319"/>
      <c r="I149" s="2319"/>
      <c r="J149" s="2320"/>
      <c r="K149" s="2233"/>
      <c r="L149" s="2143"/>
      <c r="M149" s="2143"/>
      <c r="N149" s="2317"/>
      <c r="O149" s="2233"/>
      <c r="P149" s="2143"/>
      <c r="Q149" s="2143"/>
      <c r="R149" s="2313"/>
      <c r="S149" s="2142"/>
      <c r="T149" s="535"/>
      <c r="U149" s="536"/>
      <c r="V149" s="536" t="s">
        <v>1492</v>
      </c>
      <c r="W149" s="537"/>
      <c r="Y149" s="1548"/>
      <c r="Z149" s="1548"/>
      <c r="AA149" s="1548"/>
      <c r="AB149" s="1548"/>
      <c r="AC149" s="1548"/>
      <c r="AD149" s="1548"/>
      <c r="AE149" s="1548"/>
      <c r="AF149" s="1548"/>
      <c r="AG149" s="1548"/>
      <c r="AH149" s="1548"/>
      <c r="AI149" s="1548"/>
      <c r="AJ149" s="1548"/>
      <c r="AK149" s="1548"/>
    </row>
    <row s="10859" customFormat="1" customHeight="1" ht="17.25">
      <c r="A150" s="539"/>
      <c r="C150" s="538"/>
      <c r="D150" s="2086"/>
      <c r="E150" s="2087"/>
      <c r="F150" s="2070"/>
      <c r="G150" s="2088"/>
      <c r="H150" s="2316"/>
      <c r="I150" s="2316"/>
      <c r="J150" s="2321"/>
      <c r="K150" s="2233"/>
      <c r="L150" s="2316"/>
      <c r="M150" s="2316"/>
      <c r="N150" s="2318"/>
      <c r="O150" s="2147"/>
      <c r="P150" s="535"/>
      <c r="Q150" s="536"/>
      <c r="R150" s="536" t="s">
        <v>1493</v>
      </c>
      <c r="S150" s="532"/>
      <c r="T150" s="532"/>
      <c r="U150" s="532"/>
      <c r="V150" s="532"/>
      <c r="W150" s="537"/>
      <c r="Y150" s="1548"/>
      <c r="Z150" s="1548"/>
      <c r="AA150" s="1548"/>
      <c r="AB150" s="1548"/>
      <c r="AC150" s="1548"/>
      <c r="AD150" s="1548"/>
      <c r="AE150" s="1548"/>
      <c r="AF150" s="1548"/>
      <c r="AG150" s="1548"/>
      <c r="AH150" s="1548"/>
      <c r="AI150" s="1548"/>
      <c r="AJ150" s="1548"/>
      <c r="AK150" s="1548"/>
    </row>
    <row s="10859" customFormat="1" customHeight="1" ht="17.25">
      <c r="A151" s="539"/>
      <c r="C151" s="538"/>
      <c r="D151" s="2086"/>
      <c r="E151" s="2087"/>
      <c r="F151" s="2070"/>
      <c r="G151" s="2088"/>
      <c r="H151" s="2316"/>
      <c r="I151" s="2316"/>
      <c r="J151" s="2321"/>
      <c r="K151" s="2147"/>
      <c r="L151" s="535"/>
      <c r="M151" s="536"/>
      <c r="N151" s="536" t="s">
        <v>1494</v>
      </c>
      <c r="O151" s="536"/>
      <c r="P151" s="536"/>
      <c r="Q151" s="536"/>
      <c r="R151" s="536"/>
      <c r="S151" s="532"/>
      <c r="T151" s="532"/>
      <c r="U151" s="532"/>
      <c r="V151" s="532"/>
      <c r="W151" s="537"/>
      <c r="Y151" s="1548"/>
      <c r="Z151" s="1548"/>
      <c r="AA151" s="1548"/>
      <c r="AB151" s="1548"/>
      <c r="AC151" s="1548"/>
      <c r="AD151" s="1548"/>
      <c r="AE151" s="1548"/>
      <c r="AF151" s="1548"/>
      <c r="AG151" s="1548"/>
      <c r="AH151" s="1548"/>
      <c r="AI151" s="1548"/>
      <c r="AJ151" s="1548"/>
      <c r="AK151" s="1548"/>
    </row>
    <row s="11403" customFormat="1" customHeight="1" ht="17.25">
      <c r="G152" s="305"/>
      <c r="H152" s="305"/>
      <c r="I152" s="305"/>
      <c r="M152" s="1809"/>
    </row>
    <row s="10859" customFormat="1" customHeight="1" ht="17.25">
      <c r="A153" s="539"/>
      <c r="C153" s="417"/>
      <c r="D153" s="2086"/>
      <c r="E153" s="2087"/>
      <c r="F153" s="2070"/>
      <c r="G153" s="2088"/>
      <c r="H153" s="2086"/>
      <c r="I153" s="2086"/>
      <c r="J153" s="2100"/>
      <c r="K153" s="2097"/>
      <c r="L153" s="2143"/>
      <c r="M153" s="2143" t="s">
        <v>109</v>
      </c>
      <c r="N153" s="2317" t="str">
        <f>IF(Z153="","",INDEX(TERRITORY_MR_LIST,MATCH(Z153,TERRITORY_LIST_ID,0)))</f>
        <v/>
      </c>
      <c r="O153" s="2232" t="s">
        <v>67</v>
      </c>
      <c r="P153" s="2143"/>
      <c r="Q153" s="2143" t="s">
        <v>109</v>
      </c>
      <c r="R153" s="2313" t="s">
        <v>17</v>
      </c>
      <c r="S153" s="2142" t="s">
        <v>67</v>
      </c>
      <c r="T153" s="2076"/>
      <c r="U153" s="2076" t="s">
        <v>109</v>
      </c>
      <c r="V153" s="2075" t="s">
        <v>17</v>
      </c>
      <c r="W153" s="2073"/>
      <c r="Y153" s="1556"/>
      <c r="Z153" s="1556"/>
      <c r="AA153" s="1556"/>
      <c r="AB153" s="1556"/>
      <c r="AC153" s="1556"/>
      <c r="AD153" s="1556"/>
      <c r="AE153" s="1556"/>
      <c r="AF153" s="1556"/>
      <c r="AG153" s="1556"/>
      <c r="AH153" s="1556"/>
      <c r="AI153" s="1556"/>
      <c r="AJ153" s="1556"/>
      <c r="AK153" s="1556"/>
      <c r="AL153" s="454"/>
      <c r="AM153" s="454"/>
      <c r="AN153" s="1556"/>
      <c r="AO153" s="1556"/>
      <c r="AP153" s="1556"/>
      <c r="AQ153" s="1556"/>
    </row>
    <row s="10859" customFormat="1" customHeight="1" ht="17.25">
      <c r="A154" s="539"/>
      <c r="C154" s="538"/>
      <c r="D154" s="2086"/>
      <c r="E154" s="2087"/>
      <c r="F154" s="2070"/>
      <c r="G154" s="2088"/>
      <c r="H154" s="2086"/>
      <c r="I154" s="2086"/>
      <c r="J154" s="2100"/>
      <c r="K154" s="2097"/>
      <c r="L154" s="2143"/>
      <c r="M154" s="2143"/>
      <c r="N154" s="2317"/>
      <c r="O154" s="2233"/>
      <c r="P154" s="2143"/>
      <c r="Q154" s="2143"/>
      <c r="R154" s="2313"/>
      <c r="S154" s="2142"/>
      <c r="T154" s="535"/>
      <c r="U154" s="536"/>
      <c r="V154" s="536" t="s">
        <v>1492</v>
      </c>
      <c r="W154" s="537"/>
      <c r="Y154" s="1548"/>
      <c r="Z154" s="1548"/>
      <c r="AA154" s="1548"/>
      <c r="AB154" s="1548"/>
      <c r="AC154" s="1548"/>
      <c r="AD154" s="1548"/>
      <c r="AE154" s="1548"/>
      <c r="AF154" s="1548"/>
      <c r="AG154" s="1548"/>
      <c r="AH154" s="1548"/>
      <c r="AI154" s="1548"/>
      <c r="AJ154" s="1548"/>
      <c r="AK154" s="1548"/>
    </row>
    <row s="10859" customFormat="1" customHeight="1" ht="17.25">
      <c r="A155" s="539"/>
      <c r="C155" s="538"/>
      <c r="D155" s="2086"/>
      <c r="E155" s="2087"/>
      <c r="F155" s="2070"/>
      <c r="G155" s="2088"/>
      <c r="H155" s="2086"/>
      <c r="I155" s="2086"/>
      <c r="J155" s="2100"/>
      <c r="K155" s="2097"/>
      <c r="L155" s="2316"/>
      <c r="M155" s="2316"/>
      <c r="N155" s="2318"/>
      <c r="O155" s="2147"/>
      <c r="P155" s="535"/>
      <c r="Q155" s="536"/>
      <c r="R155" s="536" t="s">
        <v>1493</v>
      </c>
      <c r="S155" s="532"/>
      <c r="T155" s="532"/>
      <c r="U155" s="532"/>
      <c r="V155" s="532"/>
      <c r="W155" s="537"/>
      <c r="Y155" s="1548"/>
      <c r="Z155" s="1548"/>
      <c r="AA155" s="1548"/>
      <c r="AB155" s="1548"/>
      <c r="AC155" s="1548"/>
      <c r="AD155" s="1548"/>
      <c r="AE155" s="1548"/>
      <c r="AF155" s="1548"/>
      <c r="AG155" s="1548"/>
      <c r="AH155" s="1548"/>
      <c r="AI155" s="1548"/>
      <c r="AJ155" s="1548"/>
      <c r="AK155" s="1548"/>
    </row>
    <row s="11403" customFormat="1" customHeight="1" ht="17.25">
      <c r="G156" s="305"/>
      <c r="H156" s="305"/>
      <c r="I156" s="305"/>
      <c r="M156" s="1809"/>
    </row>
    <row s="10859" customFormat="1" customHeight="1" ht="17.25">
      <c r="A157" s="539"/>
      <c r="C157" s="417"/>
      <c r="D157" s="2086"/>
      <c r="E157" s="2087"/>
      <c r="F157" s="2070"/>
      <c r="G157" s="2088"/>
      <c r="H157" s="2086"/>
      <c r="I157" s="2086"/>
      <c r="J157" s="2100"/>
      <c r="K157" s="2097"/>
      <c r="L157" s="2089"/>
      <c r="M157" s="2089"/>
      <c r="N157" s="2099"/>
      <c r="O157" s="2092"/>
      <c r="P157" s="2143"/>
      <c r="Q157" s="2143" t="s">
        <v>109</v>
      </c>
      <c r="R157" s="2313" t="s">
        <v>17</v>
      </c>
      <c r="S157" s="2142" t="s">
        <v>67</v>
      </c>
      <c r="T157" s="2076"/>
      <c r="U157" s="2076" t="s">
        <v>109</v>
      </c>
      <c r="V157" s="2075" t="s">
        <v>17</v>
      </c>
      <c r="W157" s="2073"/>
      <c r="Y157" s="1556"/>
      <c r="Z157" s="1556"/>
      <c r="AA157" s="1556"/>
      <c r="AB157" s="1556"/>
      <c r="AC157" s="1556"/>
      <c r="AD157" s="1556"/>
      <c r="AE157" s="1556"/>
      <c r="AF157" s="1556"/>
      <c r="AG157" s="1556"/>
      <c r="AH157" s="1556"/>
      <c r="AI157" s="1556"/>
      <c r="AJ157" s="1556"/>
      <c r="AK157" s="1556"/>
      <c r="AL157" s="454"/>
      <c r="AM157" s="454"/>
      <c r="AN157" s="1556"/>
      <c r="AO157" s="1556"/>
      <c r="AP157" s="1556"/>
      <c r="AQ157" s="1556"/>
    </row>
    <row s="10859" customFormat="1" customHeight="1" ht="17.25">
      <c r="A158" s="539"/>
      <c r="C158" s="538"/>
      <c r="D158" s="2086"/>
      <c r="E158" s="2087"/>
      <c r="F158" s="2070"/>
      <c r="G158" s="2088"/>
      <c r="H158" s="2086"/>
      <c r="I158" s="2086"/>
      <c r="J158" s="2100"/>
      <c r="K158" s="2097"/>
      <c r="L158" s="2089"/>
      <c r="M158" s="2089"/>
      <c r="N158" s="2099"/>
      <c r="O158" s="2092"/>
      <c r="P158" s="2143"/>
      <c r="Q158" s="2143"/>
      <c r="R158" s="2313"/>
      <c r="S158" s="2142"/>
      <c r="T158" s="535"/>
      <c r="U158" s="536"/>
      <c r="V158" s="536" t="s">
        <v>1492</v>
      </c>
      <c r="W158" s="537"/>
      <c r="Y158" s="1548"/>
      <c r="Z158" s="1548"/>
      <c r="AA158" s="1548"/>
      <c r="AB158" s="1548"/>
      <c r="AC158" s="1548"/>
      <c r="AD158" s="1548"/>
      <c r="AE158" s="1548"/>
      <c r="AF158" s="1548"/>
      <c r="AG158" s="1548"/>
      <c r="AH158" s="1548"/>
      <c r="AI158" s="1548"/>
      <c r="AJ158" s="1548"/>
      <c r="AK158" s="1548"/>
    </row>
    <row s="11403" customFormat="1" customHeight="1" ht="17.25">
      <c r="G159" s="305"/>
      <c r="H159" s="305"/>
      <c r="I159" s="305"/>
      <c r="M159" s="1809"/>
    </row>
    <row s="10859" customFormat="1" customHeight="1" ht="17.25">
      <c r="A160" s="539"/>
      <c r="C160" s="417"/>
      <c r="D160" s="2086"/>
      <c r="E160" s="2087"/>
      <c r="F160" s="2062"/>
      <c r="G160" s="2088"/>
      <c r="H160" s="2089"/>
      <c r="I160" s="2089"/>
      <c r="J160" s="2090"/>
      <c r="K160" s="2088"/>
      <c r="L160" s="2089"/>
      <c r="M160" s="2089"/>
      <c r="N160" s="2088"/>
      <c r="O160" s="2088"/>
      <c r="P160" s="2089"/>
      <c r="Q160" s="2089"/>
      <c r="R160" s="2091"/>
      <c r="S160" s="2088"/>
      <c r="T160" s="2066"/>
      <c r="U160" s="2066" t="s">
        <v>109</v>
      </c>
      <c r="V160" s="2063" t="s">
        <v>17</v>
      </c>
      <c r="W160" s="2065"/>
      <c r="Y160" s="1556"/>
      <c r="Z160" s="1556"/>
      <c r="AA160" s="1556"/>
      <c r="AB160" s="1556"/>
      <c r="AC160" s="1556"/>
      <c r="AD160" s="1556"/>
      <c r="AE160" s="1556"/>
      <c r="AF160" s="1556"/>
      <c r="AG160" s="1556"/>
      <c r="AH160" s="1556"/>
      <c r="AI160" s="1556"/>
      <c r="AJ160" s="1556"/>
      <c r="AK160" s="1556"/>
      <c r="AL160" s="454"/>
      <c r="AM160" s="454"/>
      <c r="AN160" s="1556"/>
      <c r="AO160" s="1556"/>
      <c r="AP160" s="1556"/>
      <c r="AQ160" s="1556"/>
    </row>
    <row s="11403" customFormat="1" customHeight="1" ht="17.25"/>
    <row s="9233" customFormat="1" customHeight="1" ht="17.25">
      <c r="A162" s="284" t="s">
        <v>1496</v>
      </c>
    </row>
    <row s="11403" customFormat="1" customHeight="1" ht="17.25">
      <c r="G163" s="305"/>
      <c r="H163" s="305"/>
      <c r="I163" s="305"/>
      <c r="M163" s="1645"/>
    </row>
    <row s="10859" customFormat="1" customHeight="1" ht="17.25">
      <c r="A164" s="539"/>
      <c r="C164" s="417"/>
      <c r="D164" s="2319"/>
      <c r="E164" s="2180"/>
      <c r="F164" s="2182"/>
      <c r="G164" s="2185"/>
      <c r="H164" s="2319"/>
      <c r="I164" s="2319">
        <v>1</v>
      </c>
      <c r="J164" s="2320"/>
      <c r="K164" s="2232" t="s">
        <v>67</v>
      </c>
      <c r="L164" s="2143"/>
      <c r="M164" s="2143" t="s">
        <v>109</v>
      </c>
      <c r="N164" s="2317" t="str">
        <f>IF(Z164="","",INDEX(TERRITORY_MR_LIST,MATCH(Z164,TERRITORY_LIST_ID,0)))</f>
        <v/>
      </c>
      <c r="O164" s="2232" t="s">
        <v>67</v>
      </c>
      <c r="P164" s="2143"/>
      <c r="Q164" s="2143" t="s">
        <v>109</v>
      </c>
      <c r="R164" s="2313" t="s">
        <v>17</v>
      </c>
      <c r="S164" s="2314" t="s">
        <v>57</v>
      </c>
      <c r="T164" s="1699"/>
      <c r="U164" s="1699" t="s">
        <v>109</v>
      </c>
      <c r="V164" s="1731"/>
      <c r="W164" s="2315"/>
      <c r="Y164" s="1556"/>
      <c r="Z164" s="1556"/>
      <c r="AA164" s="1556"/>
      <c r="AB164" s="1556"/>
      <c r="AC164" s="1556"/>
      <c r="AD164" s="1556"/>
      <c r="AE164" s="1556"/>
      <c r="AF164" s="1556"/>
      <c r="AG164" s="1556"/>
      <c r="AH164" s="1556"/>
      <c r="AI164" s="1556"/>
      <c r="AJ164" s="1556"/>
      <c r="AK164" s="1556"/>
      <c r="AL164" s="454"/>
      <c r="AM164" s="454"/>
      <c r="AN164" s="1556"/>
      <c r="AO164" s="1556"/>
      <c r="AP164" s="1556"/>
      <c r="AQ164" s="1556"/>
    </row>
    <row s="10859" customFormat="1" customHeight="1" ht="17.25">
      <c r="A165" s="539"/>
      <c r="C165" s="538"/>
      <c r="D165" s="2319"/>
      <c r="E165" s="2180"/>
      <c r="F165" s="2183"/>
      <c r="G165" s="2185"/>
      <c r="H165" s="2319"/>
      <c r="I165" s="2319"/>
      <c r="J165" s="2320"/>
      <c r="K165" s="2233"/>
      <c r="L165" s="2143"/>
      <c r="M165" s="2143"/>
      <c r="N165" s="2317"/>
      <c r="O165" s="2233"/>
      <c r="P165" s="2143"/>
      <c r="Q165" s="2143"/>
      <c r="R165" s="2313"/>
      <c r="S165" s="2314"/>
      <c r="T165" s="1732"/>
      <c r="U165" s="1733"/>
      <c r="V165" s="1733"/>
      <c r="W165" s="2315"/>
      <c r="Y165" s="1548"/>
      <c r="Z165" s="1548"/>
      <c r="AA165" s="1548"/>
      <c r="AB165" s="1548"/>
      <c r="AC165" s="1548"/>
      <c r="AD165" s="1548"/>
      <c r="AE165" s="1548"/>
      <c r="AF165" s="1548"/>
      <c r="AG165" s="1548"/>
      <c r="AH165" s="1548"/>
      <c r="AI165" s="1548"/>
      <c r="AJ165" s="1548"/>
      <c r="AK165" s="1548"/>
    </row>
    <row s="10859" customFormat="1" customHeight="1" ht="17.25">
      <c r="A166" s="539"/>
      <c r="C166" s="538"/>
      <c r="D166" s="2316"/>
      <c r="E166" s="2181"/>
      <c r="F166" s="2183"/>
      <c r="G166" s="2186"/>
      <c r="H166" s="2316"/>
      <c r="I166" s="2316"/>
      <c r="J166" s="2321"/>
      <c r="K166" s="2233"/>
      <c r="L166" s="2316"/>
      <c r="M166" s="2316"/>
      <c r="N166" s="2318"/>
      <c r="O166" s="2147"/>
      <c r="P166" s="535"/>
      <c r="Q166" s="536"/>
      <c r="R166" s="536" t="s">
        <v>1493</v>
      </c>
      <c r="S166" s="532"/>
      <c r="T166" s="532"/>
      <c r="U166" s="532"/>
      <c r="V166" s="532"/>
      <c r="W166" s="1730"/>
      <c r="Y166" s="1548"/>
      <c r="Z166" s="1548"/>
      <c r="AA166" s="1548"/>
      <c r="AB166" s="1548"/>
      <c r="AC166" s="1548"/>
      <c r="AD166" s="1548"/>
      <c r="AE166" s="1548"/>
      <c r="AF166" s="1548"/>
      <c r="AG166" s="1548"/>
      <c r="AH166" s="1548"/>
      <c r="AI166" s="1548"/>
      <c r="AJ166" s="1548"/>
      <c r="AK166" s="1548"/>
    </row>
    <row s="10859" customFormat="1" customHeight="1" ht="17.25">
      <c r="A167" s="539"/>
      <c r="C167" s="538"/>
      <c r="D167" s="2316"/>
      <c r="E167" s="2181"/>
      <c r="F167" s="2183"/>
      <c r="G167" s="2186"/>
      <c r="H167" s="2316"/>
      <c r="I167" s="2316"/>
      <c r="J167" s="2321"/>
      <c r="K167" s="2147"/>
      <c r="L167" s="535"/>
      <c r="M167" s="536"/>
      <c r="N167" s="536" t="s">
        <v>1494</v>
      </c>
      <c r="O167" s="536"/>
      <c r="P167" s="536"/>
      <c r="Q167" s="536"/>
      <c r="R167" s="536"/>
      <c r="S167" s="532"/>
      <c r="T167" s="532"/>
      <c r="U167" s="532"/>
      <c r="V167" s="532"/>
      <c r="W167" s="537"/>
      <c r="Y167" s="1548"/>
      <c r="Z167" s="1548"/>
      <c r="AA167" s="1548"/>
      <c r="AB167" s="1548"/>
      <c r="AC167" s="1548"/>
      <c r="AD167" s="1548"/>
      <c r="AE167" s="1548"/>
      <c r="AF167" s="1548"/>
      <c r="AG167" s="1548"/>
      <c r="AH167" s="1548"/>
      <c r="AI167" s="1548"/>
      <c r="AJ167" s="1548"/>
      <c r="AK167" s="1548"/>
    </row>
    <row s="10859" customFormat="1" customHeight="1" ht="17.25">
      <c r="A168" s="539"/>
      <c r="C168" s="538"/>
      <c r="D168" s="2316"/>
      <c r="E168" s="2181"/>
      <c r="F168" s="2184"/>
      <c r="G168" s="2186"/>
      <c r="H168" s="535"/>
      <c r="I168" s="536"/>
      <c r="J168" s="536" t="s">
        <v>1495</v>
      </c>
      <c r="K168" s="536"/>
      <c r="L168" s="536"/>
      <c r="M168" s="536"/>
      <c r="N168" s="536"/>
      <c r="O168" s="536"/>
      <c r="P168" s="536"/>
      <c r="Q168" s="536"/>
      <c r="R168" s="536"/>
      <c r="S168" s="532"/>
      <c r="T168" s="532"/>
      <c r="U168" s="532"/>
      <c r="V168" s="532"/>
      <c r="W168" s="537"/>
      <c r="Y168" s="1548"/>
      <c r="Z168" s="1548"/>
      <c r="AA168" s="1548"/>
      <c r="AB168" s="1548"/>
      <c r="AC168" s="1548"/>
      <c r="AD168" s="1548"/>
      <c r="AE168" s="1548"/>
      <c r="AF168" s="1548"/>
      <c r="AG168" s="1548"/>
      <c r="AH168" s="1548"/>
      <c r="AI168" s="1548"/>
      <c r="AJ168" s="1548"/>
      <c r="AK168" s="1548"/>
    </row>
    <row s="11403" customFormat="1" customHeight="1" ht="17.25">
      <c r="A169" s="360"/>
    </row>
    <row s="10859" customFormat="1" customHeight="1" ht="17.25">
      <c r="A170" s="539"/>
      <c r="C170" s="417"/>
      <c r="D170" s="2086"/>
      <c r="E170" s="2087"/>
      <c r="F170" s="2070"/>
      <c r="G170" s="2088"/>
      <c r="H170" s="2319"/>
      <c r="I170" s="2319">
        <v>1</v>
      </c>
      <c r="J170" s="2320"/>
      <c r="K170" s="2232" t="s">
        <v>67</v>
      </c>
      <c r="L170" s="2143"/>
      <c r="M170" s="2143" t="s">
        <v>109</v>
      </c>
      <c r="N170" s="2317" t="str">
        <f>IF(Z170="","",INDEX(TERRITORY_MR_LIST,MATCH(Z170,TERRITORY_LIST_ID,0)))</f>
        <v/>
      </c>
      <c r="O170" s="2232" t="s">
        <v>67</v>
      </c>
      <c r="P170" s="2143"/>
      <c r="Q170" s="2143" t="s">
        <v>109</v>
      </c>
      <c r="R170" s="2313" t="s">
        <v>17</v>
      </c>
      <c r="S170" s="2314" t="s">
        <v>57</v>
      </c>
      <c r="T170" s="2072"/>
      <c r="U170" s="2072" t="s">
        <v>109</v>
      </c>
      <c r="V170" s="1731"/>
      <c r="W170" s="2315"/>
      <c r="Y170" s="1556"/>
      <c r="Z170" s="1556"/>
      <c r="AA170" s="1556"/>
      <c r="AB170" s="1556"/>
      <c r="AC170" s="1556"/>
      <c r="AD170" s="1556"/>
      <c r="AE170" s="1556"/>
      <c r="AF170" s="1556"/>
      <c r="AG170" s="1556"/>
      <c r="AH170" s="1556"/>
      <c r="AI170" s="1556"/>
      <c r="AJ170" s="1556"/>
      <c r="AK170" s="1556"/>
      <c r="AL170" s="454"/>
      <c r="AM170" s="454"/>
      <c r="AN170" s="1556"/>
      <c r="AO170" s="1556"/>
      <c r="AP170" s="1556"/>
      <c r="AQ170" s="1556"/>
    </row>
    <row s="10859" customFormat="1" customHeight="1" ht="17.25">
      <c r="A171" s="539"/>
      <c r="C171" s="538"/>
      <c r="D171" s="2086"/>
      <c r="E171" s="2087"/>
      <c r="F171" s="2070"/>
      <c r="G171" s="2088"/>
      <c r="H171" s="2319"/>
      <c r="I171" s="2319"/>
      <c r="J171" s="2320"/>
      <c r="K171" s="2233"/>
      <c r="L171" s="2143"/>
      <c r="M171" s="2143"/>
      <c r="N171" s="2317"/>
      <c r="O171" s="2233"/>
      <c r="P171" s="2143"/>
      <c r="Q171" s="2143"/>
      <c r="R171" s="2313"/>
      <c r="S171" s="2314"/>
      <c r="T171" s="1732"/>
      <c r="U171" s="1733"/>
      <c r="V171" s="1733"/>
      <c r="W171" s="2315"/>
      <c r="Y171" s="1548"/>
      <c r="Z171" s="1548"/>
      <c r="AA171" s="1548"/>
      <c r="AB171" s="1548"/>
      <c r="AC171" s="1548"/>
      <c r="AD171" s="1548"/>
      <c r="AE171" s="1548"/>
      <c r="AF171" s="1548"/>
      <c r="AG171" s="1548"/>
      <c r="AH171" s="1548"/>
      <c r="AI171" s="1548"/>
      <c r="AJ171" s="1548"/>
      <c r="AK171" s="1548"/>
    </row>
    <row s="10859" customFormat="1" customHeight="1" ht="17.25">
      <c r="A172" s="539"/>
      <c r="C172" s="538"/>
      <c r="D172" s="2086"/>
      <c r="E172" s="2087"/>
      <c r="F172" s="2070"/>
      <c r="G172" s="2088"/>
      <c r="H172" s="2316"/>
      <c r="I172" s="2316"/>
      <c r="J172" s="2321"/>
      <c r="K172" s="2233"/>
      <c r="L172" s="2316"/>
      <c r="M172" s="2316"/>
      <c r="N172" s="2318"/>
      <c r="O172" s="2147"/>
      <c r="P172" s="535"/>
      <c r="Q172" s="536"/>
      <c r="R172" s="536" t="s">
        <v>1493</v>
      </c>
      <c r="S172" s="532"/>
      <c r="T172" s="532"/>
      <c r="U172" s="532"/>
      <c r="V172" s="532"/>
      <c r="W172" s="1730"/>
      <c r="Y172" s="1548"/>
      <c r="Z172" s="1548"/>
      <c r="AA172" s="1548"/>
      <c r="AB172" s="1548"/>
      <c r="AC172" s="1548"/>
      <c r="AD172" s="1548"/>
      <c r="AE172" s="1548"/>
      <c r="AF172" s="1548"/>
      <c r="AG172" s="1548"/>
      <c r="AH172" s="1548"/>
      <c r="AI172" s="1548"/>
      <c r="AJ172" s="1548"/>
      <c r="AK172" s="1548"/>
    </row>
    <row s="10859" customFormat="1" customHeight="1" ht="17.25">
      <c r="A173" s="539"/>
      <c r="C173" s="538"/>
      <c r="D173" s="2086"/>
      <c r="E173" s="2087"/>
      <c r="F173" s="2070"/>
      <c r="G173" s="2088"/>
      <c r="H173" s="2316"/>
      <c r="I173" s="2316"/>
      <c r="J173" s="2321"/>
      <c r="K173" s="2147"/>
      <c r="L173" s="535"/>
      <c r="M173" s="536"/>
      <c r="N173" s="536" t="s">
        <v>1494</v>
      </c>
      <c r="O173" s="536"/>
      <c r="P173" s="536"/>
      <c r="Q173" s="536"/>
      <c r="R173" s="536"/>
      <c r="S173" s="532"/>
      <c r="T173" s="532"/>
      <c r="U173" s="532"/>
      <c r="V173" s="532"/>
      <c r="W173" s="537"/>
      <c r="Y173" s="1548"/>
      <c r="Z173" s="1548"/>
      <c r="AA173" s="1548"/>
      <c r="AB173" s="1548"/>
      <c r="AC173" s="1548"/>
      <c r="AD173" s="1548"/>
      <c r="AE173" s="1548"/>
      <c r="AF173" s="1548"/>
      <c r="AG173" s="1548"/>
      <c r="AH173" s="1548"/>
      <c r="AI173" s="1548"/>
      <c r="AJ173" s="1548"/>
      <c r="AK173" s="1548"/>
    </row>
    <row customHeight="1" ht="17.25">
      <c r="A174" s="360"/>
    </row>
    <row s="10859" customFormat="1" customHeight="1" ht="17.25">
      <c r="A175" s="539"/>
      <c r="C175" s="417"/>
      <c r="D175" s="2086"/>
      <c r="E175" s="2087"/>
      <c r="F175" s="2070"/>
      <c r="G175" s="2088"/>
      <c r="H175" s="2086"/>
      <c r="I175" s="2086"/>
      <c r="J175" s="2098"/>
      <c r="K175" s="2088"/>
      <c r="L175" s="2143"/>
      <c r="M175" s="2143" t="s">
        <v>109</v>
      </c>
      <c r="N175" s="2317" t="str">
        <f>IF(Z175="","",INDEX(TERRITORY_MR_LIST,MATCH(Z175,TERRITORY_LIST_ID,0)))</f>
        <v/>
      </c>
      <c r="O175" s="2232" t="s">
        <v>67</v>
      </c>
      <c r="P175" s="2143"/>
      <c r="Q175" s="2143" t="s">
        <v>109</v>
      </c>
      <c r="R175" s="2313" t="s">
        <v>17</v>
      </c>
      <c r="S175" s="2314" t="s">
        <v>57</v>
      </c>
      <c r="T175" s="2072"/>
      <c r="U175" s="2072" t="s">
        <v>109</v>
      </c>
      <c r="V175" s="1731"/>
      <c r="W175" s="2315"/>
      <c r="Y175" s="1556"/>
      <c r="Z175" s="1556"/>
      <c r="AA175" s="1556"/>
      <c r="AB175" s="1556"/>
      <c r="AC175" s="1556"/>
      <c r="AD175" s="1556"/>
      <c r="AE175" s="1556"/>
      <c r="AF175" s="1556"/>
      <c r="AG175" s="1556"/>
      <c r="AH175" s="1556"/>
      <c r="AI175" s="1556"/>
      <c r="AJ175" s="1556"/>
      <c r="AK175" s="1556"/>
      <c r="AL175" s="454"/>
      <c r="AM175" s="454"/>
      <c r="AN175" s="1556"/>
      <c r="AO175" s="1556"/>
      <c r="AP175" s="1556"/>
      <c r="AQ175" s="1556"/>
    </row>
    <row s="10859" customFormat="1" customHeight="1" ht="17.25">
      <c r="A176" s="539"/>
      <c r="C176" s="538"/>
      <c r="D176" s="2086"/>
      <c r="E176" s="2087"/>
      <c r="F176" s="2070"/>
      <c r="G176" s="2088"/>
      <c r="H176" s="2086"/>
      <c r="I176" s="2086"/>
      <c r="J176" s="2098"/>
      <c r="K176" s="2088"/>
      <c r="L176" s="2143"/>
      <c r="M176" s="2143"/>
      <c r="N176" s="2317"/>
      <c r="O176" s="2233"/>
      <c r="P176" s="2143"/>
      <c r="Q176" s="2143"/>
      <c r="R176" s="2313"/>
      <c r="S176" s="2314"/>
      <c r="T176" s="1732"/>
      <c r="U176" s="1733"/>
      <c r="V176" s="1733"/>
      <c r="W176" s="2315"/>
      <c r="Y176" s="1548"/>
      <c r="Z176" s="1548"/>
      <c r="AA176" s="1548"/>
      <c r="AB176" s="1548"/>
      <c r="AC176" s="1548"/>
      <c r="AD176" s="1548"/>
      <c r="AE176" s="1548"/>
      <c r="AF176" s="1548"/>
      <c r="AG176" s="1548"/>
      <c r="AH176" s="1548"/>
      <c r="AI176" s="1548"/>
      <c r="AJ176" s="1548"/>
      <c r="AK176" s="1548"/>
    </row>
    <row s="10859" customFormat="1" customHeight="1" ht="17.25">
      <c r="A177" s="539"/>
      <c r="C177" s="538"/>
      <c r="D177" s="2086"/>
      <c r="E177" s="2087"/>
      <c r="F177" s="2070"/>
      <c r="G177" s="2088"/>
      <c r="H177" s="2086"/>
      <c r="I177" s="2086"/>
      <c r="J177" s="2098"/>
      <c r="K177" s="2088"/>
      <c r="L177" s="2316"/>
      <c r="M177" s="2316"/>
      <c r="N177" s="2318"/>
      <c r="O177" s="2147"/>
      <c r="P177" s="535"/>
      <c r="Q177" s="536"/>
      <c r="R177" s="536" t="s">
        <v>1493</v>
      </c>
      <c r="S177" s="532"/>
      <c r="T177" s="532"/>
      <c r="U177" s="532"/>
      <c r="V177" s="532"/>
      <c r="W177" s="1730"/>
      <c r="Y177" s="1548"/>
      <c r="Z177" s="1548"/>
      <c r="AA177" s="1548"/>
      <c r="AB177" s="1548"/>
      <c r="AC177" s="1548"/>
      <c r="AD177" s="1548"/>
      <c r="AE177" s="1548"/>
      <c r="AF177" s="1548"/>
      <c r="AG177" s="1548"/>
      <c r="AH177" s="1548"/>
      <c r="AI177" s="1548"/>
      <c r="AJ177" s="1548"/>
      <c r="AK177" s="1548"/>
    </row>
    <row s="11403" customFormat="1" customHeight="1" ht="17.25">
      <c r="A178" s="360"/>
    </row>
    <row s="10859" customFormat="1" customHeight="1" ht="17.25">
      <c r="A179" s="539"/>
      <c r="C179" s="417"/>
      <c r="D179" s="2086"/>
      <c r="E179" s="2087"/>
      <c r="F179" s="2070"/>
      <c r="G179" s="2088"/>
      <c r="H179" s="2086"/>
      <c r="I179" s="2086"/>
      <c r="J179" s="2098"/>
      <c r="K179" s="2088"/>
      <c r="L179" s="2086"/>
      <c r="M179" s="2086"/>
      <c r="N179" s="2099"/>
      <c r="O179" s="2071"/>
      <c r="P179" s="2143"/>
      <c r="Q179" s="2143" t="s">
        <v>109</v>
      </c>
      <c r="R179" s="2313" t="s">
        <v>17</v>
      </c>
      <c r="S179" s="2314" t="s">
        <v>57</v>
      </c>
      <c r="T179" s="2072"/>
      <c r="U179" s="2072" t="s">
        <v>109</v>
      </c>
      <c r="V179" s="1731"/>
      <c r="W179" s="2315"/>
      <c r="Y179" s="1556"/>
      <c r="Z179" s="1556"/>
      <c r="AA179" s="1556"/>
      <c r="AB179" s="1556"/>
      <c r="AC179" s="1556"/>
      <c r="AD179" s="1556"/>
      <c r="AE179" s="1556"/>
      <c r="AF179" s="1556"/>
      <c r="AG179" s="1556"/>
      <c r="AH179" s="1556"/>
      <c r="AI179" s="1556"/>
      <c r="AJ179" s="1556"/>
      <c r="AK179" s="1556"/>
      <c r="AL179" s="454"/>
      <c r="AM179" s="454"/>
      <c r="AN179" s="1556"/>
      <c r="AO179" s="1556"/>
      <c r="AP179" s="1556"/>
      <c r="AQ179" s="1556"/>
    </row>
    <row s="10859" customFormat="1" customHeight="1" ht="17.25">
      <c r="A180" s="539"/>
      <c r="C180" s="538"/>
      <c r="D180" s="2086"/>
      <c r="E180" s="2087"/>
      <c r="F180" s="2070"/>
      <c r="G180" s="2088"/>
      <c r="H180" s="2086"/>
      <c r="I180" s="2086"/>
      <c r="J180" s="2098"/>
      <c r="K180" s="2088"/>
      <c r="L180" s="2086"/>
      <c r="M180" s="2086"/>
      <c r="N180" s="2099"/>
      <c r="O180" s="2071"/>
      <c r="P180" s="2143"/>
      <c r="Q180" s="2143"/>
      <c r="R180" s="2313"/>
      <c r="S180" s="2314"/>
      <c r="T180" s="1732"/>
      <c r="U180" s="1733"/>
      <c r="V180" s="1733"/>
      <c r="W180" s="2315"/>
      <c r="Y180" s="1548"/>
      <c r="Z180" s="1548"/>
      <c r="AA180" s="1548"/>
      <c r="AB180" s="1548"/>
      <c r="AC180" s="1548"/>
      <c r="AD180" s="1548"/>
      <c r="AE180" s="1548"/>
      <c r="AF180" s="1548"/>
      <c r="AG180" s="1548"/>
      <c r="AH180" s="1548"/>
      <c r="AI180" s="1548"/>
      <c r="AJ180" s="1548"/>
      <c r="AK180" s="1548"/>
    </row>
    <row s="11403" customFormat="1" customHeight="1" ht="17.25">
      <c r="A181" s="360"/>
    </row>
    <row customHeight="1" ht="16.5">
      <c r="A182" s="359"/>
      <c r="B182" s="309"/>
      <c r="C182" s="338"/>
      <c r="D182" s="2371"/>
      <c r="E182" s="2230"/>
      <c r="F182" s="2223"/>
      <c r="G182" s="2372"/>
      <c r="H182" s="2187"/>
      <c r="I182" s="2189"/>
      <c r="J182" s="2191"/>
      <c r="K182" s="2175"/>
      <c r="L182" s="2170"/>
      <c r="M182" s="2170"/>
      <c r="N182" s="2172"/>
      <c r="O182" s="2175"/>
      <c r="P182" s="2170"/>
      <c r="Q182" s="2170"/>
      <c r="R182" s="2177"/>
      <c r="S182" s="2175"/>
      <c r="T182" s="1587"/>
      <c r="U182" s="1587"/>
      <c r="V182" s="1588"/>
      <c r="W182" s="1589"/>
    </row>
    <row s="11403" customFormat="1" customHeight="1" ht="16.5">
      <c r="A183" s="539"/>
      <c r="B183" s="534"/>
      <c r="C183" s="538"/>
      <c r="D183" s="2371"/>
      <c r="E183" s="2230"/>
      <c r="F183" s="2223"/>
      <c r="G183" s="2372"/>
      <c r="H183" s="2188"/>
      <c r="I183" s="2190"/>
      <c r="J183" s="2192"/>
      <c r="K183" s="2176"/>
      <c r="L183" s="2171"/>
      <c r="M183" s="2171"/>
      <c r="N183" s="2173"/>
      <c r="O183" s="2176"/>
      <c r="P183" s="2171"/>
      <c r="Q183" s="2171"/>
      <c r="R183" s="2174"/>
      <c r="S183" s="2176"/>
      <c r="T183" s="1590"/>
      <c r="U183" s="1590"/>
      <c r="V183" s="1590"/>
      <c r="W183" s="1591"/>
    </row>
    <row customHeight="1" ht="17.25">
      <c r="A184" s="359"/>
      <c r="B184" s="309"/>
      <c r="C184" s="338"/>
      <c r="D184" s="2371"/>
      <c r="E184" s="2230"/>
      <c r="F184" s="2223"/>
      <c r="G184" s="2372"/>
      <c r="H184" s="2188"/>
      <c r="I184" s="2190"/>
      <c r="J184" s="2193"/>
      <c r="K184" s="2176"/>
      <c r="L184" s="2171"/>
      <c r="M184" s="2171"/>
      <c r="N184" s="2174"/>
      <c r="O184" s="2176"/>
      <c r="P184" s="1592"/>
      <c r="Q184" s="1590"/>
      <c r="R184" s="1590"/>
      <c r="S184" s="550"/>
      <c r="T184" s="550"/>
      <c r="U184" s="550"/>
      <c r="V184" s="550"/>
      <c r="W184" s="1591"/>
    </row>
    <row customHeight="1" ht="17.25">
      <c r="A185" s="359"/>
      <c r="B185" s="309"/>
      <c r="C185" s="338"/>
      <c r="D185" s="2371"/>
      <c r="E185" s="2230"/>
      <c r="F185" s="2223"/>
      <c r="G185" s="2372"/>
      <c r="H185" s="2188"/>
      <c r="I185" s="2190"/>
      <c r="J185" s="2193"/>
      <c r="K185" s="2176"/>
      <c r="L185" s="1590"/>
      <c r="M185" s="1590"/>
      <c r="N185" s="1590"/>
      <c r="O185" s="1590"/>
      <c r="P185" s="1590"/>
      <c r="Q185" s="1590"/>
      <c r="R185" s="1590"/>
      <c r="S185" s="550"/>
      <c r="T185" s="550"/>
      <c r="U185" s="550"/>
      <c r="V185" s="550"/>
      <c r="W185" s="1591"/>
    </row>
    <row customHeight="1" ht="17.25">
      <c r="A186" s="359"/>
      <c r="B186" s="309"/>
      <c r="C186" s="338"/>
      <c r="D186" s="2371"/>
      <c r="E186" s="2230"/>
      <c r="F186" s="2223"/>
      <c r="G186" s="2372"/>
      <c r="H186" s="1593"/>
      <c r="I186" s="1594"/>
      <c r="J186" s="1594"/>
      <c r="K186" s="1594"/>
      <c r="L186" s="1594"/>
      <c r="M186" s="1594"/>
      <c r="N186" s="1594"/>
      <c r="O186" s="1594"/>
      <c r="P186" s="1594"/>
      <c r="Q186" s="1594"/>
      <c r="R186" s="1594"/>
      <c r="S186" s="1595"/>
      <c r="T186" s="1595"/>
      <c r="U186" s="1595"/>
      <c r="V186" s="1595"/>
      <c r="W186" s="1596"/>
    </row>
    <row s="11403" customFormat="1" customHeight="1" ht="17.25"/>
    <row s="9233" customFormat="1" customHeight="1" ht="17.25">
      <c r="A188" s="284" t="s">
        <v>1497</v>
      </c>
    </row>
    <row s="11403" customFormat="1" customHeight="1" ht="17.25">
      <c r="G189" s="305"/>
      <c r="H189" s="305"/>
      <c r="I189" s="305"/>
      <c r="M189" s="1809"/>
    </row>
    <row s="11403" customFormat="1" customHeight="1" ht="14.25">
      <c r="D190" s="2342"/>
      <c r="E190" s="2343"/>
      <c r="F190" s="2344"/>
      <c r="G190" s="2232"/>
      <c r="H190" s="1875"/>
      <c r="I190" s="2351">
        <v>1</v>
      </c>
      <c r="J190" s="2320"/>
      <c r="K190" s="1891"/>
      <c r="L190" s="2232" t="s">
        <v>67</v>
      </c>
      <c r="M190" s="2232" t="s">
        <v>67</v>
      </c>
      <c r="N190" s="1875"/>
      <c r="O190" s="2143" t="s">
        <v>109</v>
      </c>
      <c r="P190" s="2340"/>
      <c r="Q190" s="1892"/>
      <c r="R190" s="2345" t="s">
        <v>67</v>
      </c>
      <c r="S190" s="2345" t="s">
        <v>67</v>
      </c>
      <c r="T190" s="1876"/>
      <c r="U190" s="2143" t="s">
        <v>109</v>
      </c>
      <c r="V190" s="2347" t="str">
        <f>IF(AK190="","",INDEX(TERRITORY_MR_LIST,MATCH(AK190,TERRITORY_LIST_ID,0)))</f>
        <v/>
      </c>
      <c r="W190" s="1893"/>
      <c r="X190" s="2232" t="s">
        <v>67</v>
      </c>
      <c r="Y190" s="2232" t="s">
        <v>57</v>
      </c>
      <c r="Z190" s="1875"/>
      <c r="AA190" s="2143" t="s">
        <v>109</v>
      </c>
      <c r="AB190" s="2349"/>
      <c r="AC190" s="1894"/>
      <c r="AD190" s="2232" t="s">
        <v>67</v>
      </c>
      <c r="AE190" s="2232" t="s">
        <v>57</v>
      </c>
      <c r="AF190" s="1873"/>
      <c r="AG190" s="1813" t="s">
        <v>109</v>
      </c>
      <c r="AH190" s="1884"/>
      <c r="AI190" s="1814"/>
      <c r="BK190" s="659"/>
    </row>
    <row s="11403" customFormat="1" customHeight="1" ht="14.25">
      <c r="D191" s="2342"/>
      <c r="E191" s="2343"/>
      <c r="F191" s="2344"/>
      <c r="G191" s="2233"/>
      <c r="H191" s="1875"/>
      <c r="I191" s="2351"/>
      <c r="J191" s="2320"/>
      <c r="K191" s="1874"/>
      <c r="L191" s="2233"/>
      <c r="M191" s="2233"/>
      <c r="N191" s="1875"/>
      <c r="O191" s="2143"/>
      <c r="P191" s="2340"/>
      <c r="Q191" s="1871"/>
      <c r="R191" s="2346"/>
      <c r="S191" s="2346"/>
      <c r="T191" s="1876"/>
      <c r="U191" s="2143"/>
      <c r="V191" s="2348"/>
      <c r="W191" s="1872"/>
      <c r="X191" s="2233"/>
      <c r="Y191" s="2233"/>
      <c r="Z191" s="1875"/>
      <c r="AA191" s="2143"/>
      <c r="AB191" s="2350"/>
      <c r="AC191" s="1877"/>
      <c r="AD191" s="2147"/>
      <c r="AE191" s="2147"/>
      <c r="AF191" s="1878"/>
      <c r="AG191" s="1879"/>
      <c r="AH191" s="2336" t="s">
        <v>1498</v>
      </c>
      <c r="AI191" s="2337"/>
      <c r="BK191" s="659"/>
    </row>
    <row s="11403" customFormat="1" customHeight="1" ht="14.25">
      <c r="D192" s="2342"/>
      <c r="E192" s="2343"/>
      <c r="F192" s="2344"/>
      <c r="G192" s="2233"/>
      <c r="H192" s="1875"/>
      <c r="I192" s="2351"/>
      <c r="J192" s="2320"/>
      <c r="K192" s="1874"/>
      <c r="L192" s="2233"/>
      <c r="M192" s="2233"/>
      <c r="N192" s="1875"/>
      <c r="O192" s="2143"/>
      <c r="P192" s="2340"/>
      <c r="Q192" s="1871"/>
      <c r="R192" s="2346"/>
      <c r="S192" s="2346"/>
      <c r="T192" s="1876"/>
      <c r="U192" s="2143"/>
      <c r="V192" s="2348"/>
      <c r="W192" s="1872"/>
      <c r="X192" s="2233"/>
      <c r="Y192" s="2233"/>
      <c r="Z192" s="1916"/>
      <c r="AA192" s="1881"/>
      <c r="AB192" s="2338" t="s">
        <v>1499</v>
      </c>
      <c r="AC192" s="2338"/>
      <c r="AD192" s="2338"/>
      <c r="AE192" s="2338"/>
      <c r="AF192" s="2338"/>
      <c r="AG192" s="2338"/>
      <c r="AH192" s="2338"/>
      <c r="AI192" s="2339"/>
      <c r="BK192" s="659"/>
    </row>
    <row s="11403" customFormat="1" customHeight="1" ht="14.25">
      <c r="D193" s="2342"/>
      <c r="E193" s="2343"/>
      <c r="F193" s="2344"/>
      <c r="G193" s="2233"/>
      <c r="H193" s="1875"/>
      <c r="I193" s="2351"/>
      <c r="J193" s="2320"/>
      <c r="K193" s="1874"/>
      <c r="L193" s="2233"/>
      <c r="M193" s="2233"/>
      <c r="N193" s="1875"/>
      <c r="O193" s="2143"/>
      <c r="P193" s="2341"/>
      <c r="Q193" s="1871"/>
      <c r="R193" s="2346"/>
      <c r="S193" s="2346"/>
      <c r="T193" s="1915"/>
      <c r="U193" s="1917"/>
      <c r="V193" s="2336" t="s">
        <v>103</v>
      </c>
      <c r="W193" s="2336"/>
      <c r="X193" s="2336"/>
      <c r="Y193" s="2336"/>
      <c r="Z193" s="2336"/>
      <c r="AA193" s="2336"/>
      <c r="AB193" s="2336"/>
      <c r="AC193" s="2336"/>
      <c r="AD193" s="2336"/>
      <c r="AE193" s="2336"/>
      <c r="AF193" s="2336"/>
      <c r="AG193" s="2336"/>
      <c r="AH193" s="2336"/>
      <c r="AI193" s="2337"/>
      <c r="BK193" s="659"/>
    </row>
    <row s="11403" customFormat="1" customHeight="1" ht="11.25">
      <c r="D194" s="2342"/>
      <c r="E194" s="2343"/>
      <c r="F194" s="2344"/>
      <c r="G194" s="2233"/>
      <c r="H194" s="1880"/>
      <c r="I194" s="2351"/>
      <c r="J194" s="2352"/>
      <c r="K194" s="1874"/>
      <c r="L194" s="2233"/>
      <c r="M194" s="2233"/>
      <c r="N194" s="1880"/>
      <c r="O194" s="1881"/>
      <c r="P194" s="2336" t="s">
        <v>1500</v>
      </c>
      <c r="Q194" s="2336"/>
      <c r="R194" s="2336"/>
      <c r="S194" s="2336"/>
      <c r="T194" s="2336"/>
      <c r="U194" s="2336"/>
      <c r="V194" s="2336"/>
      <c r="W194" s="2336"/>
      <c r="X194" s="2336"/>
      <c r="Y194" s="2336"/>
      <c r="Z194" s="2336"/>
      <c r="AA194" s="2336"/>
      <c r="AB194" s="2336"/>
      <c r="AC194" s="2336"/>
      <c r="AD194" s="2336"/>
      <c r="AE194" s="2336"/>
      <c r="AF194" s="2336"/>
      <c r="AG194" s="2336"/>
      <c r="AH194" s="2336"/>
      <c r="AI194" s="2337"/>
      <c r="BK194" s="659"/>
    </row>
    <row s="8763" customFormat="1" customHeight="1" ht="11.25">
      <c r="D195" s="2342"/>
      <c r="E195" s="2343"/>
      <c r="F195" s="2344"/>
      <c r="G195" s="2147"/>
      <c r="H195" s="1882"/>
      <c r="I195" s="1883"/>
      <c r="J195" s="2336" t="s">
        <v>1495</v>
      </c>
      <c r="K195" s="2336"/>
      <c r="L195" s="2336"/>
      <c r="M195" s="2336"/>
      <c r="N195" s="2336"/>
      <c r="O195" s="2336"/>
      <c r="P195" s="2336"/>
      <c r="Q195" s="2336"/>
      <c r="R195" s="2336"/>
      <c r="S195" s="2336"/>
      <c r="T195" s="2336"/>
      <c r="U195" s="2336"/>
      <c r="V195" s="2336"/>
      <c r="W195" s="2336"/>
      <c r="X195" s="2336"/>
      <c r="Y195" s="2336"/>
      <c r="Z195" s="2336"/>
      <c r="AA195" s="2336"/>
      <c r="AB195" s="2336"/>
      <c r="AC195" s="2336"/>
      <c r="AD195" s="2336"/>
      <c r="AE195" s="2336"/>
      <c r="AF195" s="2336"/>
      <c r="AG195" s="2336"/>
      <c r="AH195" s="2336"/>
      <c r="AI195" s="2337"/>
      <c r="BK195" s="1886"/>
    </row>
    <row s="11403" customFormat="1" customHeight="1" ht="17.25">
      <c r="G196" s="305"/>
      <c r="I196" s="305"/>
      <c r="J196" s="305"/>
      <c r="N196" s="1809"/>
    </row>
    <row s="11403" customFormat="1" customHeight="1" ht="14.25">
      <c r="D197" s="2342"/>
      <c r="E197" s="2343"/>
      <c r="F197" s="2344"/>
      <c r="G197" s="2223"/>
      <c r="H197" s="1911"/>
      <c r="I197" s="2225"/>
      <c r="J197" s="2191"/>
      <c r="K197" s="1812"/>
      <c r="L197" s="2175"/>
      <c r="M197" s="2175"/>
      <c r="N197" s="1896"/>
      <c r="O197" s="2170"/>
      <c r="P197" s="2227"/>
      <c r="Q197" s="1897"/>
      <c r="R197" s="2170"/>
      <c r="S197" s="2170"/>
      <c r="T197" s="1898"/>
      <c r="U197" s="2170"/>
      <c r="V197" s="2221"/>
      <c r="W197" s="1899"/>
      <c r="X197" s="2175"/>
      <c r="Y197" s="2175"/>
      <c r="Z197" s="1896"/>
      <c r="AA197" s="2170"/>
      <c r="AB197" s="2221"/>
      <c r="AC197" s="1900"/>
      <c r="AD197" s="2175"/>
      <c r="AE197" s="2175"/>
      <c r="AF197" s="1811"/>
      <c r="AG197" s="1811"/>
      <c r="AH197" s="1901"/>
      <c r="AI197" s="1589"/>
      <c r="BK197" s="659"/>
    </row>
    <row s="11403" customFormat="1" customHeight="1" ht="14.25">
      <c r="D198" s="2342"/>
      <c r="E198" s="2343"/>
      <c r="F198" s="2344"/>
      <c r="G198" s="2223"/>
      <c r="H198" s="1912"/>
      <c r="I198" s="2226"/>
      <c r="J198" s="2192"/>
      <c r="K198" s="1895"/>
      <c r="L198" s="2176"/>
      <c r="M198" s="2176"/>
      <c r="N198" s="1902"/>
      <c r="O198" s="2171"/>
      <c r="P198" s="2228"/>
      <c r="Q198" s="1903"/>
      <c r="R198" s="2171"/>
      <c r="S198" s="2171"/>
      <c r="T198" s="1904"/>
      <c r="U198" s="2171"/>
      <c r="V198" s="2222"/>
      <c r="W198" s="1905"/>
      <c r="X198" s="2176"/>
      <c r="Y198" s="2176"/>
      <c r="Z198" s="1902"/>
      <c r="AA198" s="2171"/>
      <c r="AB198" s="2222"/>
      <c r="AC198" s="1906"/>
      <c r="AD198" s="2176"/>
      <c r="AE198" s="2176"/>
      <c r="AF198" s="1907"/>
      <c r="AG198" s="1907"/>
      <c r="AH198" s="2219"/>
      <c r="AI198" s="2220"/>
      <c r="BK198" s="659"/>
    </row>
    <row s="11403" customFormat="1" customHeight="1" ht="14.25">
      <c r="D199" s="2342"/>
      <c r="E199" s="2343"/>
      <c r="F199" s="2344"/>
      <c r="G199" s="2223"/>
      <c r="H199" s="1912"/>
      <c r="I199" s="2226"/>
      <c r="J199" s="2192"/>
      <c r="K199" s="1895"/>
      <c r="L199" s="2176"/>
      <c r="M199" s="2176"/>
      <c r="N199" s="1902"/>
      <c r="O199" s="2171"/>
      <c r="P199" s="2228"/>
      <c r="Q199" s="1903"/>
      <c r="R199" s="2171"/>
      <c r="S199" s="2171"/>
      <c r="T199" s="1904"/>
      <c r="U199" s="2171"/>
      <c r="V199" s="2222"/>
      <c r="W199" s="1905"/>
      <c r="X199" s="2176"/>
      <c r="Y199" s="2176"/>
      <c r="Z199" s="1810"/>
      <c r="AA199" s="1907"/>
      <c r="AB199" s="2219"/>
      <c r="AC199" s="2219"/>
      <c r="AD199" s="2219"/>
      <c r="AE199" s="2219"/>
      <c r="AF199" s="2219"/>
      <c r="AG199" s="2219"/>
      <c r="AH199" s="2219"/>
      <c r="AI199" s="2220"/>
      <c r="BK199" s="659"/>
    </row>
    <row s="11403" customFormat="1" customHeight="1" ht="14.25">
      <c r="D200" s="2342"/>
      <c r="E200" s="2343"/>
      <c r="F200" s="2344"/>
      <c r="G200" s="2223"/>
      <c r="H200" s="1912"/>
      <c r="I200" s="2226"/>
      <c r="J200" s="2192"/>
      <c r="K200" s="1895"/>
      <c r="L200" s="2176"/>
      <c r="M200" s="2176"/>
      <c r="N200" s="1902"/>
      <c r="O200" s="2171"/>
      <c r="P200" s="2228"/>
      <c r="Q200" s="1903"/>
      <c r="R200" s="2171"/>
      <c r="S200" s="2171"/>
      <c r="T200" s="1908"/>
      <c r="U200" s="1909"/>
      <c r="V200" s="2219"/>
      <c r="W200" s="2219"/>
      <c r="X200" s="2219"/>
      <c r="Y200" s="2219"/>
      <c r="Z200" s="2219"/>
      <c r="AA200" s="2219"/>
      <c r="AB200" s="2219"/>
      <c r="AC200" s="2219"/>
      <c r="AD200" s="2219"/>
      <c r="AE200" s="2219"/>
      <c r="AF200" s="2219"/>
      <c r="AG200" s="2219"/>
      <c r="AH200" s="2219"/>
      <c r="AI200" s="2220"/>
      <c r="BK200" s="659"/>
    </row>
    <row s="11403" customFormat="1" customHeight="1" ht="11.25">
      <c r="D201" s="2342"/>
      <c r="E201" s="2343"/>
      <c r="F201" s="2344"/>
      <c r="G201" s="2223"/>
      <c r="H201" s="1913"/>
      <c r="I201" s="2226"/>
      <c r="J201" s="2192"/>
      <c r="K201" s="1895"/>
      <c r="L201" s="2176"/>
      <c r="M201" s="2176"/>
      <c r="N201" s="1907"/>
      <c r="O201" s="1907"/>
      <c r="P201" s="2219"/>
      <c r="Q201" s="2219"/>
      <c r="R201" s="2219"/>
      <c r="S201" s="2219"/>
      <c r="T201" s="2219"/>
      <c r="U201" s="2219"/>
      <c r="V201" s="2219"/>
      <c r="W201" s="2219"/>
      <c r="X201" s="2219"/>
      <c r="Y201" s="2219"/>
      <c r="Z201" s="2219"/>
      <c r="AA201" s="2219"/>
      <c r="AB201" s="2219"/>
      <c r="AC201" s="2219"/>
      <c r="AD201" s="2219"/>
      <c r="AE201" s="2219"/>
      <c r="AF201" s="2219"/>
      <c r="AG201" s="2219"/>
      <c r="AH201" s="2219"/>
      <c r="AI201" s="2220"/>
      <c r="BK201" s="659"/>
    </row>
    <row s="8763" customFormat="1" customHeight="1" ht="11.25">
      <c r="D202" s="2342"/>
      <c r="E202" s="2343"/>
      <c r="F202" s="2344"/>
      <c r="G202" s="2231"/>
      <c r="H202" s="1910"/>
      <c r="I202" s="1914"/>
      <c r="J202" s="2234"/>
      <c r="K202" s="2234"/>
      <c r="L202" s="2234"/>
      <c r="M202" s="2234"/>
      <c r="N202" s="2234"/>
      <c r="O202" s="2234"/>
      <c r="P202" s="2234"/>
      <c r="Q202" s="2234"/>
      <c r="R202" s="2234"/>
      <c r="S202" s="2234"/>
      <c r="T202" s="2234"/>
      <c r="U202" s="2234"/>
      <c r="V202" s="2234"/>
      <c r="W202" s="2234"/>
      <c r="X202" s="2234"/>
      <c r="Y202" s="2234"/>
      <c r="Z202" s="2234"/>
      <c r="AA202" s="2234"/>
      <c r="AB202" s="2234"/>
      <c r="AC202" s="2234"/>
      <c r="AD202" s="2234"/>
      <c r="AE202" s="2234"/>
      <c r="AF202" s="2234"/>
      <c r="AG202" s="2234"/>
      <c r="AH202" s="2234"/>
      <c r="AI202" s="2235"/>
      <c r="BK202" s="1886"/>
    </row>
    <row customHeight="1" ht="17.25">
      <c r="A203" s="360"/>
    </row>
  </sheetData>
  <sheetProtection formatColumns="0" formatRows="0" sort="0" autoFilter="0" insertRows="0" insertColumns="1" deleteRows="0" deleteColumns="0"/>
  <mergeCells count="285">
    <mergeCell ref="F60:F61"/>
    <mergeCell ref="G60:G61"/>
    <mergeCell ref="H60:H61"/>
    <mergeCell ref="I60:I61"/>
    <mergeCell ref="J60:J61"/>
    <mergeCell ref="K60:K61"/>
    <mergeCell ref="U109:U111"/>
    <mergeCell ref="V109:V111"/>
    <mergeCell ref="D142:D146"/>
    <mergeCell ref="L60:L61"/>
    <mergeCell ref="G70:G74"/>
    <mergeCell ref="U121:U123"/>
    <mergeCell ref="V121:V123"/>
    <mergeCell ref="O142:O144"/>
    <mergeCell ref="S142:S143"/>
    <mergeCell ref="U60:U61"/>
    <mergeCell ref="V60:V61"/>
    <mergeCell ref="U118:U120"/>
    <mergeCell ref="V118:V120"/>
    <mergeCell ref="P142:P143"/>
    <mergeCell ref="Q142:Q143"/>
    <mergeCell ref="R142:R143"/>
    <mergeCell ref="G142:G146"/>
    <mergeCell ref="K142:K145"/>
    <mergeCell ref="D115:D123"/>
    <mergeCell ref="E115:G115"/>
    <mergeCell ref="H115:R115"/>
    <mergeCell ref="D103:D111"/>
    <mergeCell ref="E103:G103"/>
    <mergeCell ref="H103:R103"/>
    <mergeCell ref="M142:M144"/>
    <mergeCell ref="P71:P73"/>
    <mergeCell ref="Q71:Q73"/>
    <mergeCell ref="R71:R73"/>
    <mergeCell ref="N79:N81"/>
    <mergeCell ref="O79:O81"/>
    <mergeCell ref="P79:P81"/>
    <mergeCell ref="Q79:Q81"/>
    <mergeCell ref="R79:R81"/>
    <mergeCell ref="H135:H136"/>
    <mergeCell ref="I135:I136"/>
    <mergeCell ref="J135:J136"/>
    <mergeCell ref="K135:K136"/>
    <mergeCell ref="AC103:AC108"/>
    <mergeCell ref="E104:G104"/>
    <mergeCell ref="H104:R104"/>
    <mergeCell ref="E105:G105"/>
    <mergeCell ref="E127:E130"/>
    <mergeCell ref="F127:F130"/>
    <mergeCell ref="G127:G130"/>
    <mergeCell ref="L127:M127"/>
    <mergeCell ref="S127:S130"/>
    <mergeCell ref="H128:H129"/>
    <mergeCell ref="I128:I129"/>
    <mergeCell ref="J128:J129"/>
    <mergeCell ref="K128:K129"/>
    <mergeCell ref="H105:R105"/>
    <mergeCell ref="E106:P106"/>
    <mergeCell ref="U106:U108"/>
    <mergeCell ref="V106:V108"/>
    <mergeCell ref="E109:P109"/>
    <mergeCell ref="AC115:AC120"/>
    <mergeCell ref="E116:G116"/>
    <mergeCell ref="H116:R116"/>
    <mergeCell ref="E117:G117"/>
    <mergeCell ref="H117:R117"/>
    <mergeCell ref="E118:P118"/>
    <mergeCell ref="D182:D186"/>
    <mergeCell ref="I142:I145"/>
    <mergeCell ref="H182:H185"/>
    <mergeCell ref="J182:J185"/>
    <mergeCell ref="K182:K185"/>
    <mergeCell ref="M182:M184"/>
    <mergeCell ref="O182:O184"/>
    <mergeCell ref="L182:L184"/>
    <mergeCell ref="L142:L144"/>
    <mergeCell ref="N182:N184"/>
    <mergeCell ref="E142:E146"/>
    <mergeCell ref="N142:N144"/>
    <mergeCell ref="J142:J145"/>
    <mergeCell ref="F142:F146"/>
    <mergeCell ref="E182:E186"/>
    <mergeCell ref="H142:H145"/>
    <mergeCell ref="G182:G186"/>
    <mergeCell ref="H148:H151"/>
    <mergeCell ref="I148:I151"/>
    <mergeCell ref="J148:J151"/>
    <mergeCell ref="K148:K151"/>
    <mergeCell ref="L148:L150"/>
    <mergeCell ref="M148:M150"/>
    <mergeCell ref="N148:N150"/>
    <mergeCell ref="Q182:Q183"/>
    <mergeCell ref="R182:R183"/>
    <mergeCell ref="S182:S183"/>
    <mergeCell ref="P182:P183"/>
    <mergeCell ref="I182:I185"/>
    <mergeCell ref="F182:F186"/>
    <mergeCell ref="A13:A15"/>
    <mergeCell ref="D19:D21"/>
    <mergeCell ref="E19:E21"/>
    <mergeCell ref="F19:F21"/>
    <mergeCell ref="G19:G20"/>
    <mergeCell ref="H19:H20"/>
    <mergeCell ref="I19:I20"/>
    <mergeCell ref="J19:J20"/>
    <mergeCell ref="G25:G26"/>
    <mergeCell ref="H25:H26"/>
    <mergeCell ref="I25:I26"/>
    <mergeCell ref="J25:J26"/>
    <mergeCell ref="M164:M166"/>
    <mergeCell ref="N164:N166"/>
    <mergeCell ref="O164:O166"/>
    <mergeCell ref="P164:P165"/>
    <mergeCell ref="Q164:Q165"/>
    <mergeCell ref="R164:R165"/>
    <mergeCell ref="Y60:Y61"/>
    <mergeCell ref="S60:S61"/>
    <mergeCell ref="T60:T61"/>
    <mergeCell ref="M60:M61"/>
    <mergeCell ref="N60:N61"/>
    <mergeCell ref="O60:O61"/>
    <mergeCell ref="Q60:Q61"/>
    <mergeCell ref="R60:R61"/>
    <mergeCell ref="W60:W61"/>
    <mergeCell ref="X60:X61"/>
    <mergeCell ref="P60:P61"/>
    <mergeCell ref="AJ70:AJ74"/>
    <mergeCell ref="AK70:AK74"/>
    <mergeCell ref="I75:K75"/>
    <mergeCell ref="F70:F75"/>
    <mergeCell ref="AF70:AF74"/>
    <mergeCell ref="AG70:AG74"/>
    <mergeCell ref="AH70:AH74"/>
    <mergeCell ref="AI70:AI74"/>
    <mergeCell ref="S71:S73"/>
    <mergeCell ref="T71:T73"/>
    <mergeCell ref="U71:U73"/>
    <mergeCell ref="V71:V73"/>
    <mergeCell ref="W71:W73"/>
    <mergeCell ref="X71:X73"/>
    <mergeCell ref="Y71:Y73"/>
    <mergeCell ref="H70:H74"/>
    <mergeCell ref="I70:I74"/>
    <mergeCell ref="J70:J74"/>
    <mergeCell ref="K70:K74"/>
    <mergeCell ref="L70:L74"/>
    <mergeCell ref="M70:M74"/>
    <mergeCell ref="N71:N73"/>
    <mergeCell ref="O71:O73"/>
    <mergeCell ref="W164:W165"/>
    <mergeCell ref="D164:D168"/>
    <mergeCell ref="E164:E168"/>
    <mergeCell ref="F164:F168"/>
    <mergeCell ref="G164:G168"/>
    <mergeCell ref="H164:H167"/>
    <mergeCell ref="I164:I167"/>
    <mergeCell ref="J164:J167"/>
    <mergeCell ref="K164:K167"/>
    <mergeCell ref="L164:L166"/>
    <mergeCell ref="R190:R193"/>
    <mergeCell ref="S190:S193"/>
    <mergeCell ref="U190:U192"/>
    <mergeCell ref="V190:V192"/>
    <mergeCell ref="X190:X192"/>
    <mergeCell ref="Y190:Y192"/>
    <mergeCell ref="AA190:AA191"/>
    <mergeCell ref="AB190:AB191"/>
    <mergeCell ref="D190:D195"/>
    <mergeCell ref="E190:E195"/>
    <mergeCell ref="F190:F195"/>
    <mergeCell ref="G190:G195"/>
    <mergeCell ref="I190:I194"/>
    <mergeCell ref="J190:J194"/>
    <mergeCell ref="L190:L194"/>
    <mergeCell ref="M190:M194"/>
    <mergeCell ref="O190:O193"/>
    <mergeCell ref="D197:D202"/>
    <mergeCell ref="E197:E202"/>
    <mergeCell ref="F197:F202"/>
    <mergeCell ref="G197:G202"/>
    <mergeCell ref="I197:I201"/>
    <mergeCell ref="J197:J201"/>
    <mergeCell ref="L197:L201"/>
    <mergeCell ref="M197:M201"/>
    <mergeCell ref="O197:O200"/>
    <mergeCell ref="AB197:AB198"/>
    <mergeCell ref="AD197:AD198"/>
    <mergeCell ref="AE197:AE198"/>
    <mergeCell ref="AH198:AI198"/>
    <mergeCell ref="AB199:AI199"/>
    <mergeCell ref="V200:AI200"/>
    <mergeCell ref="P201:AI201"/>
    <mergeCell ref="J202:AI202"/>
    <mergeCell ref="AD190:AD191"/>
    <mergeCell ref="AE190:AE191"/>
    <mergeCell ref="AH191:AI191"/>
    <mergeCell ref="AB192:AI192"/>
    <mergeCell ref="V193:AI193"/>
    <mergeCell ref="P194:AI194"/>
    <mergeCell ref="J195:AI195"/>
    <mergeCell ref="P197:P200"/>
    <mergeCell ref="R197:R200"/>
    <mergeCell ref="S197:S200"/>
    <mergeCell ref="U197:U199"/>
    <mergeCell ref="V197:V199"/>
    <mergeCell ref="X197:X199"/>
    <mergeCell ref="Y197:Y199"/>
    <mergeCell ref="AA197:AA198"/>
    <mergeCell ref="P190:P193"/>
    <mergeCell ref="S79:S81"/>
    <mergeCell ref="T79:T81"/>
    <mergeCell ref="U79:U81"/>
    <mergeCell ref="V79:V81"/>
    <mergeCell ref="W79:W81"/>
    <mergeCell ref="X79:X81"/>
    <mergeCell ref="Y79:Y81"/>
    <mergeCell ref="H89:H93"/>
    <mergeCell ref="I89:I93"/>
    <mergeCell ref="J89:J93"/>
    <mergeCell ref="K89:K93"/>
    <mergeCell ref="L89:L93"/>
    <mergeCell ref="M89:M93"/>
    <mergeCell ref="AF89:AF93"/>
    <mergeCell ref="AG89:AG93"/>
    <mergeCell ref="AH89:AH93"/>
    <mergeCell ref="AI89:AI93"/>
    <mergeCell ref="AJ89:AJ93"/>
    <mergeCell ref="AK89:AK93"/>
    <mergeCell ref="N90:N92"/>
    <mergeCell ref="O90:O92"/>
    <mergeCell ref="P90:P92"/>
    <mergeCell ref="Q90:Q92"/>
    <mergeCell ref="R90:R92"/>
    <mergeCell ref="S90:S92"/>
    <mergeCell ref="T90:T92"/>
    <mergeCell ref="U90:U92"/>
    <mergeCell ref="V90:V92"/>
    <mergeCell ref="W90:W92"/>
    <mergeCell ref="X90:X92"/>
    <mergeCell ref="Y90:Y92"/>
    <mergeCell ref="O148:O150"/>
    <mergeCell ref="P148:P149"/>
    <mergeCell ref="Q148:Q149"/>
    <mergeCell ref="R148:R149"/>
    <mergeCell ref="S148:S149"/>
    <mergeCell ref="L153:L155"/>
    <mergeCell ref="M153:M155"/>
    <mergeCell ref="N153:N155"/>
    <mergeCell ref="O153:O155"/>
    <mergeCell ref="P153:P154"/>
    <mergeCell ref="Q153:Q154"/>
    <mergeCell ref="R153:R154"/>
    <mergeCell ref="S153:S154"/>
    <mergeCell ref="P157:P158"/>
    <mergeCell ref="Q157:Q158"/>
    <mergeCell ref="R157:R158"/>
    <mergeCell ref="S157:S158"/>
    <mergeCell ref="H170:H173"/>
    <mergeCell ref="I170:I173"/>
    <mergeCell ref="J170:J173"/>
    <mergeCell ref="K170:K173"/>
    <mergeCell ref="L170:L172"/>
    <mergeCell ref="M170:M172"/>
    <mergeCell ref="N170:N172"/>
    <mergeCell ref="O170:O172"/>
    <mergeCell ref="P170:P171"/>
    <mergeCell ref="Q170:Q171"/>
    <mergeCell ref="R170:R171"/>
    <mergeCell ref="S170:S171"/>
    <mergeCell ref="S164:S165"/>
    <mergeCell ref="P179:P180"/>
    <mergeCell ref="Q179:Q180"/>
    <mergeCell ref="R179:R180"/>
    <mergeCell ref="S179:S180"/>
    <mergeCell ref="W179:W180"/>
    <mergeCell ref="W170:W171"/>
    <mergeCell ref="L175:L177"/>
    <mergeCell ref="M175:M177"/>
    <mergeCell ref="N175:N177"/>
    <mergeCell ref="O175:O177"/>
    <mergeCell ref="P175:P176"/>
    <mergeCell ref="Q175:Q176"/>
    <mergeCell ref="R175:R176"/>
    <mergeCell ref="S175:S176"/>
    <mergeCell ref="W175:W176"/>
  </mergeCells>
  <dataValidations count="19">
    <dataValidation type="textLength" operator="lessThanOrEqual" allowBlank="1" showInputMessage="1" showErrorMessage="1" errorTitle="Ошибка" error="Допускается ввод не более 900 символов!" sqref="L60:M60 E8 J182:J183 R182:R183 U60:W60 V182:W182 AB60 G13 M30 E35 E39:F39 E48 E52:F52 E56 G56 Q60:S60 M70 K70:K73 V142:W142 J142:J143 R142:R143 V164:W164 J164:J165 R164:R165 AI190 J190:J194 P190:P193 AI197 J197:J201 P197:P200 E4 L65:M65 U65:W65 AB65 Q65:S65 V160:W160 J160 R160 K79:K81 M89 K89:K92 K85 V148:W148 J148:J149 R148:R149 V153:W153 J153:J154 R153:R154 V157:W157 J157:J158 R157:R158 V170:W170 J170:J171 R170:R171 V175:W175 J175:J176 R175:R176 V179:W179 J179:J180 R179:R180">
      <formula1>900</formula1>
    </dataValidation>
    <dataValidation allowBlank="1" showInputMessage="1" showErrorMessage="1" prompt="Для выбора выполните двойной щелчок левой клавиши мыши по соответствующей ячейке." sqref="K182:K183 O182:O183 S142:S143 S182:S183 O142 K142 F153:F155 S164:S165 O164 K164 F160 K148 S148:S149 O148 F142:F146 K153 S153:S154 O153 O179 K157 S157:S158 O157 F148:F151 K170 S170:S171 O170 F164:F168 F170:F173 S175:S176 O175 F175:F177 F179:F180 S179:S180 F157:F158"/>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52 T60 I60:J60 X60 T65 I65:J65 X65"/>
    <dataValidation type="decimal" allowBlank="1" showErrorMessage="1" errorTitle="Ошибка" error="Допускается ввод только неотрицательных чисел!" sqref="M48 K48 Q48 O48 Q128 O128 AC72 AE72 AC80 AE80 AE85 AE91 AC91 AC85 Q135 O135 O138 Q138">
      <formula1>0</formula1>
      <formula2>9.99999999999999E+23</formula2>
    </dataValidation>
    <dataValidation allowBlank="1" showInputMessage="1" showErrorMessage="1" prompt="Выберите виды деятельности, выполнив двойной щелчок левой кнопки мыши по ячейке." sqref="G153:G155 G160 G142:G146 G179:G180 G148:G151 G164:G168 G170:G173 G175:G177 G157:G158"/>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82:N184">
      <formula1>DESCRIPTION_TERRITORY</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K44 H52 F56">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35 I70:J73 K60 K65 I85:J85 I89:J92">
      <formula1>"a"</formula1>
    </dataValidation>
    <dataValidation type="textLength" operator="lessThan" allowBlank="1" showInputMessage="1" showErrorMessage="1" error="Допускается ввод не более 900 символов!" sqref="M25 M19">
      <formula1>900</formula1>
    </dataValidation>
    <dataValidation type="list" allowBlank="1" showInputMessage="1" showErrorMessage="1" sqref="I30">
      <formula1>DESCRIPTION_TERRITORY</formula1>
    </dataValidation>
    <dataValidation allowBlank="1" showInputMessage="1" showErrorMessage="1" prompt="Изменение значения по двойному щелчоку левой кнопки мыши" sqref="J44"/>
    <dataValidation type="list" allowBlank="1" showInputMessage="1" showErrorMessage="1" errorTitle="Ошибка" error="Выберите значение из списка" prompt="Выберите значение из списка" sqref="L48">
      <formula1>kind_of_power_te_unit</formula1>
    </dataValidation>
    <dataValidation type="whole" allowBlank="1" showErrorMessage="1" errorTitle="Ошибка" error="Допускается ввод только неотрицательных целых чисел!" sqref="P48 N48 X48:Z48 R48:V48 AB48:AC48 H48:J48 AF70:AF74 AI70:AI74 AF79:AF81 AI79:AI81 AF89:AF93 AI89:AI93 AF85 AI85">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48"/>
    <dataValidation allowBlank="1" showInputMessage="1" showErrorMessage="1" promptTitle="Ввод" prompt="Для выбора ИП необходимо два раза нажать левую кнопку мыши!" sqref="G60 G65"/>
    <dataValidation type="list" allowBlank="1" showInputMessage="1" showErrorMessage="1" errorTitle="Ошибка" error="Выберите значение из списка" prompt="Выберите значение из списка" sqref="J128:J129 J135:J136 J138">
      <formula1>kind_of_purchase_method</formula1>
    </dataValidation>
    <dataValidation type="list" allowBlank="1" showInputMessage="1" showErrorMessage="1" errorTitle="Ошибка" error="Выберите значение из списка" prompt="Выберите значение из списка" sqref="H98">
      <formula1>QRE_METHOD_LIST</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42:N144 N164:N166 N148:N150 N153:N155 N157:N158 N170:N172 N175:N177 N179:N180"/>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190 AC197">
      <formula1>list_typeTKO</formula1>
    </dataValidation>
  </dataValidations>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9E70CEE-C8BB-EB9D-8A7C-BD0530BF17CA}" mc:Ignorable="x14ac xr xr2 xr3">
  <sheetPr>
    <tabColor theme="6" tint="0.4"/>
    <pageSetUpPr fitToPage="1"/>
  </sheetPr>
  <dimension ref="A1:P31"/>
  <sheetViews>
    <sheetView topLeftCell="C4" showGridLines="0" zoomScale="90" workbookViewId="0">
      <selection activeCell="A1" sqref="A1"/>
    </sheetView>
  </sheetViews>
  <sheetFormatPr defaultColWidth="10.57421875" customHeight="1" defaultRowHeight="14.25"/>
  <cols>
    <col min="1" max="1" style="11241" width="9.140625" hidden="1" customWidth="1"/>
    <col min="2" max="2" style="11074" width="9.140625" hidden="1" customWidth="1"/>
    <col min="3" max="3" style="10046" width="3.7109375" customWidth="1"/>
    <col min="4" max="4" style="11126" width="6.28125" customWidth="1"/>
    <col min="5" max="6" style="11126" width="64.140625" customWidth="1"/>
    <col min="7" max="7" style="11126" width="141.140625" customWidth="1"/>
    <col min="8" max="8" style="11126" width="10.57421875"/>
    <col min="9" max="10" style="11318" width="10.57421875"/>
    <col min="11" max="16" style="11126" width="10.57421875"/>
  </cols>
  <sheetData>
    <row customHeight="1" ht="14.25" hidden="1">
      <c r="M1" s="463"/>
      <c r="N1" s="463"/>
      <c r="P1" s="463"/>
    </row>
    <row customHeight="1" ht="14.25" hidden="1"/>
    <row customHeight="1" ht="14.25" hidden="1"/>
    <row customHeight="1" ht="3">
      <c r="C4" s="300"/>
      <c r="D4" s="286"/>
      <c r="E4" s="286"/>
      <c r="F4" s="287"/>
      <c r="G4" s="287"/>
    </row>
    <row customHeight="1" ht="25.5">
      <c r="C5" s="300"/>
      <c r="D5" s="2401" t="str">
        <f>TERMS_NAME_FORM</f>
        <v>Форма 17. Информация об условиях, на которых осуществляется поставка товаров (оказание услуг) в сфере теплоснабжения, цены (тарифы) на которые подлежат регулированию, и (или) условиях договоров о подключении (технологическом присоединении) к системе теплоснабжения содержит сведения об условиях публичных договоров регулируемых организаций, а также сведения о договорах, заключенных в соответствии с частями 2.1 и 2.2 статьи 8 Федерального закона "О теплоснабжении", Информация об условиях, на которых осуществляется поставка товаров (оказание услуг) по ценам, определяемым по соглашению сторон в соответствии с Федеральным законом "О теплоснабжении", и (или) условиях договоров о подключении (технологическом присоединении) к системе теплоснабжения включает сведения об условиях публичных договоров, заключаемых единой теплоснабжающей организацией в ценовых зонах теплоснабжения</v>
      </c>
      <c r="E5" s="2402"/>
      <c r="F5" s="2402"/>
      <c r="G5" s="2403"/>
    </row>
    <row s="11126" customFormat="1" customHeight="1" ht="18">
      <c r="A6" s="1131"/>
      <c r="B6" s="653"/>
      <c r="C6" s="602"/>
      <c r="D6" s="2404" t="str">
        <f>IF(org=0,"Не определено",org)</f>
        <v>ООО "СамРЭК-Тепло Жигулевск"</v>
      </c>
      <c r="E6" s="2405"/>
      <c r="F6" s="2405"/>
      <c r="G6" s="2406"/>
      <c r="I6" s="737"/>
      <c r="J6" s="737"/>
    </row>
    <row customHeight="1" ht="14.25">
      <c r="C7" s="300"/>
      <c r="D7" s="286"/>
      <c r="E7" s="299"/>
      <c r="F7" s="991"/>
      <c r="G7" s="400"/>
    </row>
    <row s="11126" customFormat="1" customHeight="1" ht="0.75">
      <c r="A8" s="1982"/>
      <c r="B8" s="1421"/>
      <c r="C8" s="602"/>
      <c r="D8" s="586"/>
      <c r="E8" s="621"/>
      <c r="F8" s="991"/>
      <c r="G8" s="400"/>
      <c r="I8" s="1937"/>
      <c r="J8" s="1937"/>
    </row>
    <row customHeight="1" ht="14.25">
      <c r="C9" s="300"/>
      <c r="D9" s="2301" t="s">
        <v>362</v>
      </c>
      <c r="E9" s="2301"/>
      <c r="F9" s="2301"/>
      <c r="G9" s="2407" t="s">
        <v>363</v>
      </c>
    </row>
    <row customHeight="1" ht="14.25">
      <c r="C10" s="300"/>
      <c r="D10" s="310" t="s">
        <v>88</v>
      </c>
      <c r="E10" s="313" t="s">
        <v>364</v>
      </c>
      <c r="F10" s="313" t="s">
        <v>454</v>
      </c>
      <c r="G10" s="2407"/>
    </row>
    <row customHeight="1" ht="12" hidden="1">
      <c r="C11" s="300"/>
      <c r="D11" s="289"/>
      <c r="E11" s="289"/>
      <c r="F11" s="289"/>
      <c r="G11" s="289"/>
    </row>
    <row customHeight="1" ht="62.25">
      <c r="A12" s="399"/>
      <c r="C12" s="300"/>
      <c r="D12" s="353">
        <v>1</v>
      </c>
      <c r="E12" s="404" t="str">
        <f>TERMS_P_1</f>
        <v>Сведения об условиях публичных договоров регулируемых организаций,  сведения об условиях публичных договоров, заключаемых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в том числе</v>
      </c>
      <c r="F12" s="405" t="s">
        <v>368</v>
      </c>
      <c r="G12" s="357"/>
    </row>
    <row customHeight="1" ht="22.5">
      <c r="A13" s="399"/>
      <c r="C13" s="300"/>
      <c r="D13" s="353" t="s">
        <v>685</v>
      </c>
      <c r="E13" s="401" t="str">
        <f>"Форма публичного договора "&amp;IF(TEMPLATE_SPHERE="TKO","на оказание регулируемых услуг","поставки товаров (оказания услуг)")&amp;IF(OR(TEMPLATE_SPHERE&lt;&gt;"HEAT",TEMPLATE_SPHERE&lt;&gt;"TKO"),", тарифы на которые подлежат регулированию","")</f>
        <v>Форма публичного договора поставки товаров (оказания услуг), тарифы на которые подлежат регулированию</v>
      </c>
      <c r="F13" s="405" t="s">
        <v>368</v>
      </c>
      <c r="G13" s="357"/>
    </row>
    <row customHeight="1" ht="14.25">
      <c r="A14" s="399"/>
      <c r="C14" s="300"/>
      <c r="D14" s="353" t="s">
        <v>1501</v>
      </c>
      <c r="E14" s="3995"/>
      <c r="F14" s="421"/>
      <c r="G14" s="2287" t="str">
        <f>"Указывается форма "&amp;IF(TEMPLATE_SPHERE="TKO","публичного ","")&amp;"договора, "&amp;IF(TEMPLATE_SPHERE="HEAT","","используемая регулируемой организацией, ")&amp;"в виде ссылки на документ, предварительно загруженный в хранилище файлов ФГИС ЕИАС"&amp;IF(TEMPLATE_SPHERE="TKO",", либо ссылка на официальный сайт в сети ""Интернет"", на котором размещена информация","")&amp;".
В случае наличия нескольких форм таких договоров информация по каждой из них указывается в отдельной строке."</f>
        <v>Указывается форма договора, в виде ссылки на документ, предварительно загруженный в хранилище файлов ФГИС ЕИАС.
В случае наличия нескольких форм таких договоров информация по каждой из них указывается в отдельной строке.</v>
      </c>
    </row>
    <row customHeight="1" ht="15">
      <c r="A15" s="399"/>
      <c r="C15" s="300"/>
      <c r="D15" s="314"/>
      <c r="E15" s="570" t="s">
        <v>1502</v>
      </c>
      <c r="F15" s="408"/>
      <c r="G15" s="2289"/>
    </row>
    <row customHeight="1" ht="14.25">
      <c r="A16" s="399"/>
      <c r="C16" s="300"/>
      <c r="D16" s="353" t="s">
        <v>691</v>
      </c>
      <c r="E16" s="401" t="str">
        <f>"Договор о подключении (технологическом присоединении) к"&amp;IF(TEMPLATE_SPHERE="HEAT",""," централизованной")&amp;" системе "&amp;TEMPLATE_SPHERE_RUS</f>
        <v>Договор о подключении (технологическом присоединении) к системе теплоснабжения</v>
      </c>
      <c r="F16" s="405" t="s">
        <v>368</v>
      </c>
      <c r="G16" s="558"/>
    </row>
    <row customHeight="1" ht="14.25">
      <c r="A17" s="399"/>
      <c r="C17" s="300"/>
      <c r="D17" s="353" t="s">
        <v>1503</v>
      </c>
      <c r="E17" s="3995"/>
      <c r="F17" s="616"/>
      <c r="G17" s="2287" t="str">
        <f>"Информация размещается в случае, если"&amp;IF(TEMPLATE_SPHERE="HEAT",""," регулируемая"&amp;" организация осуществляет услуги по подключению (технологическому присоединению) к системе "&amp;TEMPLATE_SPHERE_RUS&amp;".
Указывается ссылка на документ, предварительно загруженный в хранилище файлов ФГИС ЕИАС.
В случае наличия нескольких договоров о подключении к"&amp;IF(TEMPLATE_SPHERE="HEAT",""," централизованной"&amp;" системе "&amp;TEMPLATE_SPHERE_RUS&amp;" информация по каждому из них указывается в отдельной строке."))</f>
        <v>Информация размещается в случае, если</v>
      </c>
    </row>
    <row s="11126" customFormat="1" customHeight="1" ht="21">
      <c r="A18" s="564"/>
      <c r="B18" s="352"/>
      <c r="C18" s="518"/>
      <c r="D18" s="568"/>
      <c r="E18" s="570" t="s">
        <v>1504</v>
      </c>
      <c r="F18" s="559"/>
      <c r="G18" s="2289"/>
      <c r="I18" s="571"/>
      <c r="J18" s="571"/>
    </row>
    <row s="11126" customFormat="1" customHeight="1" ht="256.5" hidden="1">
      <c r="A19" s="564"/>
      <c r="B19" s="653"/>
      <c r="C19" s="602"/>
      <c r="D19" s="1133" t="s">
        <v>1505</v>
      </c>
      <c r="E19" s="1132" t="s">
        <v>1506</v>
      </c>
      <c r="F19" s="616"/>
      <c r="G19" s="558" t="s">
        <v>1507</v>
      </c>
      <c r="I19" s="737"/>
      <c r="J19" s="737"/>
    </row>
    <row s="11126" customFormat="1" customHeight="1" ht="14.25">
      <c r="A20" s="564"/>
      <c r="B20" s="352"/>
      <c r="C20" s="518"/>
      <c r="D20" s="1134">
        <v>2</v>
      </c>
      <c r="E20" s="551" t="s">
        <v>1508</v>
      </c>
      <c r="F20" s="405" t="s">
        <v>368</v>
      </c>
      <c r="G20" s="558"/>
      <c r="I20" s="571"/>
      <c r="J20" s="571"/>
    </row>
    <row s="11126" customFormat="1" customHeight="1" ht="18.75" hidden="1">
      <c r="A21" s="564"/>
      <c r="B21" s="352"/>
      <c r="C21" s="518"/>
      <c r="D21" s="554" t="s">
        <v>1509</v>
      </c>
      <c r="E21" s="4011"/>
      <c r="F21" s="552"/>
      <c r="G21" s="562"/>
      <c r="H21" s="555"/>
      <c r="I21" s="571"/>
      <c r="J21" s="571"/>
    </row>
    <row customHeight="1" ht="15">
      <c r="A22" s="399"/>
      <c r="C22" s="300"/>
      <c r="D22" s="314"/>
      <c r="E22" s="410" t="s">
        <v>1510</v>
      </c>
      <c r="F22" s="559"/>
      <c r="G22" s="560"/>
    </row>
    <row s="11126" customFormat="1" customHeight="1" ht="22.5" hidden="1">
      <c r="A23" s="564"/>
      <c r="B23" s="1421"/>
      <c r="C23" s="602"/>
      <c r="D23" s="1986" t="s">
        <v>110</v>
      </c>
      <c r="E23" s="404" t="s">
        <v>1511</v>
      </c>
      <c r="F23" s="1983" t="s">
        <v>368</v>
      </c>
      <c r="G23" s="566"/>
      <c r="I23" s="1937"/>
      <c r="J23" s="1937"/>
    </row>
    <row s="11126" customFormat="1" customHeight="1" ht="14.25" hidden="1">
      <c r="A24" s="564"/>
      <c r="B24" s="1421"/>
      <c r="C24" s="602"/>
      <c r="D24" s="1986" t="s">
        <v>570</v>
      </c>
      <c r="E24" s="1985" t="s">
        <v>1512</v>
      </c>
      <c r="F24" s="1983" t="s">
        <v>368</v>
      </c>
      <c r="G24" s="558"/>
      <c r="I24" s="1937"/>
      <c r="J24" s="1937"/>
    </row>
    <row s="11126" customFormat="1" customHeight="1" ht="14.25" hidden="1">
      <c r="A25" s="564"/>
      <c r="B25" s="1421"/>
      <c r="C25" s="602"/>
      <c r="D25" s="1986" t="s">
        <v>1513</v>
      </c>
      <c r="E25" s="3995"/>
      <c r="F25" s="616"/>
      <c r="G25" s="2287" t="s">
        <v>1514</v>
      </c>
      <c r="I25" s="1937"/>
      <c r="J25" s="1937"/>
    </row>
    <row s="11126" customFormat="1" customHeight="1" ht="22.5" hidden="1">
      <c r="A26" s="564"/>
      <c r="B26" s="1421"/>
      <c r="C26" s="602"/>
      <c r="D26" s="568"/>
      <c r="E26" s="570" t="s">
        <v>1515</v>
      </c>
      <c r="F26" s="559"/>
      <c r="G26" s="2289"/>
      <c r="I26" s="1937"/>
      <c r="J26" s="1937"/>
    </row>
    <row customHeight="1" ht="3"/>
    <row customHeight="1" ht="14.25">
      <c r="D28" s="557"/>
      <c r="E28" s="556"/>
      <c r="F28" s="529"/>
      <c r="G28" s="529"/>
      <c r="H28" s="529"/>
      <c r="I28" s="529"/>
      <c r="J28" s="529"/>
      <c r="K28" s="529"/>
      <c r="L28" s="529"/>
      <c r="M28" s="529"/>
      <c r="N28" s="529"/>
      <c r="O28" s="529"/>
      <c r="P28" s="529"/>
    </row>
    <row customHeight="1" ht="14.25">
      <c r="D29" s="557"/>
      <c r="E29" s="819"/>
    </row>
    <row r="31" customHeight="1" ht="14.25">
      <c r="E31" s="997"/>
    </row>
  </sheetData>
  <sheetProtection formatColumns="0" formatRows="0" autoFilter="0" sort="0" insertRows="0" insertColumns="1" deleteRows="0" deleteColumns="0"/>
  <mergeCells count="7">
    <mergeCell ref="D5:G5"/>
    <mergeCell ref="D6:G6"/>
    <mergeCell ref="G25:G26"/>
    <mergeCell ref="G17:G18"/>
    <mergeCell ref="D9:F9"/>
    <mergeCell ref="G9:G10"/>
    <mergeCell ref="G14:G15"/>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F14 F17:F19 F25:F26">
      <formula1>900</formula1>
    </dataValidation>
    <dataValidation type="textLength" operator="lessThanOrEqual" allowBlank="1" showInputMessage="1" showErrorMessage="1" errorTitle="Ошибка" error="Допускается ввод не более 900 символов!" sqref="G14 G25 E17 E14 G17 G21 E25">
      <formula1>900</formula1>
    </dataValidation>
  </dataValidations>
  <printOptions horizontalCentered="1" verticalCentered="1"/>
  <pageMargins left="0.00" right="0.00" top="0.00" bottom="0.00" header="0.00" footer="0.79"/>
  <pageSetup paperSize="9" scale="38" fitToHeight="0" pageOrder="downThenOver" orientation="portrait" blackAndWhite="1"/>
  <headerFooter>
    <oddHeader>&amp;L&amp;C&amp;R</oddHeader>
    <oddFooter>&amp;L&amp;C&amp;R</oddFooter>
    <evenHeader>&amp;L&amp;C&amp;R</evenHeader>
    <evenFooter>&amp;L&amp;C&amp;R</even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057C072-0A23-2FF6-1BB9-9F9EAF96C3AA}" mc:Ignorable="x14ac xr xr2 xr3">
  <sheetPr>
    <tabColor theme="6" tint="0.4"/>
  </sheetPr>
  <dimension ref="A1:AR64"/>
  <sheetViews>
    <sheetView topLeftCell="P25" showGridLines="0" zoomScale="90" workbookViewId="0">
      <selection activeCell="A1" sqref="A1"/>
    </sheetView>
  </sheetViews>
  <sheetFormatPr defaultColWidth="10.57421875" customHeight="1" defaultRowHeight="14.25"/>
  <cols>
    <col min="1" max="1" style="11074" width="10.57421875" hidden="1"/>
    <col min="2" max="2" style="11074" width="11.00390625" hidden="1" customWidth="1"/>
    <col min="3" max="3" style="11074" width="10.57421875" hidden="1"/>
    <col min="4" max="4" style="11074" width="11.8515625" hidden="1" customWidth="1"/>
    <col min="5" max="5" style="11074" width="10.00390625" hidden="1" customWidth="1"/>
    <col min="6" max="6" style="11074" width="8.7109375" hidden="1" customWidth="1"/>
    <col min="7" max="7" style="11074" width="7.57421875" hidden="1" customWidth="1"/>
    <col min="8" max="8" style="11074" width="11.421875" hidden="1" customWidth="1"/>
    <col min="9" max="9" style="11074" width="12.00390625" hidden="1" customWidth="1"/>
    <col min="10" max="10" style="11074" width="9.8515625" hidden="1" customWidth="1"/>
    <col min="11" max="11" style="11074" width="11.421875" hidden="1" customWidth="1"/>
    <col min="12" max="12" style="11240" width="19.140625" hidden="1" customWidth="1"/>
    <col min="13" max="14" style="9887" width="12.28125" hidden="1" customWidth="1"/>
    <col min="15" max="15" style="9887" width="23.421875" hidden="1" customWidth="1"/>
    <col min="16" max="16" style="11241" width="3.7109375" customWidth="1"/>
    <col min="17" max="18" style="10046" width="3.7109375" customWidth="1"/>
    <col min="19" max="19" style="11124" width="12.7109375" customWidth="1"/>
    <col min="20" max="20" style="11126" width="35.7109375" customWidth="1"/>
    <col min="21" max="21" style="11126" width="0.140625" customWidth="1"/>
    <col min="22" max="22" style="11126" width="24.7109375" hidden="1" customWidth="1"/>
    <col min="23" max="23" style="11126" width="0.140625" hidden="1" customWidth="1"/>
    <col min="24" max="25" style="11126" width="24.7109375" hidden="1" customWidth="1"/>
    <col min="26" max="26" style="11126" width="11.7109375" hidden="1" customWidth="1"/>
    <col min="27" max="27" style="11126" width="3.7109375" hidden="1" customWidth="1"/>
    <col min="28" max="28" style="11126" width="11.7109375" hidden="1" customWidth="1"/>
    <col min="29" max="29" style="11126" width="8.57421875" hidden="1" customWidth="1"/>
    <col min="30" max="30" style="11126" width="24.7109375" customWidth="1"/>
    <col min="31" max="31" style="11126" width="0.140625" customWidth="1"/>
    <col min="32" max="33" style="11126" width="24.7109375" customWidth="1"/>
    <col min="34" max="34" style="11126" width="11.7109375" customWidth="1"/>
    <col min="35" max="35" style="11126" width="3.7109375" customWidth="1"/>
    <col min="36" max="36" style="11126" width="11.7109375" customWidth="1"/>
    <col min="37" max="37" style="11126" width="8.57421875" hidden="1" customWidth="1"/>
    <col min="38" max="38" style="11126" width="4.7109375" customWidth="1"/>
    <col min="39" max="39" style="11126" width="115.7109375" customWidth="1"/>
    <col min="40" max="41" style="10863" width="10.57421875"/>
    <col min="42" max="42" style="10863" width="11.140625" customWidth="1"/>
    <col min="43" max="44" style="10863" width="10.57421875"/>
  </cols>
  <sheetData>
    <row customHeight="1" ht="14.25" hidden="1">
      <c r="Y1" s="548"/>
      <c r="Z1" s="548"/>
      <c r="AG1" s="548"/>
      <c r="AH1" s="548"/>
    </row>
    <row customHeight="1" ht="21" hidden="1">
      <c r="A2" s="1659"/>
      <c r="B2" s="1659"/>
      <c r="C2" s="1659"/>
      <c r="D2" s="1659"/>
      <c r="E2" s="2424">
        <v>1</v>
      </c>
      <c r="F2" s="1659"/>
      <c r="G2" s="1659"/>
      <c r="H2" s="1659"/>
      <c r="I2" s="1659"/>
      <c r="J2" s="1659"/>
      <c r="K2" s="1659"/>
      <c r="L2" s="1660"/>
      <c r="M2" s="1661"/>
      <c r="N2" s="1661"/>
      <c r="O2" s="1661"/>
      <c r="P2" s="582"/>
      <c r="Q2" s="581"/>
      <c r="R2" s="576"/>
      <c r="S2" s="1604">
        <f>INDEX(PT_DIFFERENTIATION_NUM_NTAR,MATCH(A2,PT_DIFFERENTIATION_NTAR_ID,0))</f>
      </c>
      <c r="T2" s="508" t="s">
        <v>200</v>
      </c>
      <c r="U2" s="510"/>
      <c r="V2" s="4037"/>
      <c r="W2" s="4038"/>
      <c r="X2" s="4038"/>
      <c r="Y2" s="4038"/>
      <c r="Z2" s="4038"/>
      <c r="AA2" s="4038"/>
      <c r="AB2" s="4038"/>
      <c r="AC2" s="4039"/>
      <c r="AD2" s="4037">
        <f>INDEX(PT_DIFFERENTIATION_NTAR,MATCH(A2,PT_DIFFERENTIATION_NTAR_ID,0))</f>
      </c>
      <c r="AE2" s="4038"/>
      <c r="AF2" s="4038"/>
      <c r="AG2" s="4038"/>
      <c r="AH2" s="4038"/>
      <c r="AI2" s="4038"/>
      <c r="AJ2" s="4038"/>
      <c r="AK2" s="4038"/>
      <c r="AL2" s="4039"/>
      <c r="AM2" s="1546" t="s">
        <v>1516</v>
      </c>
      <c r="AO2" s="737"/>
      <c r="AP2" s="737" t="str">
        <f>IF(T2="","",T2)</f>
        <v>Наименование тарифа</v>
      </c>
      <c r="AQ2" s="737"/>
      <c r="AR2" s="737"/>
    </row>
    <row customHeight="1" ht="21" hidden="1">
      <c r="A3" s="1659"/>
      <c r="B3" s="1659"/>
      <c r="C3" s="1659"/>
      <c r="D3" s="1659"/>
      <c r="E3" s="2425"/>
      <c r="F3" s="2424">
        <v>1</v>
      </c>
      <c r="G3" s="1659"/>
      <c r="H3" s="1659"/>
      <c r="I3" s="1659"/>
      <c r="J3" s="1659"/>
      <c r="K3" s="1659"/>
      <c r="L3" s="1660"/>
      <c r="M3" s="1661"/>
      <c r="N3" s="1661"/>
      <c r="O3" s="1661"/>
      <c r="P3" s="1599"/>
      <c r="Q3" s="573"/>
      <c r="R3" s="574"/>
      <c r="S3" s="1604">
        <f>INDEX(PT_DIFFERENTIATION_NUM_TER,MATCH(B3,PT_DIFFERENTIATION_TER_ID,0))</f>
      </c>
      <c r="T3" s="520" t="s">
        <v>1517</v>
      </c>
      <c r="U3" s="510"/>
      <c r="V3" s="4037"/>
      <c r="W3" s="4038"/>
      <c r="X3" s="4038"/>
      <c r="Y3" s="4038"/>
      <c r="Z3" s="4038"/>
      <c r="AA3" s="4038"/>
      <c r="AB3" s="4038"/>
      <c r="AC3" s="4039"/>
      <c r="AD3" s="4037">
        <f>INDEX(PT_DIFFERENTIATION_TER,MATCH(B3,PT_DIFFERENTIATION_TER_ID,0))</f>
      </c>
      <c r="AE3" s="4038"/>
      <c r="AF3" s="4038"/>
      <c r="AG3" s="4038"/>
      <c r="AH3" s="4038"/>
      <c r="AI3" s="4038"/>
      <c r="AJ3" s="4038"/>
      <c r="AK3" s="4038"/>
      <c r="AL3" s="4039"/>
      <c r="AM3" s="1546" t="s">
        <v>1518</v>
      </c>
      <c r="AO3" s="737"/>
      <c r="AP3" s="737" t="str">
        <f>IF(T3="","",T3)</f>
        <v>Территория действия тарифа</v>
      </c>
      <c r="AQ3" s="737"/>
      <c r="AR3" s="737"/>
    </row>
    <row customHeight="1" ht="23.25" hidden="1">
      <c r="A4" s="1659"/>
      <c r="B4" s="1659"/>
      <c r="C4" s="1659"/>
      <c r="D4" s="1659"/>
      <c r="E4" s="2425"/>
      <c r="F4" s="2425"/>
      <c r="G4" s="2424">
        <v>1</v>
      </c>
      <c r="H4" s="1659"/>
      <c r="I4" s="1659"/>
      <c r="J4" s="1659"/>
      <c r="K4" s="1659"/>
      <c r="L4" s="1660"/>
      <c r="M4" s="1661"/>
      <c r="N4" s="1661"/>
      <c r="O4" s="1661"/>
      <c r="P4" s="575"/>
      <c r="Q4" s="573"/>
      <c r="R4" s="574"/>
      <c r="S4" s="1604">
        <f>INDEX(PT_DIFFERENTIATION_NUM_CS,MATCH(C4,PT_DIFFERENTIATION_CS_ID,0))</f>
      </c>
      <c r="T4" s="521" t="s">
        <v>1519</v>
      </c>
      <c r="U4" s="510"/>
      <c r="V4" s="4037"/>
      <c r="W4" s="4038"/>
      <c r="X4" s="4038"/>
      <c r="Y4" s="4038"/>
      <c r="Z4" s="4038"/>
      <c r="AA4" s="4038"/>
      <c r="AB4" s="4038"/>
      <c r="AC4" s="4039"/>
      <c r="AD4" s="4037">
        <f>INDEX(PT_DIFFERENTIATION_CS,MATCH(C4,PT_DIFFERENTIATION_CS_ID,0))</f>
      </c>
      <c r="AE4" s="4038"/>
      <c r="AF4" s="4038"/>
      <c r="AG4" s="4038"/>
      <c r="AH4" s="4038"/>
      <c r="AI4" s="4038"/>
      <c r="AJ4" s="4038"/>
      <c r="AK4" s="4038"/>
      <c r="AL4" s="4039"/>
      <c r="AM4" s="1546" t="s">
        <v>1520</v>
      </c>
      <c r="AO4" s="737"/>
      <c r="AP4" s="737" t="str">
        <f>IF(T4="","",T4)</f>
        <v>Наименование системы теплоснабжения </v>
      </c>
      <c r="AQ4" s="737"/>
      <c r="AR4" s="737"/>
    </row>
    <row customHeight="1" ht="21" hidden="1">
      <c r="A5" s="1659"/>
      <c r="B5" s="1659"/>
      <c r="C5" s="1659"/>
      <c r="D5" s="1659"/>
      <c r="E5" s="2425"/>
      <c r="F5" s="2425"/>
      <c r="G5" s="2425"/>
      <c r="H5" s="2424">
        <v>1</v>
      </c>
      <c r="I5" s="1659"/>
      <c r="J5" s="1659"/>
      <c r="K5" s="1659"/>
      <c r="L5" s="1660"/>
      <c r="M5" s="1661"/>
      <c r="N5" s="1661"/>
      <c r="O5" s="1661"/>
      <c r="P5" s="575"/>
      <c r="Q5" s="573"/>
      <c r="R5" s="574"/>
      <c r="S5" s="1604">
        <f>INDEX(PT_DIFFERENTIATION_NUM_IST_TE,MATCH(D5,PT_DIFFERENTIATION_IST_TE_ID,0))</f>
      </c>
      <c r="T5" s="522" t="s">
        <v>1521</v>
      </c>
      <c r="U5" s="510"/>
      <c r="V5" s="4037"/>
      <c r="W5" s="4038"/>
      <c r="X5" s="4038"/>
      <c r="Y5" s="4038"/>
      <c r="Z5" s="4038"/>
      <c r="AA5" s="4038"/>
      <c r="AB5" s="4038"/>
      <c r="AC5" s="4039"/>
      <c r="AD5" s="4037">
        <f>INDEX(PT_DIFFERENTIATION_IST_TE,MATCH(D5,PT_DIFFERENTIATION_IST_TE_ID,0))</f>
      </c>
      <c r="AE5" s="4038"/>
      <c r="AF5" s="4038"/>
      <c r="AG5" s="4038"/>
      <c r="AH5" s="4038"/>
      <c r="AI5" s="4038"/>
      <c r="AJ5" s="4038"/>
      <c r="AK5" s="4038"/>
      <c r="AL5" s="4039"/>
      <c r="AM5" s="1546" t="s">
        <v>1522</v>
      </c>
      <c r="AO5" s="737"/>
      <c r="AP5" s="737" t="str">
        <f>IF(T5="","",T5)</f>
        <v>Источник тепловой энергии  </v>
      </c>
      <c r="AQ5" s="737"/>
      <c r="AR5" s="737"/>
    </row>
    <row customHeight="1" ht="47.25" hidden="1">
      <c r="A6" s="1659"/>
      <c r="B6" s="1659"/>
      <c r="C6" s="1659"/>
      <c r="D6" s="1659"/>
      <c r="E6" s="2425"/>
      <c r="F6" s="2425"/>
      <c r="G6" s="2425"/>
      <c r="H6" s="2425"/>
      <c r="I6" s="2453">
        <f>S5&amp;".1"</f>
      </c>
      <c r="J6" s="1659"/>
      <c r="K6" s="1659"/>
      <c r="L6" s="1660" t="s">
        <v>1523</v>
      </c>
      <c r="M6" s="774"/>
      <c r="P6" s="2423">
        <v>1</v>
      </c>
      <c r="Q6" s="1600"/>
      <c r="R6" s="577"/>
      <c r="S6" s="1604">
        <f>$I6</f>
      </c>
      <c r="T6" s="495" t="s">
        <v>1524</v>
      </c>
      <c r="U6" s="510"/>
      <c r="V6" s="2411"/>
      <c r="W6" s="2412"/>
      <c r="X6" s="2412"/>
      <c r="Y6" s="2412"/>
      <c r="Z6" s="2412"/>
      <c r="AA6" s="2412"/>
      <c r="AB6" s="2412"/>
      <c r="AC6" s="2413"/>
      <c r="AD6" s="2411"/>
      <c r="AE6" s="2412"/>
      <c r="AF6" s="2412"/>
      <c r="AG6" s="2412"/>
      <c r="AH6" s="2412"/>
      <c r="AI6" s="2412"/>
      <c r="AJ6" s="2412"/>
      <c r="AK6" s="2412"/>
      <c r="AL6" s="2413"/>
      <c r="AM6" s="1546" t="s">
        <v>1525</v>
      </c>
      <c r="AO6" s="737"/>
      <c r="AP6" s="737" t="str">
        <f>IF(T6="","",T6)</f>
        <v>Схема подключения теплопотребляющей установки к коллектору источника тепловой энергии</v>
      </c>
      <c r="AQ6" s="737"/>
      <c r="AR6" s="737"/>
    </row>
    <row customHeight="1" ht="21" hidden="1">
      <c r="A7" s="1659"/>
      <c r="B7" s="1659"/>
      <c r="C7" s="1659"/>
      <c r="D7" s="1659"/>
      <c r="E7" s="2425"/>
      <c r="F7" s="2425"/>
      <c r="G7" s="2425"/>
      <c r="H7" s="2425"/>
      <c r="I7" s="2454"/>
      <c r="J7" s="2422">
        <f>I6&amp;".1"</f>
      </c>
      <c r="K7" s="1659"/>
      <c r="L7" s="1660" t="s">
        <v>1526</v>
      </c>
      <c r="M7" s="774"/>
      <c r="N7" s="1662"/>
      <c r="P7" s="2423"/>
      <c r="Q7" s="2423">
        <v>1</v>
      </c>
      <c r="R7" s="578"/>
      <c r="S7" s="1604">
        <f>$J7</f>
      </c>
      <c r="T7" s="496" t="s">
        <v>1527</v>
      </c>
      <c r="U7" s="510"/>
      <c r="V7" s="2411"/>
      <c r="W7" s="2412"/>
      <c r="X7" s="2412"/>
      <c r="Y7" s="2412"/>
      <c r="Z7" s="2412"/>
      <c r="AA7" s="2412"/>
      <c r="AB7" s="2412"/>
      <c r="AC7" s="2413"/>
      <c r="AD7" s="2411"/>
      <c r="AE7" s="2412"/>
      <c r="AF7" s="2412"/>
      <c r="AG7" s="2412"/>
      <c r="AH7" s="2412"/>
      <c r="AI7" s="2412"/>
      <c r="AJ7" s="2412"/>
      <c r="AK7" s="2412"/>
      <c r="AL7" s="2413"/>
      <c r="AM7" s="1546" t="s">
        <v>1528</v>
      </c>
      <c r="AO7" s="737"/>
      <c r="AP7" s="737" t="str">
        <f>IF(T7="","",T7)</f>
        <v>Группа потребителей</v>
      </c>
      <c r="AQ7" s="737"/>
      <c r="AR7" s="737"/>
    </row>
    <row customHeight="1" ht="21" hidden="1">
      <c r="A8" s="1659"/>
      <c r="B8" s="1659"/>
      <c r="C8" s="1659"/>
      <c r="D8" s="1659"/>
      <c r="E8" s="2425"/>
      <c r="F8" s="2425"/>
      <c r="G8" s="2425"/>
      <c r="H8" s="2425"/>
      <c r="I8" s="2454"/>
      <c r="J8" s="2455"/>
      <c r="K8" s="2422">
        <f>J7&amp;".1"</f>
      </c>
      <c r="L8" s="1660" t="s">
        <v>1529</v>
      </c>
      <c r="M8" s="774"/>
      <c r="N8" s="1662"/>
      <c r="O8" s="1662"/>
      <c r="P8" s="2423"/>
      <c r="Q8" s="2423"/>
      <c r="R8" s="578">
        <v>1</v>
      </c>
      <c r="S8" s="1604">
        <f>$K8</f>
      </c>
      <c r="T8" s="1642"/>
      <c r="U8" s="510"/>
      <c r="V8" s="4065"/>
      <c r="W8" s="4066"/>
      <c r="X8" s="4065"/>
      <c r="Y8" s="4067"/>
      <c r="Z8" s="2430"/>
      <c r="AA8" s="2142" t="s">
        <v>67</v>
      </c>
      <c r="AB8" s="2430"/>
      <c r="AC8" s="2142" t="s">
        <v>67</v>
      </c>
      <c r="AD8" s="4065"/>
      <c r="AE8" s="4066"/>
      <c r="AF8" s="4065"/>
      <c r="AG8" s="4067"/>
      <c r="AH8" s="2430"/>
      <c r="AI8" s="2142" t="s">
        <v>67</v>
      </c>
      <c r="AJ8" s="2430"/>
      <c r="AK8" s="2142" t="s">
        <v>67</v>
      </c>
      <c r="AL8" s="4066"/>
      <c r="AM8" s="2419" t="s">
        <v>1530</v>
      </c>
      <c r="AN8" s="748">
        <f>STRCHECKDATE(V9:AL9)</f>
      </c>
      <c r="AO8" s="737"/>
      <c r="AP8" s="737" t="str">
        <f>IF(T8="","",T8)</f>
        <v/>
      </c>
      <c r="AQ8" s="737"/>
      <c r="AR8" s="737"/>
    </row>
    <row customHeight="1" ht="0.75" hidden="1">
      <c r="A9" s="1659"/>
      <c r="B9" s="1659"/>
      <c r="C9" s="1659"/>
      <c r="D9" s="1659"/>
      <c r="E9" s="2425"/>
      <c r="F9" s="2425"/>
      <c r="G9" s="2425"/>
      <c r="H9" s="2425"/>
      <c r="I9" s="2454"/>
      <c r="J9" s="2455"/>
      <c r="K9" s="2422"/>
      <c r="L9" s="1660"/>
      <c r="M9" s="774"/>
      <c r="N9" s="1662"/>
      <c r="O9" s="1662"/>
      <c r="P9" s="2423"/>
      <c r="Q9" s="2423"/>
      <c r="R9" s="578"/>
      <c r="S9" s="1601"/>
      <c r="T9" s="510"/>
      <c r="U9" s="510"/>
      <c r="V9" s="4066"/>
      <c r="W9" s="4066"/>
      <c r="X9" s="4066"/>
      <c r="Y9" s="4071" t="str">
        <f>Z8&amp;"-"&amp;AB8</f>
        <v>-</v>
      </c>
      <c r="Z9" s="2431"/>
      <c r="AA9" s="2142"/>
      <c r="AB9" s="2431"/>
      <c r="AC9" s="2142"/>
      <c r="AD9" s="4066"/>
      <c r="AE9" s="4066"/>
      <c r="AF9" s="4066"/>
      <c r="AG9" s="4071" t="str">
        <f>AH8&amp;"-"&amp;AJ8</f>
        <v>-</v>
      </c>
      <c r="AH9" s="2431"/>
      <c r="AI9" s="2142"/>
      <c r="AJ9" s="2431"/>
      <c r="AK9" s="2142"/>
      <c r="AL9" s="4066"/>
      <c r="AM9" s="2420"/>
      <c r="AO9" s="737"/>
      <c r="AP9" s="737" t="str">
        <f>IF(T9="","",T9)</f>
        <v/>
      </c>
      <c r="AQ9" s="737"/>
      <c r="AR9" s="737"/>
    </row>
    <row customHeight="1" ht="15" hidden="1">
      <c r="A10" s="1659"/>
      <c r="B10" s="1659"/>
      <c r="C10" s="1659"/>
      <c r="D10" s="1659"/>
      <c r="E10" s="2425"/>
      <c r="F10" s="2425"/>
      <c r="G10" s="2425"/>
      <c r="H10" s="2425"/>
      <c r="I10" s="2454"/>
      <c r="J10" s="2422"/>
      <c r="K10" s="1659"/>
      <c r="L10" s="1660"/>
      <c r="M10" s="774"/>
      <c r="N10" s="1662"/>
      <c r="P10" s="2423"/>
      <c r="Q10" s="2423"/>
      <c r="R10" s="577"/>
      <c r="S10" s="1568"/>
      <c r="T10" s="498" t="s">
        <v>1531</v>
      </c>
      <c r="U10" s="592"/>
      <c r="V10" s="592"/>
      <c r="W10" s="592"/>
      <c r="X10" s="592"/>
      <c r="Y10" s="592"/>
      <c r="Z10" s="592"/>
      <c r="AA10" s="592"/>
      <c r="AB10" s="592"/>
      <c r="AC10" s="592"/>
      <c r="AD10" s="592"/>
      <c r="AE10" s="592"/>
      <c r="AF10" s="592"/>
      <c r="AG10" s="592"/>
      <c r="AH10" s="592"/>
      <c r="AI10" s="592"/>
      <c r="AJ10" s="592"/>
      <c r="AK10" s="592"/>
      <c r="AL10" s="544"/>
      <c r="AM10" s="2421"/>
      <c r="AO10" s="737"/>
      <c r="AP10" s="737" t="str">
        <f>IF(T10="","",T10)</f>
        <v>Добавить вид теплоносителя (параметры теплоносителя)</v>
      </c>
      <c r="AQ10" s="737"/>
      <c r="AR10" s="737"/>
    </row>
    <row customHeight="1" ht="15" hidden="1">
      <c r="A11" s="1659"/>
      <c r="B11" s="1659"/>
      <c r="C11" s="1659"/>
      <c r="D11" s="1659"/>
      <c r="E11" s="2425"/>
      <c r="F11" s="2425"/>
      <c r="G11" s="2425"/>
      <c r="H11" s="2425"/>
      <c r="I11" s="2453"/>
      <c r="J11" s="1659"/>
      <c r="K11" s="1659"/>
      <c r="L11" s="1660"/>
      <c r="M11" s="774"/>
      <c r="P11" s="2423"/>
      <c r="Q11" s="1600"/>
      <c r="R11" s="577"/>
      <c r="S11" s="1568"/>
      <c r="T11" s="497" t="s">
        <v>1532</v>
      </c>
      <c r="U11" s="592"/>
      <c r="V11" s="592"/>
      <c r="W11" s="592"/>
      <c r="X11" s="592"/>
      <c r="Y11" s="592"/>
      <c r="Z11" s="592"/>
      <c r="AA11" s="592"/>
      <c r="AB11" s="592"/>
      <c r="AC11" s="591"/>
      <c r="AD11" s="592"/>
      <c r="AE11" s="592"/>
      <c r="AF11" s="592"/>
      <c r="AG11" s="592"/>
      <c r="AH11" s="592"/>
      <c r="AI11" s="592"/>
      <c r="AJ11" s="592"/>
      <c r="AK11" s="591"/>
      <c r="AL11" s="592"/>
      <c r="AM11" s="513"/>
      <c r="AO11" s="737"/>
      <c r="AP11" s="737" t="str">
        <f>IF(T11="","",T11)</f>
        <v>Добавить группу потребителей</v>
      </c>
      <c r="AQ11" s="737"/>
      <c r="AR11" s="737"/>
    </row>
    <row customHeight="1" ht="14.25" hidden="1">
      <c r="A12" s="1659"/>
      <c r="B12" s="1659"/>
      <c r="C12" s="1659"/>
      <c r="D12" s="1659"/>
      <c r="E12" s="2425"/>
      <c r="F12" s="2425"/>
      <c r="G12" s="2425"/>
      <c r="H12" s="2424"/>
      <c r="I12" s="1659"/>
      <c r="J12" s="1659"/>
      <c r="K12" s="1659"/>
      <c r="L12" s="1660"/>
      <c r="M12" s="1661"/>
      <c r="N12" s="1661"/>
      <c r="O12" s="774"/>
      <c r="P12" s="581"/>
      <c r="Q12" s="601"/>
      <c r="R12" s="576"/>
      <c r="S12" s="1568"/>
      <c r="T12" s="589" t="s">
        <v>1533</v>
      </c>
      <c r="U12" s="592"/>
      <c r="V12" s="592"/>
      <c r="W12" s="592"/>
      <c r="X12" s="592"/>
      <c r="Y12" s="592"/>
      <c r="Z12" s="592"/>
      <c r="AA12" s="592"/>
      <c r="AB12" s="592"/>
      <c r="AC12" s="591"/>
      <c r="AD12" s="592"/>
      <c r="AE12" s="592"/>
      <c r="AF12" s="592"/>
      <c r="AG12" s="592"/>
      <c r="AH12" s="592"/>
      <c r="AI12" s="592"/>
      <c r="AJ12" s="592"/>
      <c r="AK12" s="591"/>
      <c r="AL12" s="592"/>
      <c r="AM12" s="513"/>
      <c r="AO12" s="737"/>
      <c r="AP12" s="737" t="str">
        <f>IF(T12="","",T12)</f>
        <v>Добавить схему подключения</v>
      </c>
      <c r="AQ12" s="737"/>
      <c r="AR12" s="737"/>
    </row>
    <row s="10863" customFormat="1" customHeight="1" ht="0.75" hidden="1">
      <c r="A13" s="1609"/>
      <c r="B13" s="1609"/>
      <c r="C13" s="1609"/>
      <c r="D13" s="1609"/>
      <c r="E13" s="2425"/>
      <c r="F13" s="2425"/>
      <c r="G13" s="2424"/>
      <c r="H13" s="1609"/>
      <c r="I13" s="1609"/>
      <c r="J13" s="1609"/>
      <c r="K13" s="1609"/>
      <c r="L13" s="1634"/>
      <c r="M13" s="1610"/>
      <c r="N13" s="1610"/>
      <c r="P13" s="1611"/>
      <c r="Q13" s="1612"/>
      <c r="R13" s="1611"/>
      <c r="S13" s="1613"/>
      <c r="T13" s="1614" t="s">
        <v>1492</v>
      </c>
      <c r="U13" s="1615"/>
      <c r="V13" s="1615"/>
      <c r="W13" s="1615"/>
      <c r="X13" s="1615"/>
      <c r="Y13" s="1615"/>
      <c r="Z13" s="1615"/>
      <c r="AA13" s="1615"/>
      <c r="AB13" s="1615"/>
      <c r="AC13" s="1615"/>
      <c r="AD13" s="1615"/>
      <c r="AE13" s="1615"/>
      <c r="AF13" s="1615"/>
      <c r="AG13" s="1615"/>
      <c r="AH13" s="1615"/>
      <c r="AI13" s="1615"/>
      <c r="AJ13" s="1615"/>
      <c r="AK13" s="1615"/>
      <c r="AL13" s="1615"/>
      <c r="AM13" s="1615"/>
      <c r="AO13" s="1029"/>
      <c r="AP13" s="1029" t="str">
        <f>IF(T13="","",T13)</f>
        <v>Добавить источник для дифференциации</v>
      </c>
      <c r="AQ13" s="1029"/>
      <c r="AR13" s="1029"/>
    </row>
    <row s="10863" customFormat="1" customHeight="1" ht="0.75" hidden="1">
      <c r="A14" s="1609"/>
      <c r="B14" s="1609"/>
      <c r="C14" s="1609"/>
      <c r="D14" s="1609"/>
      <c r="E14" s="2425"/>
      <c r="F14" s="2424"/>
      <c r="G14" s="1609"/>
      <c r="H14" s="1609"/>
      <c r="I14" s="1609"/>
      <c r="J14" s="1609"/>
      <c r="K14" s="1609"/>
      <c r="L14" s="1634"/>
      <c r="M14" s="1616"/>
      <c r="N14" s="1616"/>
      <c r="P14" s="1611"/>
      <c r="Q14" s="1612"/>
      <c r="R14" s="1611"/>
      <c r="S14" s="1617"/>
      <c r="T14" s="1618" t="s">
        <v>1493</v>
      </c>
      <c r="U14" s="1619"/>
      <c r="V14" s="1619"/>
      <c r="W14" s="1619"/>
      <c r="X14" s="1619"/>
      <c r="Y14" s="1619"/>
      <c r="Z14" s="1619"/>
      <c r="AA14" s="1619"/>
      <c r="AB14" s="1619"/>
      <c r="AC14" s="1619"/>
      <c r="AD14" s="1619"/>
      <c r="AE14" s="1619"/>
      <c r="AF14" s="1619"/>
      <c r="AG14" s="1619"/>
      <c r="AH14" s="1619"/>
      <c r="AI14" s="1619"/>
      <c r="AJ14" s="1619"/>
      <c r="AK14" s="1619"/>
      <c r="AL14" s="1619"/>
      <c r="AM14" s="1619"/>
      <c r="AO14" s="1029"/>
      <c r="AP14" s="1029" t="str">
        <f>IF(T14="","",T14)</f>
        <v>Добавить централизованную систему для дифференциации</v>
      </c>
      <c r="AQ14" s="1029"/>
      <c r="AR14" s="1029"/>
    </row>
    <row s="10863" customFormat="1" customHeight="1" ht="0.75" hidden="1">
      <c r="A15" s="1609"/>
      <c r="B15" s="1609"/>
      <c r="C15" s="1609"/>
      <c r="D15" s="1609"/>
      <c r="E15" s="2424"/>
      <c r="F15" s="1609"/>
      <c r="G15" s="1609"/>
      <c r="H15" s="1609"/>
      <c r="I15" s="1609"/>
      <c r="J15" s="1609"/>
      <c r="K15" s="1609"/>
      <c r="L15" s="1634"/>
      <c r="M15" s="1616"/>
      <c r="N15" s="1616"/>
      <c r="P15" s="1611"/>
      <c r="Q15" s="1612"/>
      <c r="R15" s="1611"/>
      <c r="S15" s="1617"/>
      <c r="T15" s="1620" t="s">
        <v>1494</v>
      </c>
      <c r="U15" s="1619"/>
      <c r="V15" s="1619"/>
      <c r="W15" s="1619"/>
      <c r="X15" s="1619"/>
      <c r="Y15" s="1619"/>
      <c r="Z15" s="1619"/>
      <c r="AA15" s="1619"/>
      <c r="AB15" s="1619"/>
      <c r="AC15" s="1619"/>
      <c r="AD15" s="1619"/>
      <c r="AE15" s="1619"/>
      <c r="AF15" s="1619"/>
      <c r="AG15" s="1619"/>
      <c r="AH15" s="1619"/>
      <c r="AI15" s="1619"/>
      <c r="AJ15" s="1619"/>
      <c r="AK15" s="1619"/>
      <c r="AL15" s="1619"/>
      <c r="AM15" s="1619"/>
      <c r="AO15" s="1029"/>
      <c r="AP15" s="1029" t="str">
        <f>IF(T15="","",T15)</f>
        <v>Добавить территорию для дифференциации</v>
      </c>
      <c r="AQ15" s="1029"/>
      <c r="AR15" s="1029"/>
    </row>
    <row customHeight="1" ht="14.25" hidden="1">
      <c r="AC16" s="548"/>
      <c r="AK16" s="548"/>
    </row>
    <row customHeight="1" ht="14.25" hidden="1">
      <c r="P17" s="1606"/>
      <c r="AD17" s="4098"/>
      <c r="AE17" s="4098"/>
      <c r="AF17" s="4098"/>
      <c r="AG17" s="4099"/>
      <c r="AH17" s="2432"/>
      <c r="AI17" s="2433" t="s">
        <v>67</v>
      </c>
      <c r="AJ17" s="2432"/>
      <c r="AK17" s="2433" t="s">
        <v>67</v>
      </c>
    </row>
    <row customHeight="1" ht="14.25" hidden="1">
      <c r="P18" s="1606"/>
      <c r="AD18" s="4098"/>
      <c r="AE18" s="4098"/>
      <c r="AF18" s="4098"/>
      <c r="AG18" s="4071" t="str">
        <f>AH17&amp;"-"&amp;AJ17</f>
        <v>-</v>
      </c>
      <c r="AH18" s="2433"/>
      <c r="AI18" s="2433"/>
      <c r="AJ18" s="2433"/>
      <c r="AK18" s="2433"/>
    </row>
    <row customHeight="1" ht="14.25" hidden="1">
      <c r="P19" s="1606"/>
      <c r="AK19" s="548"/>
    </row>
    <row s="11074" customFormat="1" customHeight="1" ht="22.5" hidden="1">
      <c r="L20" s="1624"/>
      <c r="M20" s="1658"/>
      <c r="N20" s="1658"/>
      <c r="O20" s="1663" t="s">
        <v>1534</v>
      </c>
      <c r="P20" s="1658"/>
      <c r="Q20" s="1667"/>
      <c r="R20" s="1667"/>
      <c r="S20" s="967"/>
      <c r="Z20" s="1663"/>
      <c r="AB20" s="1663"/>
      <c r="AC20" s="1662"/>
      <c r="AH20" s="1663"/>
      <c r="AJ20" s="1663"/>
      <c r="AK20" s="1662"/>
      <c r="AN20" s="748"/>
      <c r="AO20" s="748"/>
      <c r="AP20" s="748"/>
      <c r="AQ20" s="748"/>
      <c r="AR20" s="748"/>
    </row>
    <row s="11074" customFormat="1" customHeight="1" ht="14.25" hidden="1">
      <c r="L21" s="1624"/>
      <c r="M21" s="1658"/>
      <c r="N21" s="1658"/>
      <c r="O21" s="1658"/>
      <c r="P21" s="1658"/>
      <c r="Q21" s="1667"/>
      <c r="R21" s="1667"/>
      <c r="S21" s="967"/>
      <c r="AC21" s="1662"/>
      <c r="AK21" s="1662"/>
      <c r="AN21" s="748"/>
      <c r="AO21" s="748"/>
      <c r="AP21" s="748"/>
      <c r="AQ21" s="748"/>
      <c r="AR21" s="748"/>
    </row>
    <row s="11074" customFormat="1" customHeight="1" ht="14.25" hidden="1">
      <c r="L22" s="1624"/>
      <c r="M22" s="1658"/>
      <c r="N22" s="1658"/>
      <c r="O22" s="1660" t="s">
        <v>1535</v>
      </c>
      <c r="P22" s="1658"/>
      <c r="Q22" s="1667"/>
      <c r="R22" s="1667"/>
      <c r="S22" s="967"/>
      <c r="T22" s="1421" t="s">
        <v>1536</v>
      </c>
      <c r="AA22" s="393" t="s">
        <v>1537</v>
      </c>
      <c r="AC22" s="393" t="s">
        <v>1538</v>
      </c>
      <c r="AD22" s="1421" t="s">
        <v>1536</v>
      </c>
      <c r="AI22" s="393" t="s">
        <v>1539</v>
      </c>
      <c r="AK22" s="393" t="s">
        <v>1538</v>
      </c>
      <c r="AN22" s="748"/>
      <c r="AO22" s="748"/>
      <c r="AP22" s="748"/>
      <c r="AQ22" s="748"/>
      <c r="AR22" s="748"/>
    </row>
    <row customHeight="1" ht="14.25" hidden="1">
      <c r="O23" s="1660"/>
      <c r="P23" s="1606"/>
    </row>
    <row customHeight="1" ht="14.25" hidden="1">
      <c r="O24" s="1660"/>
      <c r="P24" s="1606"/>
    </row>
    <row customHeight="1" ht="14.25">
      <c r="Q25" s="602"/>
      <c r="R25" s="602"/>
      <c r="S25" s="1565"/>
      <c r="T25" s="586"/>
      <c r="U25" s="586"/>
      <c r="V25" s="746"/>
      <c r="W25" s="746"/>
      <c r="X25" s="746"/>
      <c r="Y25" s="746"/>
      <c r="Z25" s="746"/>
      <c r="AA25" s="746"/>
      <c r="AB25" s="746"/>
      <c r="AC25" s="746"/>
      <c r="AD25" s="746"/>
      <c r="AE25" s="746"/>
      <c r="AF25" s="746"/>
      <c r="AG25" s="746"/>
      <c r="AH25" s="746"/>
      <c r="AI25" s="746"/>
      <c r="AJ25" s="746"/>
      <c r="AK25" s="746"/>
    </row>
    <row customHeight="1" ht="64.5">
      <c r="Q26" s="602"/>
      <c r="R26" s="602"/>
      <c r="S26" s="2414" t="str">
        <f>IF(TEMPLATE_GROUP="P",PT_P_FORM_HEAT_4_NAME_FORM,PT_R_FORM_HEAT_21_NAME_FORM)</f>
        <v>Форма 21. Информация о расчетной величине тарифов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тарифов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  &lt;1&gt;</v>
      </c>
      <c r="T26" s="2414"/>
      <c r="U26" s="2414"/>
      <c r="V26" s="2414"/>
      <c r="W26" s="2414"/>
      <c r="X26" s="2414"/>
      <c r="Y26" s="2414"/>
      <c r="Z26" s="2414"/>
      <c r="AA26" s="2414"/>
      <c r="AB26" s="2414"/>
      <c r="AC26" s="2414"/>
      <c r="AD26" s="2414"/>
      <c r="AE26" s="2414"/>
      <c r="AF26" s="2414"/>
      <c r="AG26" s="2414"/>
      <c r="AH26" s="2414"/>
      <c r="AI26" s="2414"/>
      <c r="AJ26" s="2414"/>
      <c r="AK26" s="1521"/>
    </row>
    <row customHeight="1" ht="14.25">
      <c r="Q27" s="602"/>
      <c r="R27" s="602"/>
      <c r="S27" s="2415" t="str">
        <f>IF(org=0,"Не определено",org)</f>
        <v>ООО "СамРЭК-Тепло Жигулевск"</v>
      </c>
      <c r="T27" s="2415"/>
      <c r="U27" s="2415"/>
      <c r="V27" s="2415"/>
      <c r="W27" s="2415"/>
      <c r="X27" s="2415"/>
      <c r="Y27" s="2415"/>
      <c r="Z27" s="2415"/>
      <c r="AA27" s="2415"/>
      <c r="AB27" s="2415"/>
      <c r="AC27" s="2415"/>
      <c r="AD27" s="2415"/>
      <c r="AE27" s="2415"/>
      <c r="AF27" s="2415"/>
      <c r="AG27" s="2415"/>
      <c r="AH27" s="2415"/>
      <c r="AI27" s="2415"/>
      <c r="AJ27" s="2415"/>
      <c r="AK27" s="1521"/>
    </row>
    <row customHeight="1" ht="14.25" hidden="1">
      <c r="Q28" s="602"/>
      <c r="R28" s="602"/>
      <c r="S28" s="1565"/>
      <c r="T28" s="586"/>
      <c r="U28" s="586"/>
      <c r="V28" s="541"/>
      <c r="W28" s="541"/>
      <c r="X28" s="541"/>
      <c r="Y28" s="541"/>
      <c r="Z28" s="541"/>
      <c r="AA28" s="541"/>
      <c r="AB28" s="541"/>
      <c r="AC28" s="541"/>
      <c r="AD28" s="541"/>
      <c r="AE28" s="541"/>
      <c r="AF28" s="541"/>
      <c r="AG28" s="541"/>
      <c r="AH28" s="541"/>
      <c r="AI28" s="541"/>
      <c r="AJ28" s="541"/>
      <c r="AK28" s="541"/>
      <c r="AL28" s="746"/>
    </row>
    <row s="10859" customFormat="1" customHeight="1" ht="25.5" hidden="1">
      <c r="A29" s="1664"/>
      <c r="B29" s="1664"/>
      <c r="C29" s="1664"/>
      <c r="D29" s="1664"/>
      <c r="E29" s="1664"/>
      <c r="F29" s="1664"/>
      <c r="G29" s="1664"/>
      <c r="H29" s="1664"/>
      <c r="I29" s="1664"/>
      <c r="J29" s="1664"/>
      <c r="K29" s="1664"/>
      <c r="L29" s="1665"/>
      <c r="M29" s="1664"/>
      <c r="N29" s="1664"/>
      <c r="O29" s="1664"/>
      <c r="S29" s="2416" t="s">
        <v>39</v>
      </c>
      <c r="T29" s="2416"/>
      <c r="U29" s="1668"/>
      <c r="V29" s="2417" t="str">
        <f>IF(TITLE_NAME_OR_PR_CHANGE="",IF(TITLE_NAME_OR_PR="","",TITLE_NAME_OR_PR),TITLE_NAME_OR_PR_CHANGE)</f>
        <v/>
      </c>
      <c r="W29" s="2417"/>
      <c r="X29" s="2417"/>
      <c r="Y29" s="2417"/>
      <c r="Z29" s="2417"/>
      <c r="AA29" s="2417"/>
      <c r="AB29" s="2417"/>
      <c r="AC29" s="547"/>
      <c r="AD29" s="2417" t="str">
        <f>IF(TITLE_NAME_OR_PR_CHANGE="",IF(TITLE_NAME_OR_PR="","",TITLE_NAME_OR_PR),TITLE_NAME_OR_PR_CHANGE)</f>
        <v/>
      </c>
      <c r="AE29" s="2417"/>
      <c r="AF29" s="2417"/>
      <c r="AG29" s="2417"/>
      <c r="AH29" s="2417"/>
      <c r="AI29" s="2417"/>
      <c r="AJ29" s="2417"/>
      <c r="AK29" s="547"/>
      <c r="AL29" s="547"/>
      <c r="AM29" s="490"/>
      <c r="AN29" s="593"/>
      <c r="AO29" s="593"/>
      <c r="AP29" s="593"/>
      <c r="AQ29" s="593"/>
      <c r="AR29" s="593"/>
    </row>
    <row s="10859" customFormat="1" customHeight="1" ht="18.75" hidden="1">
      <c r="A30" s="1664"/>
      <c r="B30" s="1664"/>
      <c r="C30" s="1664"/>
      <c r="D30" s="1664"/>
      <c r="E30" s="1664"/>
      <c r="F30" s="1664"/>
      <c r="G30" s="1664"/>
      <c r="H30" s="1664"/>
      <c r="I30" s="1664"/>
      <c r="J30" s="1664"/>
      <c r="K30" s="1664"/>
      <c r="L30" s="1665"/>
      <c r="M30" s="1664"/>
      <c r="N30" s="1664"/>
      <c r="O30" s="1664"/>
      <c r="S30" s="2416" t="s">
        <v>1540</v>
      </c>
      <c r="T30" s="2416"/>
      <c r="U30" s="1668"/>
      <c r="V30" s="2417" t="str">
        <f>IF(TITLE_DATE_CHANGE_PERIOD="",IF(TITLE_DATE_PR="","",TITLE_DATE_PR),TITLE_DATE_CHANGE_PERIOD)</f>
        <v/>
      </c>
      <c r="W30" s="2417"/>
      <c r="X30" s="2417"/>
      <c r="Y30" s="2417"/>
      <c r="Z30" s="2417"/>
      <c r="AA30" s="2417"/>
      <c r="AB30" s="2417"/>
      <c r="AC30" s="547"/>
      <c r="AD30" s="2417" t="str">
        <f>IF(TITLE_DATE_CHANGE_PERIOD="",IF(TITLE_DATE_PR="","",TITLE_DATE_PR),TITLE_DATE_CHANGE_PERIOD)</f>
        <v/>
      </c>
      <c r="AE30" s="2417"/>
      <c r="AF30" s="2417"/>
      <c r="AG30" s="2417"/>
      <c r="AH30" s="2417"/>
      <c r="AI30" s="2417"/>
      <c r="AJ30" s="2417"/>
      <c r="AK30" s="547"/>
      <c r="AL30" s="547"/>
      <c r="AM30" s="490"/>
      <c r="AN30" s="593"/>
      <c r="AO30" s="593"/>
      <c r="AP30" s="593"/>
      <c r="AQ30" s="593"/>
      <c r="AR30" s="593"/>
    </row>
    <row s="10859" customFormat="1" customHeight="1" ht="18.75" hidden="1">
      <c r="A31" s="1664"/>
      <c r="B31" s="1664"/>
      <c r="C31" s="1664"/>
      <c r="D31" s="1664"/>
      <c r="E31" s="1664"/>
      <c r="F31" s="1664"/>
      <c r="G31" s="1664"/>
      <c r="H31" s="1664"/>
      <c r="I31" s="1664"/>
      <c r="J31" s="1664"/>
      <c r="K31" s="1664"/>
      <c r="L31" s="1665"/>
      <c r="M31" s="1664"/>
      <c r="N31" s="1664"/>
      <c r="O31" s="1664"/>
      <c r="S31" s="2416" t="s">
        <v>1541</v>
      </c>
      <c r="T31" s="2416"/>
      <c r="U31" s="1668"/>
      <c r="V31" s="2417" t="str">
        <f>IF(TITLE_NUMBER_PR_CHANGE="",IF(TITLE_NUMBER_PR="","",TITLE_NUMBER_PR),TITLE_NUMBER_PR_CHANGE)</f>
        <v/>
      </c>
      <c r="W31" s="2417"/>
      <c r="X31" s="2417"/>
      <c r="Y31" s="2417"/>
      <c r="Z31" s="2417"/>
      <c r="AA31" s="2417"/>
      <c r="AB31" s="2417"/>
      <c r="AC31" s="547"/>
      <c r="AD31" s="2417" t="str">
        <f>IF(TITLE_NUMBER_PR_CHANGE="",IF(TITLE_NUMBER_PR="","",TITLE_NUMBER_PR),TITLE_NUMBER_PR_CHANGE)</f>
        <v/>
      </c>
      <c r="AE31" s="2417"/>
      <c r="AF31" s="2417"/>
      <c r="AG31" s="2417"/>
      <c r="AH31" s="2417"/>
      <c r="AI31" s="2417"/>
      <c r="AJ31" s="2417"/>
      <c r="AK31" s="547"/>
      <c r="AL31" s="547"/>
      <c r="AM31" s="490"/>
      <c r="AN31" s="593"/>
      <c r="AO31" s="593"/>
      <c r="AP31" s="593"/>
      <c r="AQ31" s="593"/>
      <c r="AR31" s="593"/>
    </row>
    <row s="10859" customFormat="1" customHeight="1" ht="18.75" hidden="1">
      <c r="A32" s="1664"/>
      <c r="B32" s="1664"/>
      <c r="C32" s="1664"/>
      <c r="D32" s="1664"/>
      <c r="E32" s="1664"/>
      <c r="F32" s="1664"/>
      <c r="G32" s="1664"/>
      <c r="H32" s="1664"/>
      <c r="I32" s="1664"/>
      <c r="J32" s="1664"/>
      <c r="K32" s="1664"/>
      <c r="L32" s="1665"/>
      <c r="M32" s="1664"/>
      <c r="N32" s="1664"/>
      <c r="O32" s="1664"/>
      <c r="S32" s="2416" t="s">
        <v>40</v>
      </c>
      <c r="T32" s="2416"/>
      <c r="U32" s="1668"/>
      <c r="V32" s="2417" t="str">
        <f>IF(TITLE_IST_PUB_CHANGE="",IF(TITLE_IST_PUB="","",TITLE_IST_PUB),TITLE_IST_PUB_CHANGE)</f>
        <v/>
      </c>
      <c r="W32" s="2417"/>
      <c r="X32" s="2417"/>
      <c r="Y32" s="2417"/>
      <c r="Z32" s="2417"/>
      <c r="AA32" s="2417"/>
      <c r="AB32" s="2417"/>
      <c r="AC32" s="547"/>
      <c r="AD32" s="2417" t="str">
        <f>IF(TITLE_IST_PUB_CHANGE="",IF(TITLE_IST_PUB="","",TITLE_IST_PUB),TITLE_IST_PUB_CHANGE)</f>
        <v/>
      </c>
      <c r="AE32" s="2417"/>
      <c r="AF32" s="2417"/>
      <c r="AG32" s="2417"/>
      <c r="AH32" s="2417"/>
      <c r="AI32" s="2417"/>
      <c r="AJ32" s="2417"/>
      <c r="AK32" s="547"/>
      <c r="AL32" s="547"/>
      <c r="AM32" s="490"/>
      <c r="AN32" s="593"/>
      <c r="AO32" s="593"/>
      <c r="AP32" s="593"/>
      <c r="AQ32" s="593"/>
      <c r="AR32" s="593"/>
    </row>
    <row customHeight="1" ht="14.25" hidden="1">
      <c r="P33" s="1623"/>
      <c r="Q33" s="602"/>
      <c r="R33" s="602"/>
      <c r="S33" s="1565"/>
      <c r="T33" s="586"/>
      <c r="U33" s="586"/>
      <c r="V33" s="541"/>
      <c r="W33" s="541"/>
      <c r="X33" s="541"/>
      <c r="Y33" s="541"/>
      <c r="Z33" s="541"/>
      <c r="AA33" s="541"/>
      <c r="AB33" s="541"/>
      <c r="AC33" s="541"/>
      <c r="AD33" s="541"/>
      <c r="AE33" s="541"/>
      <c r="AF33" s="541"/>
      <c r="AG33" s="541"/>
      <c r="AH33" s="541"/>
      <c r="AI33" s="541"/>
      <c r="AJ33" s="541"/>
      <c r="AK33" s="541"/>
      <c r="AL33" s="746"/>
    </row>
    <row s="10859" customFormat="1" customHeight="1" ht="18.75" hidden="1">
      <c r="A34" s="1664"/>
      <c r="B34" s="1664"/>
      <c r="C34" s="1664"/>
      <c r="D34" s="1664"/>
      <c r="E34" s="1664"/>
      <c r="F34" s="1664"/>
      <c r="G34" s="1664"/>
      <c r="H34" s="1664"/>
      <c r="I34" s="1664"/>
      <c r="J34" s="1664"/>
      <c r="K34" s="1664"/>
      <c r="L34" s="1665"/>
      <c r="M34" s="1664"/>
      <c r="N34" s="1664"/>
      <c r="O34" s="1664"/>
      <c r="S34" s="2416" t="s">
        <v>1542</v>
      </c>
      <c r="T34" s="2416"/>
      <c r="U34" s="1668"/>
      <c r="V34" s="2417" t="str">
        <f>IF(TITLE_DATE_CHANGE_PERIOD="",IF(TITLE_DATE_PR="","",TITLE_DATE_PR),TITLE_DATE_CHANGE_PERIOD)</f>
        <v/>
      </c>
      <c r="W34" s="2417"/>
      <c r="X34" s="2417"/>
      <c r="Y34" s="2417"/>
      <c r="Z34" s="2417"/>
      <c r="AA34" s="2417"/>
      <c r="AB34" s="2417"/>
      <c r="AC34" s="547"/>
      <c r="AD34" s="2417" t="str">
        <f>IF(TITLE_DATE_CHANGE_PERIOD="",IF(TITLE_DATE_PR="","",TITLE_DATE_PR),TITLE_DATE_CHANGE_PERIOD)</f>
        <v/>
      </c>
      <c r="AE34" s="2417"/>
      <c r="AF34" s="2417"/>
      <c r="AG34" s="2417"/>
      <c r="AH34" s="2417"/>
      <c r="AI34" s="2417"/>
      <c r="AJ34" s="2417"/>
      <c r="AK34" s="547"/>
      <c r="AL34" s="547"/>
      <c r="AM34" s="490"/>
      <c r="AN34" s="593"/>
      <c r="AO34" s="593"/>
      <c r="AP34" s="593"/>
      <c r="AQ34" s="593"/>
      <c r="AR34" s="593"/>
    </row>
    <row s="10859" customFormat="1" customHeight="1" ht="18.75" hidden="1">
      <c r="A35" s="1664"/>
      <c r="B35" s="1664"/>
      <c r="C35" s="1664"/>
      <c r="D35" s="1664"/>
      <c r="E35" s="1664"/>
      <c r="F35" s="1664"/>
      <c r="G35" s="1664"/>
      <c r="H35" s="1664"/>
      <c r="I35" s="1664"/>
      <c r="J35" s="1664"/>
      <c r="K35" s="1664"/>
      <c r="L35" s="1665"/>
      <c r="M35" s="1664"/>
      <c r="N35" s="1664"/>
      <c r="O35" s="1664"/>
      <c r="S35" s="2416" t="s">
        <v>1543</v>
      </c>
      <c r="T35" s="2416"/>
      <c r="U35" s="1668"/>
      <c r="V35" s="2417" t="str">
        <f>IF(TITLE_NUMBER_PR_CHANGE="",IF(TITLE_NUMBER_PR="","",TITLE_NUMBER_PR),TITLE_NUMBER_PR_CHANGE)</f>
        <v/>
      </c>
      <c r="W35" s="2417"/>
      <c r="X35" s="2417"/>
      <c r="Y35" s="2417"/>
      <c r="Z35" s="2417"/>
      <c r="AA35" s="2417"/>
      <c r="AB35" s="2417"/>
      <c r="AC35" s="547"/>
      <c r="AD35" s="2417" t="str">
        <f>IF(TITLE_NUMBER_PR_CHANGE="",IF(TITLE_NUMBER_PR="","",TITLE_NUMBER_PR),TITLE_NUMBER_PR_CHANGE)</f>
        <v/>
      </c>
      <c r="AE35" s="2417"/>
      <c r="AF35" s="2417"/>
      <c r="AG35" s="2417"/>
      <c r="AH35" s="2417"/>
      <c r="AI35" s="2417"/>
      <c r="AJ35" s="2417"/>
      <c r="AK35" s="547"/>
      <c r="AL35" s="547"/>
      <c r="AM35" s="490"/>
      <c r="AN35" s="593"/>
      <c r="AO35" s="593"/>
      <c r="AP35" s="593"/>
      <c r="AQ35" s="593"/>
      <c r="AR35" s="593"/>
    </row>
    <row s="10859" customFormat="1" customHeight="1" ht="0">
      <c r="A36" s="1664"/>
      <c r="B36" s="1664"/>
      <c r="C36" s="1664"/>
      <c r="D36" s="1664"/>
      <c r="E36" s="1664"/>
      <c r="F36" s="1664"/>
      <c r="G36" s="1664"/>
      <c r="H36" s="1664"/>
      <c r="I36" s="1664"/>
      <c r="J36" s="1664"/>
      <c r="K36" s="1664"/>
      <c r="L36" s="1665"/>
      <c r="M36" s="1664"/>
      <c r="N36" s="1664"/>
      <c r="O36" s="1664"/>
      <c r="S36" s="543"/>
      <c r="T36" s="543"/>
      <c r="U36" s="1493"/>
      <c r="V36" s="547"/>
      <c r="W36" s="547"/>
      <c r="X36" s="547"/>
      <c r="Y36" s="547"/>
      <c r="Z36" s="547"/>
      <c r="AA36" s="547"/>
      <c r="AB36" s="547"/>
      <c r="AC36" s="488" t="s">
        <v>1544</v>
      </c>
      <c r="AD36" s="547"/>
      <c r="AE36" s="547"/>
      <c r="AF36" s="547"/>
      <c r="AG36" s="547"/>
      <c r="AH36" s="547"/>
      <c r="AI36" s="547"/>
      <c r="AJ36" s="547"/>
      <c r="AK36" s="488" t="s">
        <v>1544</v>
      </c>
      <c r="AN36" s="593"/>
      <c r="AO36" s="593"/>
      <c r="AP36" s="593"/>
      <c r="AQ36" s="593"/>
      <c r="AR36" s="593"/>
    </row>
    <row customHeight="1" ht="14.25">
      <c r="Q37" s="602"/>
      <c r="R37" s="602"/>
      <c r="S37" s="1565"/>
      <c r="T37" s="586"/>
      <c r="U37" s="1522"/>
      <c r="V37" s="2418"/>
      <c r="W37" s="2418"/>
      <c r="X37" s="2418"/>
      <c r="Y37" s="2418"/>
      <c r="Z37" s="2418"/>
      <c r="AA37" s="2418"/>
      <c r="AB37" s="2418"/>
      <c r="AC37" s="2418"/>
      <c r="AD37" s="2418"/>
      <c r="AE37" s="2418"/>
      <c r="AF37" s="2418"/>
      <c r="AG37" s="2418"/>
      <c r="AH37" s="2418"/>
      <c r="AI37" s="2418"/>
      <c r="AJ37" s="2418"/>
      <c r="AK37" s="2418"/>
    </row>
    <row customHeight="1" ht="14.25">
      <c r="Q38" s="602"/>
      <c r="R38" s="602"/>
      <c r="S38" s="2277" t="s">
        <v>362</v>
      </c>
      <c r="T38" s="2277"/>
      <c r="U38" s="2277"/>
      <c r="V38" s="2277"/>
      <c r="W38" s="2277"/>
      <c r="X38" s="2277"/>
      <c r="Y38" s="2277"/>
      <c r="Z38" s="2277"/>
      <c r="AA38" s="2277"/>
      <c r="AB38" s="2277"/>
      <c r="AC38" s="2277"/>
      <c r="AD38" s="2277"/>
      <c r="AE38" s="2277"/>
      <c r="AF38" s="2277"/>
      <c r="AG38" s="2277"/>
      <c r="AH38" s="2277"/>
      <c r="AI38" s="2277"/>
      <c r="AJ38" s="2277"/>
      <c r="AK38" s="2277"/>
      <c r="AL38" s="2277"/>
      <c r="AM38" s="2277" t="s">
        <v>363</v>
      </c>
    </row>
    <row customHeight="1" ht="14.25">
      <c r="Q39" s="602"/>
      <c r="R39" s="602"/>
      <c r="S39" s="2440" t="s">
        <v>88</v>
      </c>
      <c r="T39" s="2301" t="s">
        <v>1545</v>
      </c>
      <c r="U39" s="511"/>
      <c r="V39" s="2441" t="s">
        <v>1546</v>
      </c>
      <c r="W39" s="2442"/>
      <c r="X39" s="2442"/>
      <c r="Y39" s="2442"/>
      <c r="Z39" s="2442"/>
      <c r="AA39" s="2442"/>
      <c r="AB39" s="2443"/>
      <c r="AC39" s="2444" t="s">
        <v>1547</v>
      </c>
      <c r="AD39" s="2441" t="s">
        <v>1546</v>
      </c>
      <c r="AE39" s="2442"/>
      <c r="AF39" s="2442"/>
      <c r="AG39" s="2442"/>
      <c r="AH39" s="2442"/>
      <c r="AI39" s="2442"/>
      <c r="AJ39" s="2443"/>
      <c r="AK39" s="2444" t="s">
        <v>1548</v>
      </c>
      <c r="AL39" s="2447" t="s">
        <v>1549</v>
      </c>
      <c r="AM39" s="2277"/>
    </row>
    <row customHeight="1" ht="33.75">
      <c r="Q40" s="602"/>
      <c r="R40" s="602"/>
      <c r="S40" s="2440"/>
      <c r="T40" s="2301"/>
      <c r="U40" s="1289"/>
      <c r="V40" s="2426" t="s">
        <v>1550</v>
      </c>
      <c r="W40" s="2450" t="s">
        <v>1551</v>
      </c>
      <c r="X40" s="2428" t="s">
        <v>1552</v>
      </c>
      <c r="Y40" s="2429"/>
      <c r="Z40" s="2434" t="s">
        <v>1553</v>
      </c>
      <c r="AA40" s="2435"/>
      <c r="AB40" s="2436"/>
      <c r="AC40" s="2445"/>
      <c r="AD40" s="2426" t="s">
        <v>1550</v>
      </c>
      <c r="AE40" s="2450" t="s">
        <v>1551</v>
      </c>
      <c r="AF40" s="2428" t="s">
        <v>1552</v>
      </c>
      <c r="AG40" s="2429"/>
      <c r="AH40" s="2434" t="s">
        <v>1553</v>
      </c>
      <c r="AI40" s="2435"/>
      <c r="AJ40" s="2436"/>
      <c r="AK40" s="2445"/>
      <c r="AL40" s="2448"/>
      <c r="AM40" s="2277"/>
    </row>
    <row customHeight="1" ht="33.75">
      <c r="A41" s="1666"/>
      <c r="B41" s="1666" t="s">
        <v>212</v>
      </c>
      <c r="C41" s="1666" t="s">
        <v>213</v>
      </c>
      <c r="D41" s="1666" t="s">
        <v>214</v>
      </c>
      <c r="E41" s="1660" t="s">
        <v>1554</v>
      </c>
      <c r="F41" s="1660" t="s">
        <v>1555</v>
      </c>
      <c r="G41" s="1660" t="s">
        <v>1556</v>
      </c>
      <c r="H41" s="1660" t="s">
        <v>1557</v>
      </c>
      <c r="I41" s="1660" t="s">
        <v>1558</v>
      </c>
      <c r="J41" s="1660" t="s">
        <v>1559</v>
      </c>
      <c r="K41" s="1660" t="s">
        <v>1560</v>
      </c>
      <c r="L41" s="1660" t="s">
        <v>1535</v>
      </c>
      <c r="Q41" s="602"/>
      <c r="R41" s="602"/>
      <c r="S41" s="2440"/>
      <c r="T41" s="2301"/>
      <c r="U41" s="512"/>
      <c r="V41" s="2427"/>
      <c r="W41" s="2451"/>
      <c r="X41" s="1497" t="s">
        <v>1561</v>
      </c>
      <c r="Y41" s="1497" t="s">
        <v>1562</v>
      </c>
      <c r="Z41" s="1496" t="s">
        <v>1563</v>
      </c>
      <c r="AA41" s="2437" t="s">
        <v>1564</v>
      </c>
      <c r="AB41" s="2438"/>
      <c r="AC41" s="2446"/>
      <c r="AD41" s="2427"/>
      <c r="AE41" s="2451"/>
      <c r="AF41" s="1497" t="s">
        <v>1561</v>
      </c>
      <c r="AG41" s="1497" t="s">
        <v>1562</v>
      </c>
      <c r="AH41" s="1608" t="s">
        <v>1563</v>
      </c>
      <c r="AI41" s="2437" t="s">
        <v>1564</v>
      </c>
      <c r="AJ41" s="2438"/>
      <c r="AK41" s="2446"/>
      <c r="AL41" s="2449"/>
      <c r="AM41" s="2277"/>
    </row>
    <row s="10822" customFormat="1" customHeight="1" ht="11.25" hidden="1">
      <c r="A42" s="1666"/>
      <c r="B42" s="1666"/>
      <c r="C42" s="1666"/>
      <c r="D42" s="1666"/>
      <c r="E42" s="1666"/>
      <c r="F42" s="1666"/>
      <c r="G42" s="1666"/>
      <c r="H42" s="1666"/>
      <c r="I42" s="1666"/>
      <c r="J42" s="1666"/>
      <c r="K42" s="1666"/>
      <c r="L42" s="1660"/>
      <c r="M42" s="1658"/>
      <c r="N42" s="1658"/>
      <c r="O42" s="1658"/>
      <c r="P42" s="1524"/>
      <c r="Q42" s="1525"/>
      <c r="R42" s="1540">
        <v>1</v>
      </c>
      <c r="S42" s="1567" t="s">
        <v>109</v>
      </c>
      <c r="T42" s="1541" t="s">
        <v>110</v>
      </c>
      <c r="U42" s="1523" t="str">
        <f>OFFSET(U42,0,-1)</f>
        <v>2</v>
      </c>
      <c r="V42" s="1542">
        <f>OFFSET(V42,0,-1)+1</f>
        <v>3</v>
      </c>
      <c r="W42" s="1542"/>
      <c r="X42" s="1542">
        <f>OFFSET(X42,0,-1)+1</f>
        <v>1</v>
      </c>
      <c r="Y42" s="1542">
        <f>OFFSET(Y42,0,-1)+1</f>
        <v>2</v>
      </c>
      <c r="Z42" s="1542">
        <f>OFFSET(Z42,0,-1)+1</f>
        <v>3</v>
      </c>
      <c r="AA42" s="2439">
        <f>OFFSET(AA42,0,-1)+1</f>
        <v>4</v>
      </c>
      <c r="AB42" s="2439"/>
      <c r="AC42" s="1542">
        <f>OFFSET(AC42,0,-2)+1</f>
        <v>5</v>
      </c>
      <c r="AD42" s="1607">
        <f>OFFSET(AD42,0,-1)+1</f>
        <v>6</v>
      </c>
      <c r="AE42" s="1607"/>
      <c r="AF42" s="1607">
        <f>OFFSET(AF42,0,-1)+1</f>
        <v>1</v>
      </c>
      <c r="AG42" s="1607">
        <f>OFFSET(AG42,0,-1)+1</f>
        <v>2</v>
      </c>
      <c r="AH42" s="1607">
        <f>OFFSET(AH42,0,-1)+1</f>
        <v>3</v>
      </c>
      <c r="AI42" s="2439">
        <f>OFFSET(AI42,0,-1)+1</f>
        <v>4</v>
      </c>
      <c r="AJ42" s="2439"/>
      <c r="AK42" s="1607">
        <f>OFFSET(AK42,0,-2)+1</f>
        <v>5</v>
      </c>
      <c r="AL42" s="1523">
        <f>OFFSET(AL42,0,-1)</f>
        <v>5</v>
      </c>
      <c r="AM42" s="1542">
        <f>OFFSET(AM42,0,-1)+1</f>
        <v>6</v>
      </c>
      <c r="AN42" s="748"/>
      <c r="AO42" s="748"/>
      <c r="AP42" s="748"/>
      <c r="AQ42" s="748"/>
      <c r="AR42" s="748"/>
    </row>
    <row customHeight="1" ht="23.25">
      <c r="A43" s="1659" t="s">
        <v>227</v>
      </c>
      <c r="B43" s="1659"/>
      <c r="C43" s="1659"/>
      <c r="D43" s="1659"/>
      <c r="E43" s="2424">
        <v>1</v>
      </c>
      <c r="F43" s="1659"/>
      <c r="G43" s="1659"/>
      <c r="H43" s="1659"/>
      <c r="I43" s="1659"/>
      <c r="J43" s="1659"/>
      <c r="K43" s="1659"/>
      <c r="L43" s="1660"/>
      <c r="M43" s="1661"/>
      <c r="N43" s="1661"/>
      <c r="O43" s="1661"/>
      <c r="P43" s="582"/>
      <c r="Q43" s="581"/>
      <c r="R43" s="576"/>
      <c r="S43" s="1501">
        <f>INDEX(PT_DIFFERENTIATION_NUM_NTAR,MATCH(A43,PT_DIFFERENTIATION_NTAR_ID,0))</f>
        <v>0</v>
      </c>
      <c r="T43" s="508" t="s">
        <v>200</v>
      </c>
      <c r="U43" s="510"/>
      <c r="V43" s="4037"/>
      <c r="W43" s="4038"/>
      <c r="X43" s="4038"/>
      <c r="Y43" s="4038"/>
      <c r="Z43" s="4038"/>
      <c r="AA43" s="4038"/>
      <c r="AB43" s="4038"/>
      <c r="AC43" s="4039"/>
      <c r="AD43" s="4037" t="str">
        <f>INDEX(PT_DIFFERENTIATION_NTAR,MATCH(A43,PT_DIFFERENTIATION_NTAR_ID,0))</f>
        <v/>
      </c>
      <c r="AE43" s="4038"/>
      <c r="AF43" s="4038"/>
      <c r="AG43" s="4038"/>
      <c r="AH43" s="4038"/>
      <c r="AI43" s="4038"/>
      <c r="AJ43" s="4038"/>
      <c r="AK43" s="4038"/>
      <c r="AL43" s="4039"/>
      <c r="AM43" s="1546" t="str">
        <f>"Указывается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737"/>
      <c r="AP43" s="737" t="str">
        <f>IF(T43="","",T43)</f>
        <v>Наименование тарифа</v>
      </c>
      <c r="AQ43" s="737"/>
      <c r="AR43" s="737"/>
    </row>
    <row customHeight="1" ht="23.25">
      <c r="A44" s="1659" t="s">
        <v>227</v>
      </c>
      <c r="B44" s="1659" t="s">
        <v>228</v>
      </c>
      <c r="C44" s="1659"/>
      <c r="D44" s="1659"/>
      <c r="E44" s="2425"/>
      <c r="F44" s="2424">
        <v>1</v>
      </c>
      <c r="G44" s="1659"/>
      <c r="H44" s="1659"/>
      <c r="I44" s="1659"/>
      <c r="J44" s="1659"/>
      <c r="K44" s="1659"/>
      <c r="L44" s="1660"/>
      <c r="M44" s="1661"/>
      <c r="N44" s="1661"/>
      <c r="O44" s="1661"/>
      <c r="P44" s="759"/>
      <c r="Q44" s="573"/>
      <c r="R44" s="574"/>
      <c r="S44" s="1501" t="str">
        <f>INDEX(PT_DIFFERENTIATION_NUM_TER,MATCH(B44,PT_DIFFERENTIATION_TER_ID,0))</f>
        <v>.</v>
      </c>
      <c r="T44" s="520" t="s">
        <v>1517</v>
      </c>
      <c r="U44" s="510"/>
      <c r="V44" s="4037"/>
      <c r="W44" s="4038"/>
      <c r="X44" s="4038"/>
      <c r="Y44" s="4038"/>
      <c r="Z44" s="4038"/>
      <c r="AA44" s="4038"/>
      <c r="AB44" s="4038"/>
      <c r="AC44" s="4039"/>
      <c r="AD44" s="4037" t="str">
        <f>INDEX(PT_DIFFERENTIATION_TER,MATCH(B44,PT_DIFFERENTIATION_TER_ID,0))</f>
        <v/>
      </c>
      <c r="AE44" s="4038"/>
      <c r="AF44" s="4038"/>
      <c r="AG44" s="4038"/>
      <c r="AH44" s="4038"/>
      <c r="AI44" s="4038"/>
      <c r="AJ44" s="4038"/>
      <c r="AK44" s="4038"/>
      <c r="AL44" s="4039"/>
      <c r="AM44" s="1546" t="s">
        <v>1518</v>
      </c>
      <c r="AO44" s="737"/>
      <c r="AP44" s="737" t="str">
        <f>IF(T44="","",T44)</f>
        <v>Территория действия тарифа</v>
      </c>
      <c r="AQ44" s="737"/>
      <c r="AR44" s="737"/>
    </row>
    <row customHeight="1" ht="23.25">
      <c r="A45" s="1659" t="s">
        <v>227</v>
      </c>
      <c r="B45" s="1659" t="s">
        <v>228</v>
      </c>
      <c r="C45" s="1659" t="s">
        <v>229</v>
      </c>
      <c r="D45" s="1659"/>
      <c r="E45" s="2425"/>
      <c r="F45" s="2425"/>
      <c r="G45" s="2424">
        <v>1</v>
      </c>
      <c r="H45" s="1659"/>
      <c r="I45" s="1659"/>
      <c r="J45" s="1659"/>
      <c r="K45" s="1659"/>
      <c r="L45" s="1660"/>
      <c r="M45" s="1661"/>
      <c r="N45" s="1661"/>
      <c r="O45" s="1661"/>
      <c r="P45" s="575"/>
      <c r="Q45" s="573"/>
      <c r="R45" s="574"/>
      <c r="S45" s="1501" t="str">
        <f>INDEX(PT_DIFFERENTIATION_NUM_CS,MATCH(C45,PT_DIFFERENTIATION_CS_ID,0))</f>
        <v>..</v>
      </c>
      <c r="T45" s="521" t="s">
        <v>1519</v>
      </c>
      <c r="U45" s="510"/>
      <c r="V45" s="4037"/>
      <c r="W45" s="4038"/>
      <c r="X45" s="4038"/>
      <c r="Y45" s="4038"/>
      <c r="Z45" s="4038"/>
      <c r="AA45" s="4038"/>
      <c r="AB45" s="4038"/>
      <c r="AC45" s="4039"/>
      <c r="AD45" s="4037" t="str">
        <f>INDEX(PT_DIFFERENTIATION_CS,MATCH(C45,PT_DIFFERENTIATION_CS_ID,0))</f>
        <v/>
      </c>
      <c r="AE45" s="4038"/>
      <c r="AF45" s="4038"/>
      <c r="AG45" s="4038"/>
      <c r="AH45" s="4038"/>
      <c r="AI45" s="4038"/>
      <c r="AJ45" s="4038"/>
      <c r="AK45" s="4038"/>
      <c r="AL45" s="4039"/>
      <c r="AM45" s="1546" t="s">
        <v>1520</v>
      </c>
      <c r="AO45" s="737"/>
      <c r="AP45" s="737" t="str">
        <f>IF(T45="","",T45)</f>
        <v>Наименование системы теплоснабжения </v>
      </c>
      <c r="AQ45" s="737"/>
      <c r="AR45" s="737"/>
    </row>
    <row customHeight="1" ht="23.25">
      <c r="A46" s="1659" t="s">
        <v>227</v>
      </c>
      <c r="B46" s="1659" t="s">
        <v>228</v>
      </c>
      <c r="C46" s="1659" t="s">
        <v>229</v>
      </c>
      <c r="D46" s="1659" t="s">
        <v>230</v>
      </c>
      <c r="E46" s="2425"/>
      <c r="F46" s="2425"/>
      <c r="G46" s="2425"/>
      <c r="H46" s="2424">
        <v>1</v>
      </c>
      <c r="I46" s="1659"/>
      <c r="J46" s="1659"/>
      <c r="K46" s="1659"/>
      <c r="L46" s="1660"/>
      <c r="M46" s="1661"/>
      <c r="N46" s="1661"/>
      <c r="O46" s="1661"/>
      <c r="P46" s="575"/>
      <c r="Q46" s="573"/>
      <c r="R46" s="574"/>
      <c r="S46" s="1501" t="str">
        <f>INDEX(PT_DIFFERENTIATION_NUM_IST_TE,MATCH(D46,PT_DIFFERENTIATION_IST_TE_ID,0))</f>
        <v>...</v>
      </c>
      <c r="T46" s="522" t="s">
        <v>1521</v>
      </c>
      <c r="U46" s="510"/>
      <c r="V46" s="4037"/>
      <c r="W46" s="4038"/>
      <c r="X46" s="4038"/>
      <c r="Y46" s="4038"/>
      <c r="Z46" s="4038"/>
      <c r="AA46" s="4038"/>
      <c r="AB46" s="4038"/>
      <c r="AC46" s="4039"/>
      <c r="AD46" s="4037" t="str">
        <f>INDEX(PT_DIFFERENTIATION_IST_TE,MATCH(D46,PT_DIFFERENTIATION_IST_TE_ID,0))</f>
        <v/>
      </c>
      <c r="AE46" s="4038"/>
      <c r="AF46" s="4038"/>
      <c r="AG46" s="4038"/>
      <c r="AH46" s="4038"/>
      <c r="AI46" s="4038"/>
      <c r="AJ46" s="4038"/>
      <c r="AK46" s="4038"/>
      <c r="AL46" s="4039"/>
      <c r="AM46" s="1546" t="s">
        <v>1522</v>
      </c>
      <c r="AO46" s="737"/>
      <c r="AP46" s="737" t="str">
        <f>IF(T46="","",T46)</f>
        <v>Источник тепловой энергии  </v>
      </c>
      <c r="AQ46" s="737"/>
      <c r="AR46" s="737"/>
    </row>
    <row customHeight="1" ht="47.25">
      <c r="A47" s="1659" t="s">
        <v>227</v>
      </c>
      <c r="B47" s="1659" t="s">
        <v>228</v>
      </c>
      <c r="C47" s="1659" t="s">
        <v>229</v>
      </c>
      <c r="D47" s="1659" t="s">
        <v>230</v>
      </c>
      <c r="E47" s="2425"/>
      <c r="F47" s="2425"/>
      <c r="G47" s="2425"/>
      <c r="H47" s="2425"/>
      <c r="I47" s="2453" t="str">
        <f>S46&amp;".1"</f>
        <v>....1</v>
      </c>
      <c r="J47" s="1659"/>
      <c r="K47" s="1659"/>
      <c r="L47" s="1660" t="s">
        <v>1523</v>
      </c>
      <c r="P47" s="2423">
        <v>1</v>
      </c>
      <c r="Q47" s="1495"/>
      <c r="R47" s="577"/>
      <c r="S47" s="1501" t="str">
        <f>$I47</f>
        <v>....1</v>
      </c>
      <c r="T47" s="495" t="s">
        <v>1524</v>
      </c>
      <c r="U47" s="510"/>
      <c r="V47" s="2411"/>
      <c r="W47" s="2412"/>
      <c r="X47" s="2412"/>
      <c r="Y47" s="2412"/>
      <c r="Z47" s="2412"/>
      <c r="AA47" s="2412"/>
      <c r="AB47" s="2412"/>
      <c r="AC47" s="2413"/>
      <c r="AD47" s="2411"/>
      <c r="AE47" s="2412"/>
      <c r="AF47" s="2412"/>
      <c r="AG47" s="2412"/>
      <c r="AH47" s="2412"/>
      <c r="AI47" s="2412"/>
      <c r="AJ47" s="2412"/>
      <c r="AK47" s="2412"/>
      <c r="AL47" s="2413"/>
      <c r="AM47" s="1546" t="s">
        <v>1525</v>
      </c>
      <c r="AO47" s="737"/>
      <c r="AP47" s="737" t="str">
        <f>IF(T47="","",T47)</f>
        <v>Схема подключения теплопотребляющей установки к коллектору источника тепловой энергии</v>
      </c>
      <c r="AQ47" s="737"/>
      <c r="AR47" s="737"/>
    </row>
    <row customHeight="1" ht="23.25">
      <c r="A48" s="1659" t="s">
        <v>227</v>
      </c>
      <c r="B48" s="1659" t="s">
        <v>228</v>
      </c>
      <c r="C48" s="1659" t="s">
        <v>229</v>
      </c>
      <c r="D48" s="1659" t="s">
        <v>230</v>
      </c>
      <c r="E48" s="2425"/>
      <c r="F48" s="2425"/>
      <c r="G48" s="2425"/>
      <c r="H48" s="2425"/>
      <c r="I48" s="2454"/>
      <c r="J48" s="2422" t="str">
        <f>I47&amp;".1"</f>
        <v>....1.1</v>
      </c>
      <c r="K48" s="1659"/>
      <c r="L48" s="1660" t="s">
        <v>1526</v>
      </c>
      <c r="P48" s="2423"/>
      <c r="Q48" s="2423">
        <v>1</v>
      </c>
      <c r="R48" s="578"/>
      <c r="S48" s="1501" t="str">
        <f>$J48</f>
        <v>....1.1</v>
      </c>
      <c r="T48" s="496" t="s">
        <v>1527</v>
      </c>
      <c r="U48" s="510"/>
      <c r="V48" s="2411"/>
      <c r="W48" s="2412"/>
      <c r="X48" s="2412"/>
      <c r="Y48" s="2412"/>
      <c r="Z48" s="2412"/>
      <c r="AA48" s="2412"/>
      <c r="AB48" s="2412"/>
      <c r="AC48" s="2413"/>
      <c r="AD48" s="2411"/>
      <c r="AE48" s="2412"/>
      <c r="AF48" s="2412"/>
      <c r="AG48" s="2412"/>
      <c r="AH48" s="2412"/>
      <c r="AI48" s="2412"/>
      <c r="AJ48" s="2412"/>
      <c r="AK48" s="2412"/>
      <c r="AL48" s="2413"/>
      <c r="AM48" s="1546" t="s">
        <v>1528</v>
      </c>
      <c r="AO48" s="737"/>
      <c r="AP48" s="737" t="str">
        <f>IF(T48="","",T48)</f>
        <v>Группа потребителей</v>
      </c>
      <c r="AQ48" s="737"/>
      <c r="AR48" s="737"/>
    </row>
    <row customHeight="1" ht="23.25">
      <c r="A49" s="1659" t="s">
        <v>227</v>
      </c>
      <c r="B49" s="1659" t="s">
        <v>228</v>
      </c>
      <c r="C49" s="1659" t="s">
        <v>229</v>
      </c>
      <c r="D49" s="1659" t="s">
        <v>230</v>
      </c>
      <c r="E49" s="2425"/>
      <c r="F49" s="2425"/>
      <c r="G49" s="2425"/>
      <c r="H49" s="2425"/>
      <c r="I49" s="2454"/>
      <c r="J49" s="2455"/>
      <c r="K49" s="2422" t="str">
        <f>J48&amp;".1"</f>
        <v>....1.1.1</v>
      </c>
      <c r="L49" s="1660" t="s">
        <v>1529</v>
      </c>
      <c r="P49" s="2423"/>
      <c r="Q49" s="2423"/>
      <c r="R49" s="578">
        <v>1</v>
      </c>
      <c r="S49" s="1501" t="str">
        <f>$K49</f>
        <v>....1.1.1</v>
      </c>
      <c r="T49" s="1642"/>
      <c r="U49" s="510"/>
      <c r="V49" s="4065"/>
      <c r="W49" s="4066"/>
      <c r="X49" s="4065"/>
      <c r="Y49" s="4067"/>
      <c r="Z49" s="2430"/>
      <c r="AA49" s="2142" t="s">
        <v>67</v>
      </c>
      <c r="AB49" s="2430"/>
      <c r="AC49" s="2142" t="s">
        <v>67</v>
      </c>
      <c r="AD49" s="4065"/>
      <c r="AE49" s="4066"/>
      <c r="AF49" s="4065"/>
      <c r="AG49" s="4067"/>
      <c r="AH49" s="2430"/>
      <c r="AI49" s="2142" t="s">
        <v>67</v>
      </c>
      <c r="AJ49" s="2456"/>
      <c r="AK49" s="2142" t="s">
        <v>67</v>
      </c>
      <c r="AL49" s="4166"/>
      <c r="AM49" s="2419" t="s">
        <v>1530</v>
      </c>
      <c r="AN49" s="748">
        <f>STRCHECKDATE(V50:AL50)</f>
      </c>
      <c r="AO49" s="737"/>
      <c r="AP49" s="737" t="str">
        <f>IF(T49="","",T49)</f>
        <v/>
      </c>
      <c r="AQ49" s="737"/>
      <c r="AR49" s="737"/>
    </row>
    <row customHeight="1" ht="0.75">
      <c r="A50" s="1659" t="s">
        <v>227</v>
      </c>
      <c r="B50" s="1659" t="s">
        <v>228</v>
      </c>
      <c r="C50" s="1659" t="s">
        <v>229</v>
      </c>
      <c r="D50" s="1659" t="s">
        <v>230</v>
      </c>
      <c r="E50" s="2425"/>
      <c r="F50" s="2425"/>
      <c r="G50" s="2425"/>
      <c r="H50" s="2425"/>
      <c r="I50" s="2454"/>
      <c r="J50" s="2455"/>
      <c r="K50" s="2422"/>
      <c r="L50" s="1660"/>
      <c r="P50" s="2423"/>
      <c r="Q50" s="2423"/>
      <c r="R50" s="578"/>
      <c r="S50" s="1499"/>
      <c r="T50" s="510"/>
      <c r="U50" s="510"/>
      <c r="V50" s="4066"/>
      <c r="W50" s="4066"/>
      <c r="X50" s="4066"/>
      <c r="Y50" s="4071" t="str">
        <f>Z49&amp;"-"&amp;AB49</f>
        <v>-</v>
      </c>
      <c r="Z50" s="2431"/>
      <c r="AA50" s="2142"/>
      <c r="AB50" s="2431"/>
      <c r="AC50" s="2142"/>
      <c r="AD50" s="4066"/>
      <c r="AE50" s="4066"/>
      <c r="AF50" s="4066"/>
      <c r="AG50" s="4071" t="str">
        <f>AH49&amp;"-"&amp;AJ49</f>
        <v>-</v>
      </c>
      <c r="AH50" s="2431"/>
      <c r="AI50" s="2142"/>
      <c r="AJ50" s="2457"/>
      <c r="AK50" s="2142"/>
      <c r="AL50" s="4169"/>
      <c r="AM50" s="2420"/>
      <c r="AO50" s="737"/>
      <c r="AP50" s="737" t="str">
        <f>IF(T50="","",T50)</f>
        <v/>
      </c>
      <c r="AQ50" s="737"/>
      <c r="AR50" s="737"/>
    </row>
    <row customHeight="1" ht="11.25">
      <c r="A51" s="1659" t="s">
        <v>227</v>
      </c>
      <c r="B51" s="1659" t="s">
        <v>228</v>
      </c>
      <c r="C51" s="1659" t="s">
        <v>229</v>
      </c>
      <c r="D51" s="1659" t="s">
        <v>230</v>
      </c>
      <c r="E51" s="2425"/>
      <c r="F51" s="2425"/>
      <c r="G51" s="2425"/>
      <c r="H51" s="2425"/>
      <c r="I51" s="2454"/>
      <c r="J51" s="2422"/>
      <c r="K51" s="1659"/>
      <c r="L51" s="1660"/>
      <c r="P51" s="2423"/>
      <c r="Q51" s="2423"/>
      <c r="R51" s="577"/>
      <c r="S51" s="1568"/>
      <c r="T51" s="498" t="s">
        <v>1531</v>
      </c>
      <c r="U51" s="592"/>
      <c r="V51" s="592"/>
      <c r="W51" s="592"/>
      <c r="X51" s="592"/>
      <c r="Y51" s="592"/>
      <c r="Z51" s="592"/>
      <c r="AA51" s="592"/>
      <c r="AB51" s="592"/>
      <c r="AC51" s="592"/>
      <c r="AD51" s="592"/>
      <c r="AE51" s="592"/>
      <c r="AF51" s="592"/>
      <c r="AG51" s="592"/>
      <c r="AH51" s="592"/>
      <c r="AI51" s="592"/>
      <c r="AJ51" s="592"/>
      <c r="AK51" s="592"/>
      <c r="AL51" s="544"/>
      <c r="AM51" s="2421"/>
      <c r="AO51" s="737"/>
      <c r="AP51" s="737" t="str">
        <f>IF(T51="","",T51)</f>
        <v>Добавить вид теплоносителя (параметры теплоносителя)</v>
      </c>
      <c r="AQ51" s="737"/>
      <c r="AR51" s="737"/>
    </row>
    <row customHeight="1" ht="11.25">
      <c r="A52" s="1659" t="s">
        <v>227</v>
      </c>
      <c r="B52" s="1659" t="s">
        <v>228</v>
      </c>
      <c r="C52" s="1659" t="s">
        <v>229</v>
      </c>
      <c r="D52" s="1659" t="s">
        <v>230</v>
      </c>
      <c r="E52" s="2425"/>
      <c r="F52" s="2425"/>
      <c r="G52" s="2425"/>
      <c r="H52" s="2425"/>
      <c r="I52" s="2453"/>
      <c r="J52" s="1659"/>
      <c r="K52" s="1659"/>
      <c r="L52" s="1660"/>
      <c r="P52" s="2423"/>
      <c r="Q52" s="1495"/>
      <c r="R52" s="577"/>
      <c r="S52" s="1568"/>
      <c r="T52" s="497" t="s">
        <v>1532</v>
      </c>
      <c r="U52" s="592"/>
      <c r="V52" s="592"/>
      <c r="W52" s="592"/>
      <c r="X52" s="592"/>
      <c r="Y52" s="592"/>
      <c r="Z52" s="592"/>
      <c r="AA52" s="592"/>
      <c r="AB52" s="592"/>
      <c r="AC52" s="591"/>
      <c r="AD52" s="592"/>
      <c r="AE52" s="592"/>
      <c r="AF52" s="592"/>
      <c r="AG52" s="592"/>
      <c r="AH52" s="592"/>
      <c r="AI52" s="592"/>
      <c r="AJ52" s="592"/>
      <c r="AK52" s="591"/>
      <c r="AL52" s="592"/>
      <c r="AM52" s="513"/>
      <c r="AO52" s="737"/>
      <c r="AP52" s="737" t="str">
        <f>IF(T52="","",T52)</f>
        <v>Добавить группу потребителей</v>
      </c>
      <c r="AQ52" s="737"/>
      <c r="AR52" s="737"/>
    </row>
    <row customHeight="1" ht="14.25">
      <c r="A53" s="1659" t="s">
        <v>227</v>
      </c>
      <c r="B53" s="1659" t="s">
        <v>228</v>
      </c>
      <c r="C53" s="1659" t="s">
        <v>229</v>
      </c>
      <c r="D53" s="1659" t="s">
        <v>230</v>
      </c>
      <c r="E53" s="2425"/>
      <c r="F53" s="2425"/>
      <c r="G53" s="2425"/>
      <c r="H53" s="2424"/>
      <c r="I53" s="1659"/>
      <c r="J53" s="1659"/>
      <c r="K53" s="1659"/>
      <c r="L53" s="1660"/>
      <c r="M53" s="1661"/>
      <c r="N53" s="1661"/>
      <c r="O53" s="774"/>
      <c r="P53" s="581"/>
      <c r="Q53" s="601"/>
      <c r="R53" s="576"/>
      <c r="S53" s="1568"/>
      <c r="T53" s="589" t="s">
        <v>1533</v>
      </c>
      <c r="U53" s="592"/>
      <c r="V53" s="592"/>
      <c r="W53" s="592"/>
      <c r="X53" s="592"/>
      <c r="Y53" s="592"/>
      <c r="Z53" s="592"/>
      <c r="AA53" s="592"/>
      <c r="AB53" s="592"/>
      <c r="AC53" s="591"/>
      <c r="AD53" s="592"/>
      <c r="AE53" s="592"/>
      <c r="AF53" s="592"/>
      <c r="AG53" s="592"/>
      <c r="AH53" s="592"/>
      <c r="AI53" s="592"/>
      <c r="AJ53" s="592"/>
      <c r="AK53" s="591"/>
      <c r="AL53" s="592"/>
      <c r="AM53" s="513"/>
      <c r="AO53" s="737"/>
      <c r="AP53" s="737" t="str">
        <f>IF(T53="","",T53)</f>
        <v>Добавить схему подключения</v>
      </c>
      <c r="AQ53" s="737"/>
      <c r="AR53" s="737"/>
    </row>
    <row s="10863" customFormat="1" customHeight="1" ht="0.75">
      <c r="A54" s="1638" t="s">
        <v>227</v>
      </c>
      <c r="B54" s="1638" t="s">
        <v>228</v>
      </c>
      <c r="C54" s="1638" t="s">
        <v>229</v>
      </c>
      <c r="D54" s="1609"/>
      <c r="E54" s="2425"/>
      <c r="F54" s="2425"/>
      <c r="G54" s="2424"/>
      <c r="H54" s="1609"/>
      <c r="I54" s="1609"/>
      <c r="J54" s="1609"/>
      <c r="K54" s="1609"/>
      <c r="L54" s="1634"/>
      <c r="M54" s="1610"/>
      <c r="N54" s="1610"/>
      <c r="P54" s="1611"/>
      <c r="Q54" s="1612"/>
      <c r="R54" s="1611"/>
      <c r="S54" s="1617"/>
      <c r="T54" s="1620" t="s">
        <v>1492</v>
      </c>
      <c r="U54" s="1619"/>
      <c r="V54" s="1619"/>
      <c r="W54" s="1619"/>
      <c r="X54" s="1619"/>
      <c r="Y54" s="1619"/>
      <c r="Z54" s="1619"/>
      <c r="AA54" s="1619"/>
      <c r="AB54" s="1619"/>
      <c r="AC54" s="1619"/>
      <c r="AD54" s="1619"/>
      <c r="AE54" s="1619"/>
      <c r="AF54" s="1619"/>
      <c r="AG54" s="1619"/>
      <c r="AH54" s="1619"/>
      <c r="AI54" s="1619"/>
      <c r="AJ54" s="1619"/>
      <c r="AK54" s="1619"/>
      <c r="AL54" s="1619"/>
      <c r="AM54" s="1619"/>
      <c r="AO54" s="1029"/>
      <c r="AP54" s="1029" t="str">
        <f>IF(T54="","",T54)</f>
        <v>Добавить источник для дифференциации</v>
      </c>
      <c r="AQ54" s="1029"/>
      <c r="AR54" s="1029"/>
    </row>
    <row s="10863" customFormat="1" customHeight="1" ht="0.75">
      <c r="A55" s="1638" t="s">
        <v>227</v>
      </c>
      <c r="B55" s="1638" t="s">
        <v>228</v>
      </c>
      <c r="C55" s="1609"/>
      <c r="D55" s="1609"/>
      <c r="E55" s="2425"/>
      <c r="F55" s="2424"/>
      <c r="G55" s="1609"/>
      <c r="H55" s="1609"/>
      <c r="I55" s="1609"/>
      <c r="J55" s="1609"/>
      <c r="K55" s="1609"/>
      <c r="L55" s="1634"/>
      <c r="M55" s="1616"/>
      <c r="N55" s="1616"/>
      <c r="P55" s="1611"/>
      <c r="Q55" s="1612"/>
      <c r="R55" s="1611"/>
      <c r="S55" s="1617"/>
      <c r="T55" s="1620" t="s">
        <v>1493</v>
      </c>
      <c r="U55" s="1619"/>
      <c r="V55" s="1619"/>
      <c r="W55" s="1619"/>
      <c r="X55" s="1619"/>
      <c r="Y55" s="1619"/>
      <c r="Z55" s="1619"/>
      <c r="AA55" s="1619"/>
      <c r="AB55" s="1619"/>
      <c r="AC55" s="1619"/>
      <c r="AD55" s="1619"/>
      <c r="AE55" s="1619"/>
      <c r="AF55" s="1619"/>
      <c r="AG55" s="1619"/>
      <c r="AH55" s="1619"/>
      <c r="AI55" s="1619"/>
      <c r="AJ55" s="1619"/>
      <c r="AK55" s="1619"/>
      <c r="AL55" s="1619"/>
      <c r="AM55" s="1619"/>
      <c r="AO55" s="1029"/>
      <c r="AP55" s="1029" t="str">
        <f>IF(T55="","",T55)</f>
        <v>Добавить централизованную систему для дифференциации</v>
      </c>
      <c r="AQ55" s="1029"/>
      <c r="AR55" s="1029"/>
    </row>
    <row s="10863" customFormat="1" customHeight="1" ht="0.75">
      <c r="A56" s="1638" t="s">
        <v>227</v>
      </c>
      <c r="B56" s="1638"/>
      <c r="C56" s="1638"/>
      <c r="D56" s="1638"/>
      <c r="E56" s="2424"/>
      <c r="F56" s="1638"/>
      <c r="G56" s="1638"/>
      <c r="H56" s="1638"/>
      <c r="I56" s="1638"/>
      <c r="J56" s="1638"/>
      <c r="K56" s="1638"/>
      <c r="L56" s="1641"/>
      <c r="M56" s="1616"/>
      <c r="N56" s="1616"/>
      <c r="O56" s="755"/>
      <c r="P56" s="610"/>
      <c r="Q56" s="1639"/>
      <c r="R56" s="610"/>
      <c r="S56" s="1617"/>
      <c r="T56" s="1620" t="s">
        <v>1494</v>
      </c>
      <c r="U56" s="1619"/>
      <c r="V56" s="1619"/>
      <c r="W56" s="1619"/>
      <c r="X56" s="1619"/>
      <c r="Y56" s="1619"/>
      <c r="Z56" s="1619"/>
      <c r="AA56" s="1619"/>
      <c r="AB56" s="1619"/>
      <c r="AC56" s="1619"/>
      <c r="AD56" s="1619"/>
      <c r="AE56" s="1619"/>
      <c r="AF56" s="1619"/>
      <c r="AG56" s="1619"/>
      <c r="AH56" s="1619"/>
      <c r="AI56" s="1619"/>
      <c r="AJ56" s="1619"/>
      <c r="AK56" s="1619"/>
      <c r="AL56" s="1619"/>
      <c r="AM56" s="1619"/>
      <c r="AO56" s="737"/>
      <c r="AP56" s="737" t="str">
        <f>IF(T56="","",T56)</f>
        <v>Добавить территорию для дифференциации</v>
      </c>
      <c r="AQ56" s="737"/>
      <c r="AR56" s="737"/>
    </row>
    <row s="10863" customFormat="1" customHeight="1" ht="0.75">
      <c r="A57" s="1609"/>
      <c r="B57" s="1609"/>
      <c r="C57" s="1609"/>
      <c r="D57" s="1609"/>
      <c r="E57" s="1638"/>
      <c r="F57" s="1609"/>
      <c r="G57" s="1609"/>
      <c r="H57" s="1609"/>
      <c r="I57" s="1609"/>
      <c r="J57" s="1609"/>
      <c r="K57" s="1609"/>
      <c r="L57" s="1634"/>
      <c r="M57" s="1616"/>
      <c r="N57" s="1616"/>
      <c r="P57" s="1611"/>
      <c r="Q57" s="1612"/>
      <c r="R57" s="1611"/>
      <c r="S57" s="1617"/>
      <c r="T57" s="1620" t="s">
        <v>1495</v>
      </c>
      <c r="U57" s="1619"/>
      <c r="V57" s="1619"/>
      <c r="W57" s="1619"/>
      <c r="X57" s="1619"/>
      <c r="Y57" s="1619"/>
      <c r="Z57" s="1619"/>
      <c r="AA57" s="1619"/>
      <c r="AB57" s="1619"/>
      <c r="AC57" s="1619"/>
      <c r="AD57" s="1619"/>
      <c r="AE57" s="1619"/>
      <c r="AF57" s="1619"/>
      <c r="AG57" s="1619"/>
      <c r="AH57" s="1619"/>
      <c r="AI57" s="1619"/>
      <c r="AJ57" s="1619"/>
      <c r="AK57" s="1619"/>
      <c r="AL57" s="1619"/>
      <c r="AM57" s="1619"/>
      <c r="AO57" s="1029"/>
      <c r="AP57" s="1029" t="str">
        <f>IF(T57="","",T57)</f>
        <v>Добавить наименование тарифа</v>
      </c>
      <c r="AQ57" s="1029"/>
      <c r="AR57" s="1029"/>
    </row>
    <row customHeight="1" ht="11.25" hidden="1">
      <c r="M58" s="1421"/>
      <c r="N58" s="1421"/>
      <c r="O58" s="774"/>
      <c r="P58" s="1416"/>
      <c r="Q58" s="1416"/>
      <c r="R58" s="1416"/>
      <c r="S58" s="1416"/>
      <c r="AN58" s="1416"/>
      <c r="AO58" s="1416"/>
      <c r="AP58" s="1416"/>
      <c r="AQ58" s="1416"/>
      <c r="AR58" s="1416"/>
    </row>
    <row customHeight="1" ht="27" hidden="1">
      <c r="O59" s="774"/>
      <c r="S59" s="1533" t="s">
        <v>1565</v>
      </c>
      <c r="T59" s="2452" t="s">
        <v>1566</v>
      </c>
      <c r="U59" s="2452"/>
      <c r="V59" s="2452"/>
      <c r="W59" s="2452"/>
      <c r="X59" s="2452"/>
      <c r="Y59" s="2452"/>
      <c r="Z59" s="2452"/>
      <c r="AA59" s="2452"/>
      <c r="AB59" s="2452"/>
      <c r="AC59" s="2452"/>
      <c r="AD59" s="2452"/>
      <c r="AE59" s="2452"/>
      <c r="AF59" s="2452"/>
      <c r="AG59" s="2452"/>
      <c r="AH59" s="2452"/>
      <c r="AI59" s="2452"/>
      <c r="AJ59" s="2452"/>
      <c r="AK59" s="2452"/>
      <c r="AL59" s="2452"/>
      <c r="AM59" s="2452"/>
    </row>
    <row customHeight="1" ht="64.5" hidden="1">
      <c r="O60" s="774"/>
      <c r="P60" s="1597"/>
      <c r="T60" s="2452" t="s">
        <v>1567</v>
      </c>
      <c r="U60" s="2452"/>
      <c r="V60" s="2452"/>
      <c r="W60" s="2452"/>
      <c r="X60" s="2452"/>
      <c r="Y60" s="2452"/>
      <c r="Z60" s="2452"/>
      <c r="AA60" s="2452"/>
      <c r="AB60" s="2452"/>
      <c r="AC60" s="2452"/>
      <c r="AD60" s="2452"/>
      <c r="AE60" s="2452"/>
      <c r="AF60" s="2452"/>
      <c r="AG60" s="2452"/>
      <c r="AH60" s="2452"/>
      <c r="AI60" s="2452"/>
      <c r="AJ60" s="2452"/>
      <c r="AK60" s="2452"/>
      <c r="AL60" s="2452"/>
      <c r="AM60" s="2452"/>
    </row>
    <row customHeight="1" ht="14.25" hidden="1">
      <c r="O61" s="774"/>
    </row>
    <row customHeight="1" ht="18" hidden="1">
      <c r="O62" s="774"/>
      <c r="P62" s="1623"/>
      <c r="S62" s="1533" t="s">
        <v>1565</v>
      </c>
      <c r="T62" s="2452" t="s">
        <v>1568</v>
      </c>
      <c r="U62" s="2452"/>
      <c r="V62" s="2452"/>
      <c r="W62" s="2452"/>
      <c r="X62" s="2452"/>
      <c r="Y62" s="2452"/>
      <c r="Z62" s="2452"/>
      <c r="AA62" s="2452"/>
      <c r="AB62" s="2452"/>
      <c r="AC62" s="2452"/>
      <c r="AD62" s="2452"/>
      <c r="AE62" s="2452"/>
      <c r="AF62" s="2452"/>
      <c r="AG62" s="2452"/>
      <c r="AH62" s="2452"/>
      <c r="AI62" s="2452"/>
      <c r="AJ62" s="2452"/>
      <c r="AK62" s="2452"/>
      <c r="AL62" s="2452"/>
      <c r="AM62" s="2452"/>
    </row>
    <row customHeight="1" ht="18" hidden="1">
      <c r="O63" s="774"/>
      <c r="P63" s="1623"/>
      <c r="T63" s="2452" t="s">
        <v>1569</v>
      </c>
      <c r="U63" s="2452"/>
      <c r="V63" s="2452"/>
      <c r="W63" s="2452"/>
      <c r="X63" s="2452"/>
      <c r="Y63" s="2452"/>
      <c r="Z63" s="2452"/>
      <c r="AA63" s="2452"/>
      <c r="AB63" s="2452"/>
      <c r="AC63" s="2452"/>
      <c r="AD63" s="2452"/>
      <c r="AE63" s="2452"/>
      <c r="AF63" s="2452"/>
      <c r="AG63" s="2452"/>
      <c r="AH63" s="2452"/>
      <c r="AI63" s="2452"/>
      <c r="AJ63" s="2452"/>
      <c r="AK63" s="2452"/>
      <c r="AL63" s="2452"/>
      <c r="AM63" s="2452"/>
    </row>
    <row customHeight="1" ht="27.75" hidden="1">
      <c r="O64" s="774"/>
      <c r="P64" s="1623"/>
      <c r="S64" s="1533"/>
      <c r="T64" s="2452" t="s">
        <v>1570</v>
      </c>
      <c r="U64" s="2452"/>
      <c r="V64" s="2452"/>
      <c r="W64" s="2452"/>
      <c r="X64" s="2452"/>
      <c r="Y64" s="2452"/>
      <c r="Z64" s="2452"/>
      <c r="AA64" s="2452"/>
      <c r="AB64" s="2452"/>
      <c r="AC64" s="2452"/>
      <c r="AD64" s="2452"/>
      <c r="AE64" s="2452"/>
      <c r="AF64" s="2452"/>
      <c r="AG64" s="2452"/>
      <c r="AH64" s="2452"/>
      <c r="AI64" s="2452"/>
      <c r="AJ64" s="2452"/>
      <c r="AK64" s="2452"/>
      <c r="AL64" s="2452"/>
      <c r="AM64" s="2452"/>
    </row>
  </sheetData>
  <sheetProtection formatColumns="0" formatRows="0" autoFilter="0" sort="0" insertRows="0" insertColumns="1" deleteRows="0" deleteColumns="0"/>
  <mergeCells count="112">
    <mergeCell ref="V7:AC7"/>
    <mergeCell ref="AD7:AL7"/>
    <mergeCell ref="S34:T34"/>
    <mergeCell ref="V34:AB34"/>
    <mergeCell ref="AD34:AJ34"/>
    <mergeCell ref="S35:T35"/>
    <mergeCell ref="V35:AB35"/>
    <mergeCell ref="AD35:AJ35"/>
    <mergeCell ref="V2:AC2"/>
    <mergeCell ref="AD2:AL2"/>
    <mergeCell ref="V3:AC3"/>
    <mergeCell ref="AD3:AL3"/>
    <mergeCell ref="V4:AC4"/>
    <mergeCell ref="AD4:AL4"/>
    <mergeCell ref="V5:AC5"/>
    <mergeCell ref="AD5:AL5"/>
    <mergeCell ref="V6:AC6"/>
    <mergeCell ref="AD6:AL6"/>
    <mergeCell ref="AI17:AI18"/>
    <mergeCell ref="AJ17:AJ18"/>
    <mergeCell ref="AK17:AK18"/>
    <mergeCell ref="AK8:AK9"/>
    <mergeCell ref="AD29:AJ29"/>
    <mergeCell ref="AD30:AJ30"/>
    <mergeCell ref="T62:AM62"/>
    <mergeCell ref="T63:AM63"/>
    <mergeCell ref="T64:AM64"/>
    <mergeCell ref="E2:E15"/>
    <mergeCell ref="F3:F14"/>
    <mergeCell ref="G4:G13"/>
    <mergeCell ref="H5:H12"/>
    <mergeCell ref="I6:I11"/>
    <mergeCell ref="J7:J10"/>
    <mergeCell ref="I47:I52"/>
    <mergeCell ref="J48:J51"/>
    <mergeCell ref="K49:K50"/>
    <mergeCell ref="P47:P52"/>
    <mergeCell ref="Q48:Q51"/>
    <mergeCell ref="AH49:AH50"/>
    <mergeCell ref="AI49:AI50"/>
    <mergeCell ref="AJ49:AJ50"/>
    <mergeCell ref="AK49:AK50"/>
    <mergeCell ref="T59:AM59"/>
    <mergeCell ref="W40:W41"/>
    <mergeCell ref="T60:AM60"/>
    <mergeCell ref="Z49:Z50"/>
    <mergeCell ref="AA49:AA50"/>
    <mergeCell ref="AB49:AB50"/>
    <mergeCell ref="Z40:AB40"/>
    <mergeCell ref="AA41:AB41"/>
    <mergeCell ref="AA42:AB42"/>
    <mergeCell ref="V37:AC37"/>
    <mergeCell ref="S38:AL38"/>
    <mergeCell ref="AM38:AM41"/>
    <mergeCell ref="S39:S41"/>
    <mergeCell ref="T39:T41"/>
    <mergeCell ref="V39:AB39"/>
    <mergeCell ref="AC39:AC41"/>
    <mergeCell ref="AL39:AL41"/>
    <mergeCell ref="AI42:AJ42"/>
    <mergeCell ref="AD39:AJ39"/>
    <mergeCell ref="AK39:AK41"/>
    <mergeCell ref="AD40:AD41"/>
    <mergeCell ref="AE40:AE41"/>
    <mergeCell ref="AF40:AG40"/>
    <mergeCell ref="AH40:AJ40"/>
    <mergeCell ref="AI41:AJ41"/>
    <mergeCell ref="AC49:AC50"/>
    <mergeCell ref="AM49:AM51"/>
    <mergeCell ref="AM8:AM10"/>
    <mergeCell ref="K8:K9"/>
    <mergeCell ref="P6:P11"/>
    <mergeCell ref="E43:E56"/>
    <mergeCell ref="F44:F55"/>
    <mergeCell ref="G45:G54"/>
    <mergeCell ref="H46:H53"/>
    <mergeCell ref="V40:V41"/>
    <mergeCell ref="X40:Y40"/>
    <mergeCell ref="V29:AB29"/>
    <mergeCell ref="V30:AB30"/>
    <mergeCell ref="V31:AB31"/>
    <mergeCell ref="V32:AB32"/>
    <mergeCell ref="Q7:Q10"/>
    <mergeCell ref="AH8:AH9"/>
    <mergeCell ref="AI8:AI9"/>
    <mergeCell ref="AJ8:AJ9"/>
    <mergeCell ref="Z8:Z9"/>
    <mergeCell ref="AA8:AA9"/>
    <mergeCell ref="AB8:AB9"/>
    <mergeCell ref="AC8:AC9"/>
    <mergeCell ref="AH17:AH18"/>
    <mergeCell ref="S26:AJ26"/>
    <mergeCell ref="S27:AJ27"/>
    <mergeCell ref="S29:T29"/>
    <mergeCell ref="S30:T30"/>
    <mergeCell ref="S31:T31"/>
    <mergeCell ref="S32:T32"/>
    <mergeCell ref="AD31:AJ31"/>
    <mergeCell ref="AD32:AJ32"/>
    <mergeCell ref="AD37:AK37"/>
    <mergeCell ref="V43:AC43"/>
    <mergeCell ref="V44:AC44"/>
    <mergeCell ref="V45:AC45"/>
    <mergeCell ref="V46:AC46"/>
    <mergeCell ref="V47:AC47"/>
    <mergeCell ref="V48:AC48"/>
    <mergeCell ref="AD43:AL43"/>
    <mergeCell ref="AD44:AL44"/>
    <mergeCell ref="AD45:AL45"/>
    <mergeCell ref="AD46:AL46"/>
    <mergeCell ref="AD47:AL47"/>
    <mergeCell ref="AD48:AL48"/>
  </mergeCells>
  <dataValidations count="8">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96E26B6-E77B-BE71-D5FB-FFF5149825C6}" mc:Ignorable="x14ac xr xr2 xr3">
  <sheetPr>
    <tabColor theme="6" tint="0.4"/>
  </sheetPr>
  <dimension ref="A1:AR64"/>
  <sheetViews>
    <sheetView topLeftCell="P25" showGridLines="0" zoomScale="90" workbookViewId="0">
      <selection activeCell="A1" sqref="A1"/>
    </sheetView>
  </sheetViews>
  <sheetFormatPr defaultColWidth="10.57421875" customHeight="1" defaultRowHeight="14.25"/>
  <cols>
    <col min="1" max="1" style="11074" width="10.57421875" hidden="1"/>
    <col min="2" max="2" style="11074" width="11.00390625" hidden="1" customWidth="1"/>
    <col min="3" max="3" style="11074" width="10.57421875" hidden="1"/>
    <col min="4" max="4" style="11074" width="11.8515625" hidden="1" customWidth="1"/>
    <col min="5" max="5" style="11074" width="10.00390625" hidden="1" customWidth="1"/>
    <col min="6" max="6" style="11074" width="8.7109375" hidden="1" customWidth="1"/>
    <col min="7" max="7" style="11074" width="7.57421875" hidden="1" customWidth="1"/>
    <col min="8" max="8" style="11074" width="11.421875" hidden="1" customWidth="1"/>
    <col min="9" max="9" style="11074" width="12.00390625" hidden="1" customWidth="1"/>
    <col min="10" max="10" style="11074" width="9.8515625" hidden="1" customWidth="1"/>
    <col min="11" max="11" style="11074" width="11.421875" hidden="1" customWidth="1"/>
    <col min="12" max="12" style="11240" width="19.140625" hidden="1" customWidth="1"/>
    <col min="13" max="14" style="9887" width="12.28125" hidden="1" customWidth="1"/>
    <col min="15" max="15" style="9887" width="23.421875" hidden="1" customWidth="1"/>
    <col min="16" max="16" style="11241" width="3.7109375" customWidth="1"/>
    <col min="17" max="18" style="10046" width="3.7109375" customWidth="1"/>
    <col min="19" max="19" style="11124" width="12.7109375" customWidth="1"/>
    <col min="20" max="20" style="11126" width="32.00390625" customWidth="1"/>
    <col min="21" max="21" style="11126" width="0.140625" customWidth="1"/>
    <col min="22" max="22" style="11126" width="24.7109375" hidden="1" customWidth="1"/>
    <col min="23" max="23" style="11126" width="0.140625" hidden="1" customWidth="1"/>
    <col min="24" max="25" style="11126" width="24.7109375" hidden="1" customWidth="1"/>
    <col min="26" max="26" style="11126" width="11.7109375" hidden="1" customWidth="1"/>
    <col min="27" max="27" style="11126" width="3.7109375" hidden="1" customWidth="1"/>
    <col min="28" max="28" style="11126" width="11.7109375" hidden="1" customWidth="1"/>
    <col min="29" max="29" style="11126" width="8.57421875" hidden="1" customWidth="1"/>
    <col min="30" max="30" style="11126" width="24.7109375" customWidth="1"/>
    <col min="31" max="31" style="11126" width="0.140625" customWidth="1"/>
    <col min="32" max="33" style="11126" width="24.7109375" customWidth="1"/>
    <col min="34" max="34" style="11126" width="11.7109375" customWidth="1"/>
    <col min="35" max="35" style="11126" width="3.7109375" customWidth="1"/>
    <col min="36" max="36" style="11126" width="11.7109375" customWidth="1"/>
    <col min="37" max="37" style="11126" width="8.57421875" hidden="1" customWidth="1"/>
    <col min="38" max="38" style="11126" width="4.7109375" customWidth="1"/>
    <col min="39" max="39" style="11126" width="115.7109375" customWidth="1"/>
    <col min="40" max="41" style="10863" width="10.57421875"/>
    <col min="42" max="42" style="10863" width="11.140625" customWidth="1"/>
    <col min="43" max="44" style="10863" width="10.57421875"/>
  </cols>
  <sheetData>
    <row customHeight="1" ht="14.25" hidden="1">
      <c r="Y1" s="548"/>
      <c r="Z1" s="548"/>
      <c r="AG1" s="548"/>
      <c r="AH1" s="548"/>
    </row>
    <row customHeight="1" ht="21" hidden="1">
      <c r="A2" s="1659"/>
      <c r="B2" s="1659"/>
      <c r="C2" s="1659"/>
      <c r="D2" s="1659"/>
      <c r="E2" s="2424">
        <v>1</v>
      </c>
      <c r="F2" s="1659"/>
      <c r="G2" s="1659"/>
      <c r="H2" s="1659"/>
      <c r="I2" s="1659"/>
      <c r="J2" s="1659"/>
      <c r="K2" s="1659"/>
      <c r="L2" s="1660"/>
      <c r="M2" s="1661"/>
      <c r="N2" s="1661"/>
      <c r="O2" s="1661"/>
      <c r="P2" s="582"/>
      <c r="Q2" s="581"/>
      <c r="R2" s="576"/>
      <c r="S2" s="1631">
        <f>INDEX(PT_DIFFERENTIATION_NUM_NTAR,MATCH(A2,PT_DIFFERENTIATION_NTAR_ID,0))</f>
      </c>
      <c r="T2" s="508" t="s">
        <v>200</v>
      </c>
      <c r="U2" s="510"/>
      <c r="V2" s="4037"/>
      <c r="W2" s="4038"/>
      <c r="X2" s="4038"/>
      <c r="Y2" s="4038"/>
      <c r="Z2" s="4038"/>
      <c r="AA2" s="4038"/>
      <c r="AB2" s="4038"/>
      <c r="AC2" s="4039"/>
      <c r="AD2" s="4037">
        <f>INDEX(PT_DIFFERENTIATION_NTAR,MATCH(A2,PT_DIFFERENTIATION_NTAR_ID,0))</f>
      </c>
      <c r="AE2" s="4038"/>
      <c r="AF2" s="4038"/>
      <c r="AG2" s="4038"/>
      <c r="AH2" s="4038"/>
      <c r="AI2" s="4038"/>
      <c r="AJ2" s="4038"/>
      <c r="AK2" s="4038"/>
      <c r="AL2" s="4039"/>
      <c r="AM2" s="1546" t="s">
        <v>1516</v>
      </c>
      <c r="AO2" s="737"/>
      <c r="AP2" s="737" t="str">
        <f>IF(T2="","",T2)</f>
        <v>Наименование тарифа</v>
      </c>
      <c r="AQ2" s="737"/>
      <c r="AR2" s="737"/>
    </row>
    <row customHeight="1" ht="21" hidden="1">
      <c r="A3" s="1659"/>
      <c r="B3" s="1659"/>
      <c r="C3" s="1659"/>
      <c r="D3" s="1659"/>
      <c r="E3" s="2425"/>
      <c r="F3" s="2424">
        <v>1</v>
      </c>
      <c r="G3" s="1659"/>
      <c r="H3" s="1659"/>
      <c r="I3" s="1659"/>
      <c r="J3" s="1659"/>
      <c r="K3" s="1659"/>
      <c r="L3" s="1660"/>
      <c r="M3" s="1661"/>
      <c r="N3" s="1661"/>
      <c r="O3" s="1661"/>
      <c r="P3" s="1627"/>
      <c r="Q3" s="573"/>
      <c r="R3" s="574"/>
      <c r="S3" s="1631">
        <f>INDEX(PT_DIFFERENTIATION_NUM_TER,MATCH(B3,PT_DIFFERENTIATION_TER_ID,0))</f>
      </c>
      <c r="T3" s="520" t="s">
        <v>1517</v>
      </c>
      <c r="U3" s="510"/>
      <c r="V3" s="4037"/>
      <c r="W3" s="4038"/>
      <c r="X3" s="4038"/>
      <c r="Y3" s="4038"/>
      <c r="Z3" s="4038"/>
      <c r="AA3" s="4038"/>
      <c r="AB3" s="4038"/>
      <c r="AC3" s="4039"/>
      <c r="AD3" s="4037">
        <f>INDEX(PT_DIFFERENTIATION_TER,MATCH(B3,PT_DIFFERENTIATION_TER_ID,0))</f>
      </c>
      <c r="AE3" s="4038"/>
      <c r="AF3" s="4038"/>
      <c r="AG3" s="4038"/>
      <c r="AH3" s="4038"/>
      <c r="AI3" s="4038"/>
      <c r="AJ3" s="4038"/>
      <c r="AK3" s="4038"/>
      <c r="AL3" s="4039"/>
      <c r="AM3" s="1546" t="s">
        <v>1518</v>
      </c>
      <c r="AO3" s="737"/>
      <c r="AP3" s="737" t="str">
        <f>IF(T3="","",T3)</f>
        <v>Территория действия тарифа</v>
      </c>
      <c r="AQ3" s="737"/>
      <c r="AR3" s="737"/>
    </row>
    <row customHeight="1" ht="23.25" hidden="1">
      <c r="A4" s="1659"/>
      <c r="B4" s="1659"/>
      <c r="C4" s="1659"/>
      <c r="D4" s="1659"/>
      <c r="E4" s="2425"/>
      <c r="F4" s="2425"/>
      <c r="G4" s="2424">
        <v>1</v>
      </c>
      <c r="H4" s="1659"/>
      <c r="I4" s="1659"/>
      <c r="J4" s="1659"/>
      <c r="K4" s="1659"/>
      <c r="L4" s="1660"/>
      <c r="M4" s="1661"/>
      <c r="N4" s="1661"/>
      <c r="O4" s="1661"/>
      <c r="P4" s="575"/>
      <c r="Q4" s="573"/>
      <c r="R4" s="574"/>
      <c r="S4" s="1631">
        <f>INDEX(PT_DIFFERENTIATION_NUM_CS,MATCH(C4,PT_DIFFERENTIATION_CS_ID,0))</f>
      </c>
      <c r="T4" s="521" t="s">
        <v>1519</v>
      </c>
      <c r="U4" s="510"/>
      <c r="V4" s="4037"/>
      <c r="W4" s="4038"/>
      <c r="X4" s="4038"/>
      <c r="Y4" s="4038"/>
      <c r="Z4" s="4038"/>
      <c r="AA4" s="4038"/>
      <c r="AB4" s="4038"/>
      <c r="AC4" s="4039"/>
      <c r="AD4" s="4037">
        <f>INDEX(PT_DIFFERENTIATION_CS,MATCH(C4,PT_DIFFERENTIATION_CS_ID,0))</f>
      </c>
      <c r="AE4" s="4038"/>
      <c r="AF4" s="4038"/>
      <c r="AG4" s="4038"/>
      <c r="AH4" s="4038"/>
      <c r="AI4" s="4038"/>
      <c r="AJ4" s="4038"/>
      <c r="AK4" s="4038"/>
      <c r="AL4" s="4039"/>
      <c r="AM4" s="1546" t="s">
        <v>1520</v>
      </c>
      <c r="AO4" s="737"/>
      <c r="AP4" s="737" t="str">
        <f>IF(T4="","",T4)</f>
        <v>Наименование системы теплоснабжения </v>
      </c>
      <c r="AQ4" s="737"/>
      <c r="AR4" s="737"/>
    </row>
    <row customHeight="1" ht="21" hidden="1">
      <c r="A5" s="1659"/>
      <c r="B5" s="1659"/>
      <c r="C5" s="1659"/>
      <c r="D5" s="1659"/>
      <c r="E5" s="2425"/>
      <c r="F5" s="2425"/>
      <c r="G5" s="2425"/>
      <c r="H5" s="2424">
        <v>1</v>
      </c>
      <c r="I5" s="1659"/>
      <c r="J5" s="1659"/>
      <c r="K5" s="1659"/>
      <c r="L5" s="1660"/>
      <c r="M5" s="1661"/>
      <c r="N5" s="1661"/>
      <c r="O5" s="1661"/>
      <c r="P5" s="575"/>
      <c r="Q5" s="573"/>
      <c r="R5" s="574"/>
      <c r="S5" s="1631">
        <f>INDEX(PT_DIFFERENTIATION_NUM_IST_TE,MATCH(D5,PT_DIFFERENTIATION_IST_TE_ID,0))</f>
      </c>
      <c r="T5" s="522" t="s">
        <v>1521</v>
      </c>
      <c r="U5" s="510"/>
      <c r="V5" s="4037"/>
      <c r="W5" s="4038"/>
      <c r="X5" s="4038"/>
      <c r="Y5" s="4038"/>
      <c r="Z5" s="4038"/>
      <c r="AA5" s="4038"/>
      <c r="AB5" s="4038"/>
      <c r="AC5" s="4039"/>
      <c r="AD5" s="4037">
        <f>INDEX(PT_DIFFERENTIATION_IST_TE,MATCH(D5,PT_DIFFERENTIATION_IST_TE_ID,0))</f>
      </c>
      <c r="AE5" s="4038"/>
      <c r="AF5" s="4038"/>
      <c r="AG5" s="4038"/>
      <c r="AH5" s="4038"/>
      <c r="AI5" s="4038"/>
      <c r="AJ5" s="4038"/>
      <c r="AK5" s="4038"/>
      <c r="AL5" s="4039"/>
      <c r="AM5" s="1546" t="s">
        <v>1522</v>
      </c>
      <c r="AO5" s="737"/>
      <c r="AP5" s="737" t="str">
        <f>IF(T5="","",T5)</f>
        <v>Источник тепловой энергии  </v>
      </c>
      <c r="AQ5" s="737"/>
      <c r="AR5" s="737"/>
    </row>
    <row customHeight="1" ht="47.25" hidden="1">
      <c r="A6" s="1659"/>
      <c r="B6" s="1659"/>
      <c r="C6" s="1659"/>
      <c r="D6" s="1659"/>
      <c r="E6" s="2425"/>
      <c r="F6" s="2425"/>
      <c r="G6" s="2425"/>
      <c r="H6" s="2425"/>
      <c r="I6" s="2453">
        <f>S5&amp;".1"</f>
      </c>
      <c r="J6" s="1659"/>
      <c r="K6" s="1659"/>
      <c r="L6" s="1660" t="s">
        <v>1523</v>
      </c>
      <c r="M6" s="774"/>
      <c r="P6" s="2423">
        <v>1</v>
      </c>
      <c r="Q6" s="1626"/>
      <c r="R6" s="577"/>
      <c r="S6" s="1631">
        <f>$I6</f>
      </c>
      <c r="T6" s="495" t="s">
        <v>1524</v>
      </c>
      <c r="U6" s="510"/>
      <c r="V6" s="2411"/>
      <c r="W6" s="2412"/>
      <c r="X6" s="2412"/>
      <c r="Y6" s="2412"/>
      <c r="Z6" s="2412"/>
      <c r="AA6" s="2412"/>
      <c r="AB6" s="2412"/>
      <c r="AC6" s="2413"/>
      <c r="AD6" s="2411"/>
      <c r="AE6" s="2412"/>
      <c r="AF6" s="2412"/>
      <c r="AG6" s="2412"/>
      <c r="AH6" s="2412"/>
      <c r="AI6" s="2412"/>
      <c r="AJ6" s="2412"/>
      <c r="AK6" s="2412"/>
      <c r="AL6" s="2413"/>
      <c r="AM6" s="1546" t="s">
        <v>1525</v>
      </c>
      <c r="AO6" s="737"/>
      <c r="AP6" s="737" t="str">
        <f>IF(T6="","",T6)</f>
        <v>Схема подключения теплопотребляющей установки к коллектору источника тепловой энергии</v>
      </c>
      <c r="AQ6" s="737"/>
      <c r="AR6" s="737"/>
    </row>
    <row customHeight="1" ht="21" hidden="1">
      <c r="A7" s="1659"/>
      <c r="B7" s="1659"/>
      <c r="C7" s="1659"/>
      <c r="D7" s="1659"/>
      <c r="E7" s="2425"/>
      <c r="F7" s="2425"/>
      <c r="G7" s="2425"/>
      <c r="H7" s="2425"/>
      <c r="I7" s="2454"/>
      <c r="J7" s="2422">
        <f>I6&amp;".1"</f>
      </c>
      <c r="K7" s="1659"/>
      <c r="L7" s="1660" t="s">
        <v>1526</v>
      </c>
      <c r="M7" s="774"/>
      <c r="N7" s="1662"/>
      <c r="P7" s="2423"/>
      <c r="Q7" s="2423">
        <v>1</v>
      </c>
      <c r="R7" s="578"/>
      <c r="S7" s="1631">
        <f>$J7</f>
      </c>
      <c r="T7" s="496" t="s">
        <v>1527</v>
      </c>
      <c r="U7" s="510"/>
      <c r="V7" s="2411"/>
      <c r="W7" s="2412"/>
      <c r="X7" s="2412"/>
      <c r="Y7" s="2412"/>
      <c r="Z7" s="2412"/>
      <c r="AA7" s="2412"/>
      <c r="AB7" s="2412"/>
      <c r="AC7" s="2413"/>
      <c r="AD7" s="2411"/>
      <c r="AE7" s="2412"/>
      <c r="AF7" s="2412"/>
      <c r="AG7" s="2412"/>
      <c r="AH7" s="2412"/>
      <c r="AI7" s="2412"/>
      <c r="AJ7" s="2412"/>
      <c r="AK7" s="2412"/>
      <c r="AL7" s="2413"/>
      <c r="AM7" s="1546" t="s">
        <v>1528</v>
      </c>
      <c r="AO7" s="737"/>
      <c r="AP7" s="737" t="str">
        <f>IF(T7="","",T7)</f>
        <v>Группа потребителей</v>
      </c>
      <c r="AQ7" s="737"/>
      <c r="AR7" s="737"/>
    </row>
    <row customHeight="1" ht="21" hidden="1">
      <c r="A8" s="1659"/>
      <c r="B8" s="1659"/>
      <c r="C8" s="1659"/>
      <c r="D8" s="1659"/>
      <c r="E8" s="2425"/>
      <c r="F8" s="2425"/>
      <c r="G8" s="2425"/>
      <c r="H8" s="2425"/>
      <c r="I8" s="2454"/>
      <c r="J8" s="2455"/>
      <c r="K8" s="2422">
        <f>J7&amp;".1"</f>
      </c>
      <c r="L8" s="1660" t="s">
        <v>1529</v>
      </c>
      <c r="M8" s="774"/>
      <c r="N8" s="1662"/>
      <c r="O8" s="1662"/>
      <c r="P8" s="2423"/>
      <c r="Q8" s="2423"/>
      <c r="R8" s="578">
        <v>1</v>
      </c>
      <c r="S8" s="1631">
        <f>$K8</f>
      </c>
      <c r="T8" s="1642"/>
      <c r="U8" s="510"/>
      <c r="V8" s="4065"/>
      <c r="W8" s="4066"/>
      <c r="X8" s="4065"/>
      <c r="Y8" s="4067"/>
      <c r="Z8" s="2430"/>
      <c r="AA8" s="2142" t="s">
        <v>67</v>
      </c>
      <c r="AB8" s="2430"/>
      <c r="AC8" s="2142" t="s">
        <v>67</v>
      </c>
      <c r="AD8" s="4065"/>
      <c r="AE8" s="4066"/>
      <c r="AF8" s="4065"/>
      <c r="AG8" s="4067"/>
      <c r="AH8" s="2430"/>
      <c r="AI8" s="2142" t="s">
        <v>67</v>
      </c>
      <c r="AJ8" s="2430"/>
      <c r="AK8" s="2142" t="s">
        <v>67</v>
      </c>
      <c r="AL8" s="4066"/>
      <c r="AM8" s="2419" t="s">
        <v>1530</v>
      </c>
      <c r="AN8" s="748">
        <f>STRCHECKDATE(V9:AL9)</f>
      </c>
      <c r="AO8" s="737"/>
      <c r="AP8" s="737" t="str">
        <f>IF(T8="","",T8)</f>
        <v/>
      </c>
      <c r="AQ8" s="737"/>
      <c r="AR8" s="737"/>
    </row>
    <row customHeight="1" ht="0.75" hidden="1">
      <c r="A9" s="1659"/>
      <c r="B9" s="1659"/>
      <c r="C9" s="1659"/>
      <c r="D9" s="1659"/>
      <c r="E9" s="2425"/>
      <c r="F9" s="2425"/>
      <c r="G9" s="2425"/>
      <c r="H9" s="2425"/>
      <c r="I9" s="2454"/>
      <c r="J9" s="2455"/>
      <c r="K9" s="2422"/>
      <c r="L9" s="1660"/>
      <c r="M9" s="774"/>
      <c r="N9" s="1662"/>
      <c r="O9" s="1662"/>
      <c r="P9" s="2423"/>
      <c r="Q9" s="2423"/>
      <c r="R9" s="578"/>
      <c r="S9" s="1637"/>
      <c r="T9" s="510"/>
      <c r="U9" s="510"/>
      <c r="V9" s="4066"/>
      <c r="W9" s="4066"/>
      <c r="X9" s="4066"/>
      <c r="Y9" s="4071" t="str">
        <f>Z8&amp;"-"&amp;AB8</f>
        <v>-</v>
      </c>
      <c r="Z9" s="2431"/>
      <c r="AA9" s="2142"/>
      <c r="AB9" s="2431"/>
      <c r="AC9" s="2142"/>
      <c r="AD9" s="4066"/>
      <c r="AE9" s="4066"/>
      <c r="AF9" s="4066"/>
      <c r="AG9" s="4071" t="str">
        <f>AH8&amp;"-"&amp;AJ8</f>
        <v>-</v>
      </c>
      <c r="AH9" s="2431"/>
      <c r="AI9" s="2142"/>
      <c r="AJ9" s="2431"/>
      <c r="AK9" s="2142"/>
      <c r="AL9" s="4066"/>
      <c r="AM9" s="2420"/>
      <c r="AO9" s="737"/>
      <c r="AP9" s="737" t="str">
        <f>IF(T9="","",T9)</f>
        <v/>
      </c>
      <c r="AQ9" s="737"/>
      <c r="AR9" s="737"/>
    </row>
    <row customHeight="1" ht="15" hidden="1">
      <c r="A10" s="1659"/>
      <c r="B10" s="1659"/>
      <c r="C10" s="1659"/>
      <c r="D10" s="1659"/>
      <c r="E10" s="2425"/>
      <c r="F10" s="2425"/>
      <c r="G10" s="2425"/>
      <c r="H10" s="2425"/>
      <c r="I10" s="2454"/>
      <c r="J10" s="2422"/>
      <c r="K10" s="1659"/>
      <c r="L10" s="1660"/>
      <c r="M10" s="774"/>
      <c r="N10" s="1662"/>
      <c r="P10" s="2423"/>
      <c r="Q10" s="2423"/>
      <c r="R10" s="577"/>
      <c r="S10" s="1568"/>
      <c r="T10" s="498" t="s">
        <v>1531</v>
      </c>
      <c r="U10" s="592"/>
      <c r="V10" s="592"/>
      <c r="W10" s="592"/>
      <c r="X10" s="592"/>
      <c r="Y10" s="592"/>
      <c r="Z10" s="592"/>
      <c r="AA10" s="592"/>
      <c r="AB10" s="592"/>
      <c r="AC10" s="592"/>
      <c r="AD10" s="592"/>
      <c r="AE10" s="592"/>
      <c r="AF10" s="592"/>
      <c r="AG10" s="592"/>
      <c r="AH10" s="592"/>
      <c r="AI10" s="592"/>
      <c r="AJ10" s="592"/>
      <c r="AK10" s="592"/>
      <c r="AL10" s="544"/>
      <c r="AM10" s="2421"/>
      <c r="AO10" s="737"/>
      <c r="AP10" s="737" t="str">
        <f>IF(T10="","",T10)</f>
        <v>Добавить вид теплоносителя (параметры теплоносителя)</v>
      </c>
      <c r="AQ10" s="737"/>
      <c r="AR10" s="737"/>
    </row>
    <row customHeight="1" ht="15" hidden="1">
      <c r="A11" s="1659"/>
      <c r="B11" s="1659"/>
      <c r="C11" s="1659"/>
      <c r="D11" s="1659"/>
      <c r="E11" s="2425"/>
      <c r="F11" s="2425"/>
      <c r="G11" s="2425"/>
      <c r="H11" s="2425"/>
      <c r="I11" s="2453"/>
      <c r="J11" s="1659"/>
      <c r="K11" s="1659"/>
      <c r="L11" s="1660"/>
      <c r="M11" s="774"/>
      <c r="P11" s="2423"/>
      <c r="Q11" s="1626"/>
      <c r="R11" s="577"/>
      <c r="S11" s="1568"/>
      <c r="T11" s="497" t="s">
        <v>1532</v>
      </c>
      <c r="U11" s="592"/>
      <c r="V11" s="592"/>
      <c r="W11" s="592"/>
      <c r="X11" s="592"/>
      <c r="Y11" s="592"/>
      <c r="Z11" s="592"/>
      <c r="AA11" s="592"/>
      <c r="AB11" s="592"/>
      <c r="AC11" s="591"/>
      <c r="AD11" s="592"/>
      <c r="AE11" s="592"/>
      <c r="AF11" s="592"/>
      <c r="AG11" s="592"/>
      <c r="AH11" s="592"/>
      <c r="AI11" s="592"/>
      <c r="AJ11" s="592"/>
      <c r="AK11" s="591"/>
      <c r="AL11" s="592"/>
      <c r="AM11" s="513"/>
      <c r="AO11" s="737"/>
      <c r="AP11" s="737" t="str">
        <f>IF(T11="","",T11)</f>
        <v>Добавить группу потребителей</v>
      </c>
      <c r="AQ11" s="737"/>
      <c r="AR11" s="737"/>
    </row>
    <row customHeight="1" ht="14.25" hidden="1">
      <c r="A12" s="1659"/>
      <c r="B12" s="1659"/>
      <c r="C12" s="1659"/>
      <c r="D12" s="1659"/>
      <c r="E12" s="2425"/>
      <c r="F12" s="2425"/>
      <c r="G12" s="2425"/>
      <c r="H12" s="2424"/>
      <c r="I12" s="1659"/>
      <c r="J12" s="1659"/>
      <c r="K12" s="1659"/>
      <c r="L12" s="1660"/>
      <c r="M12" s="1661"/>
      <c r="N12" s="1661"/>
      <c r="O12" s="774"/>
      <c r="P12" s="581"/>
      <c r="Q12" s="601"/>
      <c r="R12" s="576"/>
      <c r="S12" s="1568"/>
      <c r="T12" s="589" t="s">
        <v>1533</v>
      </c>
      <c r="U12" s="592"/>
      <c r="V12" s="592"/>
      <c r="W12" s="592"/>
      <c r="X12" s="592"/>
      <c r="Y12" s="592"/>
      <c r="Z12" s="592"/>
      <c r="AA12" s="592"/>
      <c r="AB12" s="592"/>
      <c r="AC12" s="591"/>
      <c r="AD12" s="592"/>
      <c r="AE12" s="592"/>
      <c r="AF12" s="592"/>
      <c r="AG12" s="592"/>
      <c r="AH12" s="592"/>
      <c r="AI12" s="592"/>
      <c r="AJ12" s="592"/>
      <c r="AK12" s="591"/>
      <c r="AL12" s="592"/>
      <c r="AM12" s="513"/>
      <c r="AO12" s="737"/>
      <c r="AP12" s="737" t="str">
        <f>IF(T12="","",T12)</f>
        <v>Добавить схему подключения</v>
      </c>
      <c r="AQ12" s="737"/>
      <c r="AR12" s="737"/>
    </row>
    <row s="10863" customFormat="1" customHeight="1" ht="0.75" hidden="1">
      <c r="A13" s="1609"/>
      <c r="B13" s="1609"/>
      <c r="C13" s="1609"/>
      <c r="D13" s="1609"/>
      <c r="E13" s="2425"/>
      <c r="F13" s="2425"/>
      <c r="G13" s="2424"/>
      <c r="H13" s="1609"/>
      <c r="I13" s="1609"/>
      <c r="J13" s="1609"/>
      <c r="K13" s="1609"/>
      <c r="L13" s="1634"/>
      <c r="M13" s="1610"/>
      <c r="N13" s="1610"/>
      <c r="P13" s="1611"/>
      <c r="Q13" s="1612"/>
      <c r="R13" s="1611"/>
      <c r="S13" s="1613"/>
      <c r="T13" s="1614" t="s">
        <v>1492</v>
      </c>
      <c r="U13" s="1615"/>
      <c r="V13" s="1615"/>
      <c r="W13" s="1615"/>
      <c r="X13" s="1615"/>
      <c r="Y13" s="1615"/>
      <c r="Z13" s="1615"/>
      <c r="AA13" s="1615"/>
      <c r="AB13" s="1615"/>
      <c r="AC13" s="1615"/>
      <c r="AD13" s="1615"/>
      <c r="AE13" s="1615"/>
      <c r="AF13" s="1615"/>
      <c r="AG13" s="1615"/>
      <c r="AH13" s="1615"/>
      <c r="AI13" s="1615"/>
      <c r="AJ13" s="1615"/>
      <c r="AK13" s="1615"/>
      <c r="AL13" s="1615"/>
      <c r="AM13" s="1615"/>
      <c r="AO13" s="1029"/>
      <c r="AP13" s="1029" t="str">
        <f>IF(T13="","",T13)</f>
        <v>Добавить источник для дифференциации</v>
      </c>
      <c r="AQ13" s="1029"/>
      <c r="AR13" s="1029"/>
    </row>
    <row s="10863" customFormat="1" customHeight="1" ht="0.75" hidden="1">
      <c r="A14" s="1609"/>
      <c r="B14" s="1609"/>
      <c r="C14" s="1609"/>
      <c r="D14" s="1609"/>
      <c r="E14" s="2425"/>
      <c r="F14" s="2424"/>
      <c r="G14" s="1609"/>
      <c r="H14" s="1609"/>
      <c r="I14" s="1609"/>
      <c r="J14" s="1609"/>
      <c r="K14" s="1609"/>
      <c r="L14" s="1634"/>
      <c r="M14" s="1616"/>
      <c r="N14" s="1616"/>
      <c r="P14" s="1611"/>
      <c r="Q14" s="1612"/>
      <c r="R14" s="1611"/>
      <c r="S14" s="1617"/>
      <c r="T14" s="1618" t="s">
        <v>1493</v>
      </c>
      <c r="U14" s="1619"/>
      <c r="V14" s="1619"/>
      <c r="W14" s="1619"/>
      <c r="X14" s="1619"/>
      <c r="Y14" s="1619"/>
      <c r="Z14" s="1619"/>
      <c r="AA14" s="1619"/>
      <c r="AB14" s="1619"/>
      <c r="AC14" s="1619"/>
      <c r="AD14" s="1619"/>
      <c r="AE14" s="1619"/>
      <c r="AF14" s="1619"/>
      <c r="AG14" s="1619"/>
      <c r="AH14" s="1619"/>
      <c r="AI14" s="1619"/>
      <c r="AJ14" s="1619"/>
      <c r="AK14" s="1619"/>
      <c r="AL14" s="1619"/>
      <c r="AM14" s="1619"/>
      <c r="AO14" s="1029"/>
      <c r="AP14" s="1029" t="str">
        <f>IF(T14="","",T14)</f>
        <v>Добавить централизованную систему для дифференциации</v>
      </c>
      <c r="AQ14" s="1029"/>
      <c r="AR14" s="1029"/>
    </row>
    <row s="10863" customFormat="1" customHeight="1" ht="0.75" hidden="1">
      <c r="A15" s="1609"/>
      <c r="B15" s="1609"/>
      <c r="C15" s="1609"/>
      <c r="D15" s="1609"/>
      <c r="E15" s="2424"/>
      <c r="F15" s="1609"/>
      <c r="G15" s="1609"/>
      <c r="H15" s="1609"/>
      <c r="I15" s="1609"/>
      <c r="J15" s="1609"/>
      <c r="K15" s="1609"/>
      <c r="L15" s="1634"/>
      <c r="M15" s="1616"/>
      <c r="N15" s="1616"/>
      <c r="P15" s="1611"/>
      <c r="Q15" s="1612"/>
      <c r="R15" s="1611"/>
      <c r="S15" s="1617"/>
      <c r="T15" s="1620" t="s">
        <v>1494</v>
      </c>
      <c r="U15" s="1619"/>
      <c r="V15" s="1619"/>
      <c r="W15" s="1619"/>
      <c r="X15" s="1619"/>
      <c r="Y15" s="1619"/>
      <c r="Z15" s="1619"/>
      <c r="AA15" s="1619"/>
      <c r="AB15" s="1619"/>
      <c r="AC15" s="1619"/>
      <c r="AD15" s="1619"/>
      <c r="AE15" s="1619"/>
      <c r="AF15" s="1619"/>
      <c r="AG15" s="1619"/>
      <c r="AH15" s="1619"/>
      <c r="AI15" s="1619"/>
      <c r="AJ15" s="1619"/>
      <c r="AK15" s="1619"/>
      <c r="AL15" s="1619"/>
      <c r="AM15" s="1619"/>
      <c r="AO15" s="1029"/>
      <c r="AP15" s="1029" t="str">
        <f>IF(T15="","",T15)</f>
        <v>Добавить территорию для дифференциации</v>
      </c>
      <c r="AQ15" s="1029"/>
      <c r="AR15" s="1029"/>
    </row>
    <row customHeight="1" ht="14.25" hidden="1">
      <c r="AC16" s="548"/>
      <c r="AK16" s="548"/>
    </row>
    <row customHeight="1" ht="14.25" hidden="1">
      <c r="AD17" s="4098"/>
      <c r="AE17" s="4098"/>
      <c r="AF17" s="4098"/>
      <c r="AG17" s="4099"/>
      <c r="AH17" s="2432"/>
      <c r="AI17" s="2433" t="s">
        <v>67</v>
      </c>
      <c r="AJ17" s="2432"/>
      <c r="AK17" s="2433" t="s">
        <v>67</v>
      </c>
    </row>
    <row customHeight="1" ht="14.25" hidden="1">
      <c r="AD18" s="4098"/>
      <c r="AE18" s="4098"/>
      <c r="AF18" s="4098"/>
      <c r="AG18" s="4071" t="str">
        <f>AH17&amp;"-"&amp;AJ17</f>
        <v>-</v>
      </c>
      <c r="AH18" s="2433"/>
      <c r="AI18" s="2433"/>
      <c r="AJ18" s="2433"/>
      <c r="AK18" s="2433"/>
    </row>
    <row customHeight="1" ht="14.25" hidden="1">
      <c r="AK19" s="548"/>
    </row>
    <row s="11074" customFormat="1" customHeight="1" ht="22.5" hidden="1">
      <c r="L20" s="1624"/>
      <c r="M20" s="1658"/>
      <c r="N20" s="1658"/>
      <c r="O20" s="1663" t="s">
        <v>1534</v>
      </c>
      <c r="P20" s="1658"/>
      <c r="Q20" s="1667"/>
      <c r="R20" s="1667"/>
      <c r="S20" s="967"/>
      <c r="Z20" s="1663"/>
      <c r="AB20" s="1663"/>
      <c r="AC20" s="1662"/>
      <c r="AH20" s="1663"/>
      <c r="AJ20" s="1663"/>
      <c r="AK20" s="1662"/>
      <c r="AN20" s="748"/>
      <c r="AO20" s="748"/>
      <c r="AP20" s="748"/>
      <c r="AQ20" s="748"/>
      <c r="AR20" s="748"/>
    </row>
    <row s="11074" customFormat="1" customHeight="1" ht="14.25" hidden="1">
      <c r="L21" s="1624"/>
      <c r="M21" s="1658"/>
      <c r="N21" s="1658"/>
      <c r="O21" s="1658"/>
      <c r="P21" s="1658"/>
      <c r="Q21" s="1667"/>
      <c r="R21" s="1667"/>
      <c r="S21" s="967"/>
      <c r="AC21" s="1662"/>
      <c r="AK21" s="1662"/>
      <c r="AN21" s="748"/>
      <c r="AO21" s="748"/>
      <c r="AP21" s="748"/>
      <c r="AQ21" s="748"/>
      <c r="AR21" s="748"/>
    </row>
    <row s="11074" customFormat="1" customHeight="1" ht="14.25" hidden="1">
      <c r="L22" s="1624"/>
      <c r="M22" s="1658"/>
      <c r="N22" s="1658"/>
      <c r="O22" s="1660" t="s">
        <v>1535</v>
      </c>
      <c r="P22" s="1658"/>
      <c r="Q22" s="1667"/>
      <c r="R22" s="1667"/>
      <c r="S22" s="967"/>
      <c r="T22" s="1421" t="s">
        <v>1536</v>
      </c>
      <c r="AA22" s="393" t="s">
        <v>1537</v>
      </c>
      <c r="AC22" s="393" t="s">
        <v>1538</v>
      </c>
      <c r="AD22" s="1421" t="s">
        <v>1536</v>
      </c>
      <c r="AI22" s="393" t="s">
        <v>1539</v>
      </c>
      <c r="AK22" s="393" t="s">
        <v>1538</v>
      </c>
      <c r="AN22" s="748"/>
      <c r="AO22" s="748"/>
      <c r="AP22" s="748"/>
      <c r="AQ22" s="748"/>
      <c r="AR22" s="748"/>
    </row>
    <row customHeight="1" ht="14.25" hidden="1">
      <c r="O23" s="1660"/>
    </row>
    <row customHeight="1" ht="14.25" hidden="1">
      <c r="O24" s="1660"/>
    </row>
    <row customHeight="1" ht="14.25">
      <c r="Q25" s="602"/>
      <c r="R25" s="602"/>
      <c r="S25" s="1565"/>
      <c r="T25" s="586"/>
      <c r="U25" s="586"/>
      <c r="V25" s="746"/>
      <c r="W25" s="746"/>
      <c r="X25" s="746"/>
      <c r="Y25" s="746"/>
      <c r="Z25" s="746"/>
      <c r="AA25" s="746"/>
      <c r="AB25" s="746"/>
      <c r="AC25" s="746"/>
      <c r="AD25" s="746"/>
      <c r="AE25" s="746"/>
      <c r="AF25" s="746"/>
      <c r="AG25" s="746"/>
      <c r="AH25" s="746"/>
      <c r="AI25" s="746"/>
      <c r="AJ25" s="746"/>
      <c r="AK25" s="746"/>
    </row>
    <row customHeight="1" ht="64.5">
      <c r="Q26" s="602"/>
      <c r="R26" s="602"/>
      <c r="S26" s="2414" t="str">
        <f>IF(TEMPLATE_GROUP="P",PT_P_FORM_HEAT_4_NAME_FORM,PT_R_FORM_HEAT_21_NAME_FORM)</f>
        <v>Форма 21. Информация о расчетной величине тарифов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тарифов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  &lt;1&gt;</v>
      </c>
      <c r="T26" s="2414"/>
      <c r="U26" s="2414"/>
      <c r="V26" s="2414"/>
      <c r="W26" s="2414"/>
      <c r="X26" s="2414"/>
      <c r="Y26" s="2414"/>
      <c r="Z26" s="2414"/>
      <c r="AA26" s="2414"/>
      <c r="AB26" s="2414"/>
      <c r="AC26" s="2414"/>
      <c r="AD26" s="2414"/>
      <c r="AE26" s="2414"/>
      <c r="AF26" s="2414"/>
      <c r="AG26" s="2414"/>
      <c r="AH26" s="2414"/>
      <c r="AI26" s="2414"/>
      <c r="AJ26" s="2414"/>
      <c r="AK26" s="1521"/>
    </row>
    <row customHeight="1" ht="14.25">
      <c r="Q27" s="602"/>
      <c r="R27" s="602"/>
      <c r="S27" s="2415" t="str">
        <f>IF(org=0,"Не определено",org)</f>
        <v>ООО "СамРЭК-Тепло Жигулевск"</v>
      </c>
      <c r="T27" s="2415"/>
      <c r="U27" s="2415"/>
      <c r="V27" s="2415"/>
      <c r="W27" s="2415"/>
      <c r="X27" s="2415"/>
      <c r="Y27" s="2415"/>
      <c r="Z27" s="2415"/>
      <c r="AA27" s="2415"/>
      <c r="AB27" s="2415"/>
      <c r="AC27" s="2415"/>
      <c r="AD27" s="2415"/>
      <c r="AE27" s="2415"/>
      <c r="AF27" s="2415"/>
      <c r="AG27" s="2415"/>
      <c r="AH27" s="2415"/>
      <c r="AI27" s="2415"/>
      <c r="AJ27" s="2415"/>
      <c r="AK27" s="1521"/>
    </row>
    <row customHeight="1" ht="14.25" hidden="1">
      <c r="Q28" s="602"/>
      <c r="R28" s="602"/>
      <c r="S28" s="1565"/>
      <c r="T28" s="586"/>
      <c r="U28" s="586"/>
      <c r="V28" s="541"/>
      <c r="W28" s="541"/>
      <c r="X28" s="541"/>
      <c r="Y28" s="541"/>
      <c r="Z28" s="541"/>
      <c r="AA28" s="541"/>
      <c r="AB28" s="541"/>
      <c r="AC28" s="541"/>
      <c r="AD28" s="541"/>
      <c r="AE28" s="541"/>
      <c r="AF28" s="541"/>
      <c r="AG28" s="541"/>
      <c r="AH28" s="541"/>
      <c r="AI28" s="541"/>
      <c r="AJ28" s="541"/>
      <c r="AK28" s="541"/>
      <c r="AL28" s="746"/>
    </row>
    <row s="10859" customFormat="1" customHeight="1" ht="25.5" hidden="1">
      <c r="A29" s="1664"/>
      <c r="B29" s="1664"/>
      <c r="C29" s="1664"/>
      <c r="D29" s="1664"/>
      <c r="E29" s="1664"/>
      <c r="F29" s="1664"/>
      <c r="G29" s="1664"/>
      <c r="H29" s="1664"/>
      <c r="I29" s="1664"/>
      <c r="J29" s="1664"/>
      <c r="K29" s="1664"/>
      <c r="L29" s="1665"/>
      <c r="M29" s="1664"/>
      <c r="N29" s="1664"/>
      <c r="O29" s="1664"/>
      <c r="S29" s="2416" t="s">
        <v>39</v>
      </c>
      <c r="T29" s="2416"/>
      <c r="U29" s="1668"/>
      <c r="V29" s="2417" t="str">
        <f>IF(TITLE_NAME_OR_PR_CHANGE="",IF(TITLE_NAME_OR_PR="","",TITLE_NAME_OR_PR),TITLE_NAME_OR_PR_CHANGE)</f>
        <v/>
      </c>
      <c r="W29" s="2417"/>
      <c r="X29" s="2417"/>
      <c r="Y29" s="2417"/>
      <c r="Z29" s="2417"/>
      <c r="AA29" s="2417"/>
      <c r="AB29" s="2417"/>
      <c r="AC29" s="547"/>
      <c r="AD29" s="2417" t="str">
        <f>IF(TITLE_NAME_OR_PR_CHANGE="",IF(TITLE_NAME_OR_PR="","",TITLE_NAME_OR_PR),TITLE_NAME_OR_PR_CHANGE)</f>
        <v/>
      </c>
      <c r="AE29" s="2417"/>
      <c r="AF29" s="2417"/>
      <c r="AG29" s="2417"/>
      <c r="AH29" s="2417"/>
      <c r="AI29" s="2417"/>
      <c r="AJ29" s="2417"/>
      <c r="AK29" s="547"/>
      <c r="AL29" s="547"/>
      <c r="AM29" s="490"/>
      <c r="AN29" s="593"/>
      <c r="AO29" s="593"/>
      <c r="AP29" s="593"/>
      <c r="AQ29" s="593"/>
      <c r="AR29" s="593"/>
    </row>
    <row s="10859" customFormat="1" customHeight="1" ht="18.75" hidden="1">
      <c r="A30" s="1664"/>
      <c r="B30" s="1664"/>
      <c r="C30" s="1664"/>
      <c r="D30" s="1664"/>
      <c r="E30" s="1664"/>
      <c r="F30" s="1664"/>
      <c r="G30" s="1664"/>
      <c r="H30" s="1664"/>
      <c r="I30" s="1664"/>
      <c r="J30" s="1664"/>
      <c r="K30" s="1664"/>
      <c r="L30" s="1665"/>
      <c r="M30" s="1664"/>
      <c r="N30" s="1664"/>
      <c r="O30" s="1664"/>
      <c r="S30" s="2416" t="s">
        <v>1540</v>
      </c>
      <c r="T30" s="2416"/>
      <c r="U30" s="1668"/>
      <c r="V30" s="2417" t="str">
        <f>IF(TITLE_DATE_CHANGE_PERIOD="",IF(TITLE_DATE_PR="","",TITLE_DATE_PR),TITLE_DATE_CHANGE_PERIOD)</f>
        <v/>
      </c>
      <c r="W30" s="2417"/>
      <c r="X30" s="2417"/>
      <c r="Y30" s="2417"/>
      <c r="Z30" s="2417"/>
      <c r="AA30" s="2417"/>
      <c r="AB30" s="2417"/>
      <c r="AC30" s="547"/>
      <c r="AD30" s="2417" t="str">
        <f>IF(TITLE_DATE_CHANGE_PERIOD="",IF(TITLE_DATE_PR="","",TITLE_DATE_PR),TITLE_DATE_CHANGE_PERIOD)</f>
        <v/>
      </c>
      <c r="AE30" s="2417"/>
      <c r="AF30" s="2417"/>
      <c r="AG30" s="2417"/>
      <c r="AH30" s="2417"/>
      <c r="AI30" s="2417"/>
      <c r="AJ30" s="2417"/>
      <c r="AK30" s="547"/>
      <c r="AL30" s="547"/>
      <c r="AM30" s="490"/>
      <c r="AN30" s="593"/>
      <c r="AO30" s="593"/>
      <c r="AP30" s="593"/>
      <c r="AQ30" s="593"/>
      <c r="AR30" s="593"/>
    </row>
    <row s="10859" customFormat="1" customHeight="1" ht="18.75" hidden="1">
      <c r="A31" s="1664"/>
      <c r="B31" s="1664"/>
      <c r="C31" s="1664"/>
      <c r="D31" s="1664"/>
      <c r="E31" s="1664"/>
      <c r="F31" s="1664"/>
      <c r="G31" s="1664"/>
      <c r="H31" s="1664"/>
      <c r="I31" s="1664"/>
      <c r="J31" s="1664"/>
      <c r="K31" s="1664"/>
      <c r="L31" s="1665"/>
      <c r="M31" s="1664"/>
      <c r="N31" s="1664"/>
      <c r="O31" s="1664"/>
      <c r="S31" s="2416" t="s">
        <v>1541</v>
      </c>
      <c r="T31" s="2416"/>
      <c r="U31" s="1668"/>
      <c r="V31" s="2417" t="str">
        <f>IF(TITLE_NUMBER_PR_CHANGE="",IF(TITLE_NUMBER_PR="","",TITLE_NUMBER_PR),TITLE_NUMBER_PR_CHANGE)</f>
        <v/>
      </c>
      <c r="W31" s="2417"/>
      <c r="X31" s="2417"/>
      <c r="Y31" s="2417"/>
      <c r="Z31" s="2417"/>
      <c r="AA31" s="2417"/>
      <c r="AB31" s="2417"/>
      <c r="AC31" s="547"/>
      <c r="AD31" s="2417" t="str">
        <f>IF(TITLE_NUMBER_PR_CHANGE="",IF(TITLE_NUMBER_PR="","",TITLE_NUMBER_PR),TITLE_NUMBER_PR_CHANGE)</f>
        <v/>
      </c>
      <c r="AE31" s="2417"/>
      <c r="AF31" s="2417"/>
      <c r="AG31" s="2417"/>
      <c r="AH31" s="2417"/>
      <c r="AI31" s="2417"/>
      <c r="AJ31" s="2417"/>
      <c r="AK31" s="547"/>
      <c r="AL31" s="547"/>
      <c r="AM31" s="490"/>
      <c r="AN31" s="593"/>
      <c r="AO31" s="593"/>
      <c r="AP31" s="593"/>
      <c r="AQ31" s="593"/>
      <c r="AR31" s="593"/>
    </row>
    <row s="10859" customFormat="1" customHeight="1" ht="18.75" hidden="1">
      <c r="A32" s="1664"/>
      <c r="B32" s="1664"/>
      <c r="C32" s="1664"/>
      <c r="D32" s="1664"/>
      <c r="E32" s="1664"/>
      <c r="F32" s="1664"/>
      <c r="G32" s="1664"/>
      <c r="H32" s="1664"/>
      <c r="I32" s="1664"/>
      <c r="J32" s="1664"/>
      <c r="K32" s="1664"/>
      <c r="L32" s="1665"/>
      <c r="M32" s="1664"/>
      <c r="N32" s="1664"/>
      <c r="O32" s="1664"/>
      <c r="S32" s="2416" t="s">
        <v>40</v>
      </c>
      <c r="T32" s="2416"/>
      <c r="U32" s="1668"/>
      <c r="V32" s="2417" t="str">
        <f>IF(TITLE_IST_PUB_CHANGE="",IF(TITLE_IST_PUB="","",TITLE_IST_PUB),TITLE_IST_PUB_CHANGE)</f>
        <v/>
      </c>
      <c r="W32" s="2417"/>
      <c r="X32" s="2417"/>
      <c r="Y32" s="2417"/>
      <c r="Z32" s="2417"/>
      <c r="AA32" s="2417"/>
      <c r="AB32" s="2417"/>
      <c r="AC32" s="547"/>
      <c r="AD32" s="2417" t="str">
        <f>IF(TITLE_IST_PUB_CHANGE="",IF(TITLE_IST_PUB="","",TITLE_IST_PUB),TITLE_IST_PUB_CHANGE)</f>
        <v/>
      </c>
      <c r="AE32" s="2417"/>
      <c r="AF32" s="2417"/>
      <c r="AG32" s="2417"/>
      <c r="AH32" s="2417"/>
      <c r="AI32" s="2417"/>
      <c r="AJ32" s="2417"/>
      <c r="AK32" s="547"/>
      <c r="AL32" s="547"/>
      <c r="AM32" s="490"/>
      <c r="AN32" s="593"/>
      <c r="AO32" s="593"/>
      <c r="AP32" s="593"/>
      <c r="AQ32" s="593"/>
      <c r="AR32" s="593"/>
    </row>
    <row customHeight="1" ht="14.25" hidden="1">
      <c r="Q33" s="602"/>
      <c r="R33" s="602"/>
      <c r="S33" s="1565"/>
      <c r="T33" s="586"/>
      <c r="U33" s="586"/>
      <c r="V33" s="541"/>
      <c r="W33" s="541"/>
      <c r="X33" s="541"/>
      <c r="Y33" s="541"/>
      <c r="Z33" s="541"/>
      <c r="AA33" s="541"/>
      <c r="AB33" s="541"/>
      <c r="AC33" s="541"/>
      <c r="AD33" s="541"/>
      <c r="AE33" s="541"/>
      <c r="AF33" s="541"/>
      <c r="AG33" s="541"/>
      <c r="AH33" s="541"/>
      <c r="AI33" s="541"/>
      <c r="AJ33" s="541"/>
      <c r="AK33" s="541"/>
      <c r="AL33" s="746"/>
    </row>
    <row s="10859" customFormat="1" customHeight="1" ht="18.75" hidden="1">
      <c r="A34" s="1664"/>
      <c r="B34" s="1664"/>
      <c r="C34" s="1664"/>
      <c r="D34" s="1664"/>
      <c r="E34" s="1664"/>
      <c r="F34" s="1664"/>
      <c r="G34" s="1664"/>
      <c r="H34" s="1664"/>
      <c r="I34" s="1664"/>
      <c r="J34" s="1664"/>
      <c r="K34" s="1664"/>
      <c r="L34" s="1665"/>
      <c r="M34" s="1664"/>
      <c r="N34" s="1664"/>
      <c r="O34" s="1664"/>
      <c r="S34" s="2416" t="s">
        <v>1542</v>
      </c>
      <c r="T34" s="2416"/>
      <c r="U34" s="1668"/>
      <c r="V34" s="2417" t="str">
        <f>IF(TITLE_DATE_CHANGE_PERIOD="",IF(TITLE_DATE_PR="","",TITLE_DATE_PR),TITLE_DATE_CHANGE_PERIOD)</f>
        <v/>
      </c>
      <c r="W34" s="2417"/>
      <c r="X34" s="2417"/>
      <c r="Y34" s="2417"/>
      <c r="Z34" s="2417"/>
      <c r="AA34" s="2417"/>
      <c r="AB34" s="2417"/>
      <c r="AC34" s="547"/>
      <c r="AD34" s="2417" t="str">
        <f>IF(TITLE_DATE_CHANGE_PERIOD="",IF(TITLE_DATE_PR="","",TITLE_DATE_PR),TITLE_DATE_CHANGE_PERIOD)</f>
        <v/>
      </c>
      <c r="AE34" s="2417"/>
      <c r="AF34" s="2417"/>
      <c r="AG34" s="2417"/>
      <c r="AH34" s="2417"/>
      <c r="AI34" s="2417"/>
      <c r="AJ34" s="2417"/>
      <c r="AK34" s="547"/>
      <c r="AL34" s="547"/>
      <c r="AM34" s="490"/>
      <c r="AN34" s="593"/>
      <c r="AO34" s="593"/>
      <c r="AP34" s="593"/>
      <c r="AQ34" s="593"/>
      <c r="AR34" s="593"/>
    </row>
    <row s="10859" customFormat="1" customHeight="1" ht="18.75" hidden="1">
      <c r="A35" s="1664"/>
      <c r="B35" s="1664"/>
      <c r="C35" s="1664"/>
      <c r="D35" s="1664"/>
      <c r="E35" s="1664"/>
      <c r="F35" s="1664"/>
      <c r="G35" s="1664"/>
      <c r="H35" s="1664"/>
      <c r="I35" s="1664"/>
      <c r="J35" s="1664"/>
      <c r="K35" s="1664"/>
      <c r="L35" s="1665"/>
      <c r="M35" s="1664"/>
      <c r="N35" s="1664"/>
      <c r="O35" s="1664"/>
      <c r="S35" s="2416" t="s">
        <v>1543</v>
      </c>
      <c r="T35" s="2416"/>
      <c r="U35" s="1668"/>
      <c r="V35" s="2417" t="str">
        <f>IF(TITLE_NUMBER_PR_CHANGE="",IF(TITLE_NUMBER_PR="","",TITLE_NUMBER_PR),TITLE_NUMBER_PR_CHANGE)</f>
        <v/>
      </c>
      <c r="W35" s="2417"/>
      <c r="X35" s="2417"/>
      <c r="Y35" s="2417"/>
      <c r="Z35" s="2417"/>
      <c r="AA35" s="2417"/>
      <c r="AB35" s="2417"/>
      <c r="AC35" s="547"/>
      <c r="AD35" s="2417" t="str">
        <f>IF(TITLE_NUMBER_PR_CHANGE="",IF(TITLE_NUMBER_PR="","",TITLE_NUMBER_PR),TITLE_NUMBER_PR_CHANGE)</f>
        <v/>
      </c>
      <c r="AE35" s="2417"/>
      <c r="AF35" s="2417"/>
      <c r="AG35" s="2417"/>
      <c r="AH35" s="2417"/>
      <c r="AI35" s="2417"/>
      <c r="AJ35" s="2417"/>
      <c r="AK35" s="547"/>
      <c r="AL35" s="547"/>
      <c r="AM35" s="490"/>
      <c r="AN35" s="593"/>
      <c r="AO35" s="593"/>
      <c r="AP35" s="593"/>
      <c r="AQ35" s="593"/>
      <c r="AR35" s="593"/>
    </row>
    <row s="10859" customFormat="1" customHeight="1" ht="0">
      <c r="A36" s="1664"/>
      <c r="B36" s="1664"/>
      <c r="C36" s="1664"/>
      <c r="D36" s="1664"/>
      <c r="E36" s="1664"/>
      <c r="F36" s="1664"/>
      <c r="G36" s="1664"/>
      <c r="H36" s="1664"/>
      <c r="I36" s="1664"/>
      <c r="J36" s="1664"/>
      <c r="K36" s="1664"/>
      <c r="L36" s="1665"/>
      <c r="M36" s="1664"/>
      <c r="N36" s="1664"/>
      <c r="O36" s="1664"/>
      <c r="S36" s="543"/>
      <c r="T36" s="543"/>
      <c r="U36" s="1635"/>
      <c r="V36" s="547"/>
      <c r="W36" s="547"/>
      <c r="X36" s="547"/>
      <c r="Y36" s="547"/>
      <c r="Z36" s="547"/>
      <c r="AA36" s="547"/>
      <c r="AB36" s="547"/>
      <c r="AC36" s="488" t="s">
        <v>1544</v>
      </c>
      <c r="AD36" s="547"/>
      <c r="AE36" s="547"/>
      <c r="AF36" s="547"/>
      <c r="AG36" s="547"/>
      <c r="AH36" s="547"/>
      <c r="AI36" s="547"/>
      <c r="AJ36" s="547"/>
      <c r="AK36" s="488" t="s">
        <v>1544</v>
      </c>
      <c r="AN36" s="593"/>
      <c r="AO36" s="593"/>
      <c r="AP36" s="593"/>
      <c r="AQ36" s="593"/>
      <c r="AR36" s="593"/>
    </row>
    <row customHeight="1" ht="14.25">
      <c r="Q37" s="602"/>
      <c r="R37" s="602"/>
      <c r="S37" s="1565"/>
      <c r="T37" s="586"/>
      <c r="U37" s="1522"/>
      <c r="V37" s="2418"/>
      <c r="W37" s="2418"/>
      <c r="X37" s="2418"/>
      <c r="Y37" s="2418"/>
      <c r="Z37" s="2418"/>
      <c r="AA37" s="2418"/>
      <c r="AB37" s="2418"/>
      <c r="AC37" s="2418"/>
      <c r="AD37" s="2418"/>
      <c r="AE37" s="2418"/>
      <c r="AF37" s="2418"/>
      <c r="AG37" s="2418"/>
      <c r="AH37" s="2418"/>
      <c r="AI37" s="2418"/>
      <c r="AJ37" s="2418"/>
      <c r="AK37" s="2418"/>
    </row>
    <row customHeight="1" ht="14.25">
      <c r="Q38" s="602"/>
      <c r="R38" s="602"/>
      <c r="S38" s="2277" t="s">
        <v>362</v>
      </c>
      <c r="T38" s="2277"/>
      <c r="U38" s="2277"/>
      <c r="V38" s="2277"/>
      <c r="W38" s="2277"/>
      <c r="X38" s="2277"/>
      <c r="Y38" s="2277"/>
      <c r="Z38" s="2277"/>
      <c r="AA38" s="2277"/>
      <c r="AB38" s="2277"/>
      <c r="AC38" s="2277"/>
      <c r="AD38" s="2277"/>
      <c r="AE38" s="2277"/>
      <c r="AF38" s="2277"/>
      <c r="AG38" s="2277"/>
      <c r="AH38" s="2277"/>
      <c r="AI38" s="2277"/>
      <c r="AJ38" s="2277"/>
      <c r="AK38" s="2277"/>
      <c r="AL38" s="2277"/>
      <c r="AM38" s="2277" t="s">
        <v>363</v>
      </c>
    </row>
    <row customHeight="1" ht="14.25">
      <c r="Q39" s="602"/>
      <c r="R39" s="602"/>
      <c r="S39" s="2440" t="s">
        <v>88</v>
      </c>
      <c r="T39" s="2301" t="s">
        <v>1545</v>
      </c>
      <c r="U39" s="511"/>
      <c r="V39" s="2441" t="s">
        <v>1546</v>
      </c>
      <c r="W39" s="2442"/>
      <c r="X39" s="2442"/>
      <c r="Y39" s="2442"/>
      <c r="Z39" s="2442"/>
      <c r="AA39" s="2442"/>
      <c r="AB39" s="2443"/>
      <c r="AC39" s="2444" t="s">
        <v>1547</v>
      </c>
      <c r="AD39" s="2441" t="s">
        <v>1546</v>
      </c>
      <c r="AE39" s="2442"/>
      <c r="AF39" s="2442"/>
      <c r="AG39" s="2442"/>
      <c r="AH39" s="2442"/>
      <c r="AI39" s="2442"/>
      <c r="AJ39" s="2443"/>
      <c r="AK39" s="2444" t="s">
        <v>1548</v>
      </c>
      <c r="AL39" s="2447" t="s">
        <v>1549</v>
      </c>
      <c r="AM39" s="2277"/>
    </row>
    <row customHeight="1" ht="33.75">
      <c r="Q40" s="602"/>
      <c r="R40" s="602"/>
      <c r="S40" s="2440"/>
      <c r="T40" s="2301"/>
      <c r="U40" s="1289"/>
      <c r="V40" s="2426" t="s">
        <v>1550</v>
      </c>
      <c r="W40" s="2450" t="s">
        <v>1551</v>
      </c>
      <c r="X40" s="2428" t="s">
        <v>1552</v>
      </c>
      <c r="Y40" s="2429"/>
      <c r="Z40" s="2434" t="s">
        <v>1571</v>
      </c>
      <c r="AA40" s="2435"/>
      <c r="AB40" s="2436"/>
      <c r="AC40" s="2445"/>
      <c r="AD40" s="2426" t="s">
        <v>1550</v>
      </c>
      <c r="AE40" s="2450" t="s">
        <v>1551</v>
      </c>
      <c r="AF40" s="2428" t="s">
        <v>1552</v>
      </c>
      <c r="AG40" s="2429"/>
      <c r="AH40" s="2434" t="s">
        <v>1553</v>
      </c>
      <c r="AI40" s="2435"/>
      <c r="AJ40" s="2436"/>
      <c r="AK40" s="2445"/>
      <c r="AL40" s="2448"/>
      <c r="AM40" s="2277"/>
    </row>
    <row customHeight="1" ht="33.75">
      <c r="A41" s="1666"/>
      <c r="B41" s="1666" t="s">
        <v>212</v>
      </c>
      <c r="C41" s="1666" t="s">
        <v>213</v>
      </c>
      <c r="D41" s="1666" t="s">
        <v>214</v>
      </c>
      <c r="E41" s="1660" t="s">
        <v>1554</v>
      </c>
      <c r="F41" s="1660" t="s">
        <v>1555</v>
      </c>
      <c r="G41" s="1660" t="s">
        <v>1556</v>
      </c>
      <c r="H41" s="1660" t="s">
        <v>1557</v>
      </c>
      <c r="I41" s="1660" t="s">
        <v>1558</v>
      </c>
      <c r="J41" s="1660" t="s">
        <v>1559</v>
      </c>
      <c r="K41" s="1660" t="s">
        <v>1560</v>
      </c>
      <c r="L41" s="1660" t="s">
        <v>1535</v>
      </c>
      <c r="Q41" s="602"/>
      <c r="R41" s="602"/>
      <c r="S41" s="2440"/>
      <c r="T41" s="2301"/>
      <c r="U41" s="512"/>
      <c r="V41" s="2427"/>
      <c r="W41" s="2451"/>
      <c r="X41" s="1497" t="s">
        <v>1561</v>
      </c>
      <c r="Y41" s="1497" t="s">
        <v>1562</v>
      </c>
      <c r="Z41" s="1633" t="s">
        <v>1563</v>
      </c>
      <c r="AA41" s="2437" t="s">
        <v>1564</v>
      </c>
      <c r="AB41" s="2438"/>
      <c r="AC41" s="2446"/>
      <c r="AD41" s="2427"/>
      <c r="AE41" s="2451"/>
      <c r="AF41" s="1497" t="s">
        <v>1561</v>
      </c>
      <c r="AG41" s="1497" t="s">
        <v>1562</v>
      </c>
      <c r="AH41" s="1633" t="s">
        <v>1563</v>
      </c>
      <c r="AI41" s="2437" t="s">
        <v>1564</v>
      </c>
      <c r="AJ41" s="2438"/>
      <c r="AK41" s="2446"/>
      <c r="AL41" s="2449"/>
      <c r="AM41" s="2277"/>
    </row>
    <row s="10822" customFormat="1" customHeight="1" ht="11.25" hidden="1">
      <c r="A42" s="1666"/>
      <c r="B42" s="1666"/>
      <c r="C42" s="1666"/>
      <c r="D42" s="1666"/>
      <c r="E42" s="1666"/>
      <c r="F42" s="1666"/>
      <c r="G42" s="1666"/>
      <c r="H42" s="1666"/>
      <c r="I42" s="1666"/>
      <c r="J42" s="1666"/>
      <c r="K42" s="1666"/>
      <c r="L42" s="1660"/>
      <c r="M42" s="1658"/>
      <c r="N42" s="1658"/>
      <c r="O42" s="1658"/>
      <c r="P42" s="1524"/>
      <c r="Q42" s="1525"/>
      <c r="R42" s="1540">
        <v>1</v>
      </c>
      <c r="S42" s="1567" t="s">
        <v>109</v>
      </c>
      <c r="T42" s="1541" t="s">
        <v>110</v>
      </c>
      <c r="U42" s="1523" t="str">
        <f>OFFSET(U42,0,-1)</f>
        <v>2</v>
      </c>
      <c r="V42" s="1630">
        <f>OFFSET(V42,0,-1)+1</f>
        <v>3</v>
      </c>
      <c r="W42" s="1630"/>
      <c r="X42" s="1630">
        <f>OFFSET(X42,0,-1)+1</f>
        <v>1</v>
      </c>
      <c r="Y42" s="1630">
        <f>OFFSET(Y42,0,-1)+1</f>
        <v>2</v>
      </c>
      <c r="Z42" s="1630">
        <f>OFFSET(Z42,0,-1)+1</f>
        <v>3</v>
      </c>
      <c r="AA42" s="2439">
        <f>OFFSET(AA42,0,-1)+1</f>
        <v>4</v>
      </c>
      <c r="AB42" s="2439"/>
      <c r="AC42" s="1630">
        <f>OFFSET(AC42,0,-2)+1</f>
        <v>5</v>
      </c>
      <c r="AD42" s="1630">
        <f>OFFSET(AD42,0,-1)+1</f>
        <v>6</v>
      </c>
      <c r="AE42" s="1630"/>
      <c r="AF42" s="1630">
        <f>OFFSET(AF42,0,-1)+1</f>
        <v>1</v>
      </c>
      <c r="AG42" s="1630">
        <f>OFFSET(AG42,0,-1)+1</f>
        <v>2</v>
      </c>
      <c r="AH42" s="1630">
        <f>OFFSET(AH42,0,-1)+1</f>
        <v>3</v>
      </c>
      <c r="AI42" s="2439">
        <f>OFFSET(AI42,0,-1)+1</f>
        <v>4</v>
      </c>
      <c r="AJ42" s="2439"/>
      <c r="AK42" s="1630">
        <f>OFFSET(AK42,0,-2)+1</f>
        <v>5</v>
      </c>
      <c r="AL42" s="1523">
        <f>OFFSET(AL42,0,-1)</f>
        <v>5</v>
      </c>
      <c r="AM42" s="1630">
        <f>OFFSET(AM42,0,-1)+1</f>
        <v>6</v>
      </c>
      <c r="AN42" s="748"/>
      <c r="AO42" s="748"/>
      <c r="AP42" s="748"/>
      <c r="AQ42" s="748"/>
      <c r="AR42" s="748"/>
    </row>
    <row customHeight="1" ht="21">
      <c r="A43" s="1659" t="s">
        <v>235</v>
      </c>
      <c r="B43" s="1659"/>
      <c r="C43" s="1659"/>
      <c r="D43" s="1659"/>
      <c r="E43" s="2424">
        <v>1</v>
      </c>
      <c r="F43" s="1659"/>
      <c r="G43" s="1659"/>
      <c r="H43" s="1659"/>
      <c r="I43" s="1659"/>
      <c r="J43" s="1659"/>
      <c r="K43" s="1659"/>
      <c r="L43" s="1660"/>
      <c r="M43" s="1661"/>
      <c r="N43" s="1661"/>
      <c r="O43" s="1661"/>
      <c r="P43" s="582"/>
      <c r="Q43" s="581"/>
      <c r="R43" s="576"/>
      <c r="S43" s="1631">
        <f>INDEX(PT_DIFFERENTIATION_NUM_NTAR,MATCH(A43,PT_DIFFERENTIATION_NTAR_ID,0))</f>
        <v>0</v>
      </c>
      <c r="T43" s="508" t="s">
        <v>200</v>
      </c>
      <c r="U43" s="510"/>
      <c r="V43" s="4037"/>
      <c r="W43" s="4038"/>
      <c r="X43" s="4038"/>
      <c r="Y43" s="4038"/>
      <c r="Z43" s="4038"/>
      <c r="AA43" s="4038"/>
      <c r="AB43" s="4038"/>
      <c r="AC43" s="4039"/>
      <c r="AD43" s="4037" t="str">
        <f>INDEX(PT_DIFFERENTIATION_NTAR,MATCH(A43,PT_DIFFERENTIATION_NTAR_ID,0))</f>
        <v/>
      </c>
      <c r="AE43" s="4038"/>
      <c r="AF43" s="4038"/>
      <c r="AG43" s="4038"/>
      <c r="AH43" s="4038"/>
      <c r="AI43" s="4038"/>
      <c r="AJ43" s="4038"/>
      <c r="AK43" s="4038"/>
      <c r="AL43" s="4039"/>
      <c r="AM43" s="1546" t="s">
        <v>1516</v>
      </c>
      <c r="AO43" s="737"/>
      <c r="AP43" s="737" t="str">
        <f>IF(T43="","",T43)</f>
        <v>Наименование тарифа</v>
      </c>
      <c r="AQ43" s="737"/>
      <c r="AR43" s="737"/>
    </row>
    <row customHeight="1" ht="21">
      <c r="A44" s="1659" t="s">
        <v>235</v>
      </c>
      <c r="B44" s="1659" t="s">
        <v>236</v>
      </c>
      <c r="C44" s="1659"/>
      <c r="D44" s="1659"/>
      <c r="E44" s="2425"/>
      <c r="F44" s="2424">
        <v>1</v>
      </c>
      <c r="G44" s="1659"/>
      <c r="H44" s="1659"/>
      <c r="I44" s="1659"/>
      <c r="J44" s="1659"/>
      <c r="K44" s="1659"/>
      <c r="L44" s="1660"/>
      <c r="M44" s="1661"/>
      <c r="N44" s="1661"/>
      <c r="O44" s="1661"/>
      <c r="P44" s="1627"/>
      <c r="Q44" s="573"/>
      <c r="R44" s="574"/>
      <c r="S44" s="1631" t="str">
        <f>INDEX(PT_DIFFERENTIATION_NUM_TER,MATCH(B44,PT_DIFFERENTIATION_TER_ID,0))</f>
        <v>.</v>
      </c>
      <c r="T44" s="520" t="s">
        <v>1517</v>
      </c>
      <c r="U44" s="510"/>
      <c r="V44" s="4037"/>
      <c r="W44" s="4038"/>
      <c r="X44" s="4038"/>
      <c r="Y44" s="4038"/>
      <c r="Z44" s="4038"/>
      <c r="AA44" s="4038"/>
      <c r="AB44" s="4038"/>
      <c r="AC44" s="4039"/>
      <c r="AD44" s="4037" t="str">
        <f>INDEX(PT_DIFFERENTIATION_TER,MATCH(B44,PT_DIFFERENTIATION_TER_ID,0))</f>
        <v/>
      </c>
      <c r="AE44" s="4038"/>
      <c r="AF44" s="4038"/>
      <c r="AG44" s="4038"/>
      <c r="AH44" s="4038"/>
      <c r="AI44" s="4038"/>
      <c r="AJ44" s="4038"/>
      <c r="AK44" s="4038"/>
      <c r="AL44" s="4039"/>
      <c r="AM44" s="1546" t="s">
        <v>1518</v>
      </c>
      <c r="AO44" s="737"/>
      <c r="AP44" s="737" t="str">
        <f>IF(T44="","",T44)</f>
        <v>Территория действия тарифа</v>
      </c>
      <c r="AQ44" s="737"/>
      <c r="AR44" s="737"/>
    </row>
    <row customHeight="1" ht="23.25">
      <c r="A45" s="1659" t="s">
        <v>235</v>
      </c>
      <c r="B45" s="1659" t="s">
        <v>236</v>
      </c>
      <c r="C45" s="1659" t="s">
        <v>237</v>
      </c>
      <c r="D45" s="1659"/>
      <c r="E45" s="2425"/>
      <c r="F45" s="2425"/>
      <c r="G45" s="2424">
        <v>1</v>
      </c>
      <c r="H45" s="1659"/>
      <c r="I45" s="1659"/>
      <c r="J45" s="1659"/>
      <c r="K45" s="1659"/>
      <c r="L45" s="1660"/>
      <c r="M45" s="1661"/>
      <c r="N45" s="1661"/>
      <c r="O45" s="1661"/>
      <c r="P45" s="575"/>
      <c r="Q45" s="573"/>
      <c r="R45" s="574"/>
      <c r="S45" s="1631" t="str">
        <f>INDEX(PT_DIFFERENTIATION_NUM_CS,MATCH(C45,PT_DIFFERENTIATION_CS_ID,0))</f>
        <v>..</v>
      </c>
      <c r="T45" s="521" t="s">
        <v>1519</v>
      </c>
      <c r="U45" s="510"/>
      <c r="V45" s="4037"/>
      <c r="W45" s="4038"/>
      <c r="X45" s="4038"/>
      <c r="Y45" s="4038"/>
      <c r="Z45" s="4038"/>
      <c r="AA45" s="4038"/>
      <c r="AB45" s="4038"/>
      <c r="AC45" s="4039"/>
      <c r="AD45" s="4037" t="str">
        <f>INDEX(PT_DIFFERENTIATION_CS,MATCH(C45,PT_DIFFERENTIATION_CS_ID,0))</f>
        <v/>
      </c>
      <c r="AE45" s="4038"/>
      <c r="AF45" s="4038"/>
      <c r="AG45" s="4038"/>
      <c r="AH45" s="4038"/>
      <c r="AI45" s="4038"/>
      <c r="AJ45" s="4038"/>
      <c r="AK45" s="4038"/>
      <c r="AL45" s="4039"/>
      <c r="AM45" s="1546" t="s">
        <v>1520</v>
      </c>
      <c r="AO45" s="737"/>
      <c r="AP45" s="737" t="str">
        <f>IF(T45="","",T45)</f>
        <v>Наименование системы теплоснабжения </v>
      </c>
      <c r="AQ45" s="737"/>
      <c r="AR45" s="737"/>
    </row>
    <row customHeight="1" ht="21">
      <c r="A46" s="1659" t="s">
        <v>235</v>
      </c>
      <c r="B46" s="1659" t="s">
        <v>236</v>
      </c>
      <c r="C46" s="1659" t="s">
        <v>237</v>
      </c>
      <c r="D46" s="1659" t="s">
        <v>238</v>
      </c>
      <c r="E46" s="2425"/>
      <c r="F46" s="2425"/>
      <c r="G46" s="2425"/>
      <c r="H46" s="2424">
        <v>1</v>
      </c>
      <c r="I46" s="1659"/>
      <c r="J46" s="1659"/>
      <c r="K46" s="1659"/>
      <c r="L46" s="1660"/>
      <c r="M46" s="1661"/>
      <c r="N46" s="1661"/>
      <c r="O46" s="1661"/>
      <c r="P46" s="575"/>
      <c r="Q46" s="573"/>
      <c r="R46" s="574"/>
      <c r="S46" s="1631" t="str">
        <f>INDEX(PT_DIFFERENTIATION_NUM_IST_TE,MATCH(D46,PT_DIFFERENTIATION_IST_TE_ID,0))</f>
        <v>...</v>
      </c>
      <c r="T46" s="522" t="s">
        <v>1521</v>
      </c>
      <c r="U46" s="510"/>
      <c r="V46" s="4037"/>
      <c r="W46" s="4038"/>
      <c r="X46" s="4038"/>
      <c r="Y46" s="4038"/>
      <c r="Z46" s="4038"/>
      <c r="AA46" s="4038"/>
      <c r="AB46" s="4038"/>
      <c r="AC46" s="4039"/>
      <c r="AD46" s="4037" t="str">
        <f>INDEX(PT_DIFFERENTIATION_IST_TE,MATCH(D46,PT_DIFFERENTIATION_IST_TE_ID,0))</f>
        <v/>
      </c>
      <c r="AE46" s="4038"/>
      <c r="AF46" s="4038"/>
      <c r="AG46" s="4038"/>
      <c r="AH46" s="4038"/>
      <c r="AI46" s="4038"/>
      <c r="AJ46" s="4038"/>
      <c r="AK46" s="4038"/>
      <c r="AL46" s="4039"/>
      <c r="AM46" s="1546" t="s">
        <v>1522</v>
      </c>
      <c r="AO46" s="737"/>
      <c r="AP46" s="737" t="str">
        <f>IF(T46="","",T46)</f>
        <v>Источник тепловой энергии  </v>
      </c>
      <c r="AQ46" s="737"/>
      <c r="AR46" s="737"/>
    </row>
    <row customHeight="1" ht="47.25">
      <c r="A47" s="1659" t="s">
        <v>235</v>
      </c>
      <c r="B47" s="1659" t="s">
        <v>236</v>
      </c>
      <c r="C47" s="1659" t="s">
        <v>237</v>
      </c>
      <c r="D47" s="1659" t="s">
        <v>238</v>
      </c>
      <c r="E47" s="2425"/>
      <c r="F47" s="2425"/>
      <c r="G47" s="2425"/>
      <c r="H47" s="2425"/>
      <c r="I47" s="2453" t="str">
        <f>S46&amp;".1"</f>
        <v>....1</v>
      </c>
      <c r="J47" s="1659"/>
      <c r="K47" s="1659"/>
      <c r="L47" s="1660" t="s">
        <v>1523</v>
      </c>
      <c r="P47" s="2423">
        <v>1</v>
      </c>
      <c r="Q47" s="1626"/>
      <c r="R47" s="577"/>
      <c r="S47" s="1631" t="str">
        <f>$I47</f>
        <v>....1</v>
      </c>
      <c r="T47" s="495" t="s">
        <v>1524</v>
      </c>
      <c r="U47" s="510"/>
      <c r="V47" s="2411"/>
      <c r="W47" s="2412"/>
      <c r="X47" s="2412"/>
      <c r="Y47" s="2412"/>
      <c r="Z47" s="2412"/>
      <c r="AA47" s="2412"/>
      <c r="AB47" s="2412"/>
      <c r="AC47" s="2413"/>
      <c r="AD47" s="2411"/>
      <c r="AE47" s="2412"/>
      <c r="AF47" s="2412"/>
      <c r="AG47" s="2412"/>
      <c r="AH47" s="2412"/>
      <c r="AI47" s="2412"/>
      <c r="AJ47" s="2412"/>
      <c r="AK47" s="2412"/>
      <c r="AL47" s="2413"/>
      <c r="AM47" s="1546" t="s">
        <v>1525</v>
      </c>
      <c r="AO47" s="737"/>
      <c r="AP47" s="737" t="str">
        <f>IF(T47="","",T47)</f>
        <v>Схема подключения теплопотребляющей установки к коллектору источника тепловой энергии</v>
      </c>
      <c r="AQ47" s="737"/>
      <c r="AR47" s="737"/>
    </row>
    <row customHeight="1" ht="21">
      <c r="A48" s="1659" t="s">
        <v>235</v>
      </c>
      <c r="B48" s="1659" t="s">
        <v>236</v>
      </c>
      <c r="C48" s="1659" t="s">
        <v>237</v>
      </c>
      <c r="D48" s="1659" t="s">
        <v>238</v>
      </c>
      <c r="E48" s="2425"/>
      <c r="F48" s="2425"/>
      <c r="G48" s="2425"/>
      <c r="H48" s="2425"/>
      <c r="I48" s="2454"/>
      <c r="J48" s="2422" t="str">
        <f>I47&amp;".1"</f>
        <v>....1.1</v>
      </c>
      <c r="K48" s="1659"/>
      <c r="L48" s="1660" t="s">
        <v>1526</v>
      </c>
      <c r="P48" s="2423"/>
      <c r="Q48" s="2423">
        <v>1</v>
      </c>
      <c r="R48" s="578"/>
      <c r="S48" s="1631" t="str">
        <f>$J48</f>
        <v>....1.1</v>
      </c>
      <c r="T48" s="496" t="s">
        <v>1527</v>
      </c>
      <c r="U48" s="510"/>
      <c r="V48" s="2411"/>
      <c r="W48" s="2412"/>
      <c r="X48" s="2412"/>
      <c r="Y48" s="2412"/>
      <c r="Z48" s="2412"/>
      <c r="AA48" s="2412"/>
      <c r="AB48" s="2412"/>
      <c r="AC48" s="2413"/>
      <c r="AD48" s="2411"/>
      <c r="AE48" s="2412"/>
      <c r="AF48" s="2412"/>
      <c r="AG48" s="2412"/>
      <c r="AH48" s="2412"/>
      <c r="AI48" s="2412"/>
      <c r="AJ48" s="2412"/>
      <c r="AK48" s="2412"/>
      <c r="AL48" s="2413"/>
      <c r="AM48" s="1546" t="s">
        <v>1528</v>
      </c>
      <c r="AO48" s="737"/>
      <c r="AP48" s="737" t="str">
        <f>IF(T48="","",T48)</f>
        <v>Группа потребителей</v>
      </c>
      <c r="AQ48" s="737"/>
      <c r="AR48" s="737"/>
    </row>
    <row customHeight="1" ht="21">
      <c r="A49" s="1659" t="s">
        <v>235</v>
      </c>
      <c r="B49" s="1659" t="s">
        <v>236</v>
      </c>
      <c r="C49" s="1659" t="s">
        <v>237</v>
      </c>
      <c r="D49" s="1659" t="s">
        <v>238</v>
      </c>
      <c r="E49" s="2425"/>
      <c r="F49" s="2425"/>
      <c r="G49" s="2425"/>
      <c r="H49" s="2425"/>
      <c r="I49" s="2454"/>
      <c r="J49" s="2455"/>
      <c r="K49" s="2422" t="str">
        <f>J48&amp;".1"</f>
        <v>....1.1.1</v>
      </c>
      <c r="L49" s="1660" t="s">
        <v>1529</v>
      </c>
      <c r="P49" s="2423"/>
      <c r="Q49" s="2423"/>
      <c r="R49" s="578">
        <v>1</v>
      </c>
      <c r="S49" s="1631" t="str">
        <f>$K49</f>
        <v>....1.1.1</v>
      </c>
      <c r="T49" s="1642"/>
      <c r="U49" s="510"/>
      <c r="V49" s="4065"/>
      <c r="W49" s="4066"/>
      <c r="X49" s="4065"/>
      <c r="Y49" s="4067"/>
      <c r="Z49" s="2430"/>
      <c r="AA49" s="2142" t="s">
        <v>67</v>
      </c>
      <c r="AB49" s="2430"/>
      <c r="AC49" s="2142" t="s">
        <v>67</v>
      </c>
      <c r="AD49" s="4065"/>
      <c r="AE49" s="4066"/>
      <c r="AF49" s="4065"/>
      <c r="AG49" s="4067"/>
      <c r="AH49" s="2430"/>
      <c r="AI49" s="2142" t="s">
        <v>67</v>
      </c>
      <c r="AJ49" s="2456"/>
      <c r="AK49" s="2142" t="s">
        <v>67</v>
      </c>
      <c r="AL49" s="4166"/>
      <c r="AM49" s="2419" t="s">
        <v>1530</v>
      </c>
      <c r="AN49" s="748">
        <f>STRCHECKDATE(V50:AL50)</f>
      </c>
      <c r="AO49" s="737"/>
      <c r="AP49" s="737" t="str">
        <f>IF(T49="","",T49)</f>
        <v/>
      </c>
      <c r="AQ49" s="737"/>
      <c r="AR49" s="737"/>
    </row>
    <row customHeight="1" ht="0.75">
      <c r="A50" s="1659" t="s">
        <v>235</v>
      </c>
      <c r="B50" s="1659" t="s">
        <v>236</v>
      </c>
      <c r="C50" s="1659" t="s">
        <v>237</v>
      </c>
      <c r="D50" s="1659" t="s">
        <v>238</v>
      </c>
      <c r="E50" s="2425"/>
      <c r="F50" s="2425"/>
      <c r="G50" s="2425"/>
      <c r="H50" s="2425"/>
      <c r="I50" s="2454"/>
      <c r="J50" s="2455"/>
      <c r="K50" s="2422"/>
      <c r="L50" s="1660"/>
      <c r="P50" s="2423"/>
      <c r="Q50" s="2423"/>
      <c r="R50" s="578"/>
      <c r="S50" s="1637"/>
      <c r="T50" s="510"/>
      <c r="U50" s="510"/>
      <c r="V50" s="4066"/>
      <c r="W50" s="4066"/>
      <c r="X50" s="4066"/>
      <c r="Y50" s="4071" t="str">
        <f>Z49&amp;"-"&amp;AB49</f>
        <v>-</v>
      </c>
      <c r="Z50" s="2431"/>
      <c r="AA50" s="2142"/>
      <c r="AB50" s="2431"/>
      <c r="AC50" s="2142"/>
      <c r="AD50" s="4066"/>
      <c r="AE50" s="4066"/>
      <c r="AF50" s="4066"/>
      <c r="AG50" s="4071" t="str">
        <f>AH49&amp;"-"&amp;AJ49</f>
        <v>-</v>
      </c>
      <c r="AH50" s="2431"/>
      <c r="AI50" s="2142"/>
      <c r="AJ50" s="2457"/>
      <c r="AK50" s="2142"/>
      <c r="AL50" s="4169"/>
      <c r="AM50" s="2420"/>
      <c r="AO50" s="737"/>
      <c r="AP50" s="737" t="str">
        <f>IF(T50="","",T50)</f>
        <v/>
      </c>
      <c r="AQ50" s="737"/>
      <c r="AR50" s="737"/>
    </row>
    <row customHeight="1" ht="11.25">
      <c r="A51" s="1659" t="s">
        <v>235</v>
      </c>
      <c r="B51" s="1659" t="s">
        <v>236</v>
      </c>
      <c r="C51" s="1659" t="s">
        <v>237</v>
      </c>
      <c r="D51" s="1659" t="s">
        <v>238</v>
      </c>
      <c r="E51" s="2425"/>
      <c r="F51" s="2425"/>
      <c r="G51" s="2425"/>
      <c r="H51" s="2425"/>
      <c r="I51" s="2454"/>
      <c r="J51" s="2422"/>
      <c r="K51" s="1659"/>
      <c r="L51" s="1660"/>
      <c r="P51" s="2423"/>
      <c r="Q51" s="2423"/>
      <c r="R51" s="577"/>
      <c r="S51" s="1568"/>
      <c r="T51" s="498" t="s">
        <v>1531</v>
      </c>
      <c r="U51" s="592"/>
      <c r="V51" s="592"/>
      <c r="W51" s="592"/>
      <c r="X51" s="592"/>
      <c r="Y51" s="592"/>
      <c r="Z51" s="592"/>
      <c r="AA51" s="592"/>
      <c r="AB51" s="592"/>
      <c r="AC51" s="592"/>
      <c r="AD51" s="592"/>
      <c r="AE51" s="592"/>
      <c r="AF51" s="592"/>
      <c r="AG51" s="592"/>
      <c r="AH51" s="592"/>
      <c r="AI51" s="592"/>
      <c r="AJ51" s="592"/>
      <c r="AK51" s="592"/>
      <c r="AL51" s="544"/>
      <c r="AM51" s="2421"/>
      <c r="AO51" s="737"/>
      <c r="AP51" s="737" t="str">
        <f>IF(T51="","",T51)</f>
        <v>Добавить вид теплоносителя (параметры теплоносителя)</v>
      </c>
      <c r="AQ51" s="737"/>
      <c r="AR51" s="737"/>
    </row>
    <row customHeight="1" ht="11.25">
      <c r="A52" s="1659" t="s">
        <v>235</v>
      </c>
      <c r="B52" s="1659" t="s">
        <v>236</v>
      </c>
      <c r="C52" s="1659" t="s">
        <v>237</v>
      </c>
      <c r="D52" s="1659" t="s">
        <v>238</v>
      </c>
      <c r="E52" s="2425"/>
      <c r="F52" s="2425"/>
      <c r="G52" s="2425"/>
      <c r="H52" s="2425"/>
      <c r="I52" s="2453"/>
      <c r="J52" s="1659"/>
      <c r="K52" s="1659"/>
      <c r="L52" s="1660"/>
      <c r="P52" s="2423"/>
      <c r="Q52" s="1626"/>
      <c r="R52" s="577"/>
      <c r="S52" s="1568"/>
      <c r="T52" s="497" t="s">
        <v>1532</v>
      </c>
      <c r="U52" s="592"/>
      <c r="V52" s="592"/>
      <c r="W52" s="592"/>
      <c r="X52" s="592"/>
      <c r="Y52" s="592"/>
      <c r="Z52" s="592"/>
      <c r="AA52" s="592"/>
      <c r="AB52" s="592"/>
      <c r="AC52" s="591"/>
      <c r="AD52" s="592"/>
      <c r="AE52" s="592"/>
      <c r="AF52" s="592"/>
      <c r="AG52" s="592"/>
      <c r="AH52" s="592"/>
      <c r="AI52" s="592"/>
      <c r="AJ52" s="592"/>
      <c r="AK52" s="591"/>
      <c r="AL52" s="592"/>
      <c r="AM52" s="513"/>
      <c r="AO52" s="737"/>
      <c r="AP52" s="737" t="str">
        <f>IF(T52="","",T52)</f>
        <v>Добавить группу потребителей</v>
      </c>
      <c r="AQ52" s="737"/>
      <c r="AR52" s="737"/>
    </row>
    <row customHeight="1" ht="14.25">
      <c r="A53" s="1659" t="s">
        <v>235</v>
      </c>
      <c r="B53" s="1659" t="s">
        <v>236</v>
      </c>
      <c r="C53" s="1659" t="s">
        <v>237</v>
      </c>
      <c r="D53" s="1659" t="s">
        <v>238</v>
      </c>
      <c r="E53" s="2425"/>
      <c r="F53" s="2425"/>
      <c r="G53" s="2425"/>
      <c r="H53" s="2424"/>
      <c r="I53" s="1659"/>
      <c r="J53" s="1659"/>
      <c r="K53" s="1659"/>
      <c r="L53" s="1660"/>
      <c r="M53" s="1661"/>
      <c r="N53" s="1661"/>
      <c r="O53" s="774"/>
      <c r="P53" s="581"/>
      <c r="Q53" s="601"/>
      <c r="R53" s="576"/>
      <c r="S53" s="1568"/>
      <c r="T53" s="589" t="s">
        <v>1533</v>
      </c>
      <c r="U53" s="592"/>
      <c r="V53" s="592"/>
      <c r="W53" s="592"/>
      <c r="X53" s="592"/>
      <c r="Y53" s="592"/>
      <c r="Z53" s="592"/>
      <c r="AA53" s="592"/>
      <c r="AB53" s="592"/>
      <c r="AC53" s="591"/>
      <c r="AD53" s="592"/>
      <c r="AE53" s="592"/>
      <c r="AF53" s="592"/>
      <c r="AG53" s="592"/>
      <c r="AH53" s="592"/>
      <c r="AI53" s="592"/>
      <c r="AJ53" s="592"/>
      <c r="AK53" s="591"/>
      <c r="AL53" s="592"/>
      <c r="AM53" s="513"/>
      <c r="AO53" s="737"/>
      <c r="AP53" s="737" t="str">
        <f>IF(T53="","",T53)</f>
        <v>Добавить схему подключения</v>
      </c>
      <c r="AQ53" s="737"/>
      <c r="AR53" s="737"/>
    </row>
    <row s="10863" customFormat="1" customHeight="1" ht="0.75">
      <c r="A54" s="1638" t="s">
        <v>235</v>
      </c>
      <c r="B54" s="1638" t="s">
        <v>236</v>
      </c>
      <c r="C54" s="1638" t="s">
        <v>237</v>
      </c>
      <c r="D54" s="1609"/>
      <c r="E54" s="2425"/>
      <c r="F54" s="2425"/>
      <c r="G54" s="2424"/>
      <c r="H54" s="1609"/>
      <c r="I54" s="1609"/>
      <c r="J54" s="1609"/>
      <c r="K54" s="1609"/>
      <c r="L54" s="1634"/>
      <c r="M54" s="1610"/>
      <c r="N54" s="1610"/>
      <c r="P54" s="1611"/>
      <c r="Q54" s="1612"/>
      <c r="R54" s="1611"/>
      <c r="S54" s="1617"/>
      <c r="T54" s="1620" t="s">
        <v>1492</v>
      </c>
      <c r="U54" s="1619"/>
      <c r="V54" s="1619"/>
      <c r="W54" s="1619"/>
      <c r="X54" s="1619"/>
      <c r="Y54" s="1619"/>
      <c r="Z54" s="1619"/>
      <c r="AA54" s="1619"/>
      <c r="AB54" s="1619"/>
      <c r="AC54" s="1619"/>
      <c r="AD54" s="1619"/>
      <c r="AE54" s="1619"/>
      <c r="AF54" s="1619"/>
      <c r="AG54" s="1619"/>
      <c r="AH54" s="1619"/>
      <c r="AI54" s="1619"/>
      <c r="AJ54" s="1619"/>
      <c r="AK54" s="1619"/>
      <c r="AL54" s="1619"/>
      <c r="AM54" s="1619"/>
      <c r="AO54" s="1029"/>
      <c r="AP54" s="1029" t="str">
        <f>IF(T54="","",T54)</f>
        <v>Добавить источник для дифференциации</v>
      </c>
      <c r="AQ54" s="1029"/>
      <c r="AR54" s="1029"/>
    </row>
    <row s="10863" customFormat="1" customHeight="1" ht="0.75">
      <c r="A55" s="1638" t="s">
        <v>235</v>
      </c>
      <c r="B55" s="1638" t="s">
        <v>236</v>
      </c>
      <c r="C55" s="1609"/>
      <c r="D55" s="1609"/>
      <c r="E55" s="2425"/>
      <c r="F55" s="2424"/>
      <c r="G55" s="1609"/>
      <c r="H55" s="1609"/>
      <c r="I55" s="1609"/>
      <c r="J55" s="1609"/>
      <c r="K55" s="1609"/>
      <c r="L55" s="1634"/>
      <c r="M55" s="1616"/>
      <c r="N55" s="1616"/>
      <c r="P55" s="1611"/>
      <c r="Q55" s="1612"/>
      <c r="R55" s="1611"/>
      <c r="S55" s="1617"/>
      <c r="T55" s="1620" t="s">
        <v>1493</v>
      </c>
      <c r="U55" s="1619"/>
      <c r="V55" s="1619"/>
      <c r="W55" s="1619"/>
      <c r="X55" s="1619"/>
      <c r="Y55" s="1619"/>
      <c r="Z55" s="1619"/>
      <c r="AA55" s="1619"/>
      <c r="AB55" s="1619"/>
      <c r="AC55" s="1619"/>
      <c r="AD55" s="1619"/>
      <c r="AE55" s="1619"/>
      <c r="AF55" s="1619"/>
      <c r="AG55" s="1619"/>
      <c r="AH55" s="1619"/>
      <c r="AI55" s="1619"/>
      <c r="AJ55" s="1619"/>
      <c r="AK55" s="1619"/>
      <c r="AL55" s="1619"/>
      <c r="AM55" s="1619"/>
      <c r="AO55" s="1029"/>
      <c r="AP55" s="1029" t="str">
        <f>IF(T55="","",T55)</f>
        <v>Добавить централизованную систему для дифференциации</v>
      </c>
      <c r="AQ55" s="1029"/>
      <c r="AR55" s="1029"/>
    </row>
    <row s="10863" customFormat="1" customHeight="1" ht="0.75">
      <c r="A56" s="1638" t="s">
        <v>235</v>
      </c>
      <c r="B56" s="1638"/>
      <c r="C56" s="1638"/>
      <c r="D56" s="1638"/>
      <c r="E56" s="2424"/>
      <c r="F56" s="1638"/>
      <c r="G56" s="1638"/>
      <c r="H56" s="1638"/>
      <c r="I56" s="1638"/>
      <c r="J56" s="1638"/>
      <c r="K56" s="1638"/>
      <c r="L56" s="1641"/>
      <c r="M56" s="1616"/>
      <c r="N56" s="1616"/>
      <c r="O56" s="755"/>
      <c r="P56" s="610"/>
      <c r="Q56" s="1639"/>
      <c r="R56" s="610"/>
      <c r="S56" s="1617"/>
      <c r="T56" s="1620" t="s">
        <v>1494</v>
      </c>
      <c r="U56" s="1619"/>
      <c r="V56" s="1619"/>
      <c r="W56" s="1619"/>
      <c r="X56" s="1619"/>
      <c r="Y56" s="1619"/>
      <c r="Z56" s="1619"/>
      <c r="AA56" s="1619"/>
      <c r="AB56" s="1619"/>
      <c r="AC56" s="1619"/>
      <c r="AD56" s="1619"/>
      <c r="AE56" s="1619"/>
      <c r="AF56" s="1619"/>
      <c r="AG56" s="1619"/>
      <c r="AH56" s="1619"/>
      <c r="AI56" s="1619"/>
      <c r="AJ56" s="1619"/>
      <c r="AK56" s="1619"/>
      <c r="AL56" s="1619"/>
      <c r="AM56" s="1619"/>
      <c r="AO56" s="737"/>
      <c r="AP56" s="737" t="str">
        <f>IF(T56="","",T56)</f>
        <v>Добавить территорию для дифференциации</v>
      </c>
      <c r="AQ56" s="737"/>
      <c r="AR56" s="737"/>
    </row>
    <row s="10863" customFormat="1" customHeight="1" ht="0.75">
      <c r="A57" s="1609"/>
      <c r="B57" s="1609"/>
      <c r="C57" s="1609"/>
      <c r="D57" s="1609"/>
      <c r="E57" s="1638"/>
      <c r="F57" s="1609"/>
      <c r="G57" s="1609"/>
      <c r="H57" s="1609"/>
      <c r="I57" s="1609"/>
      <c r="J57" s="1609"/>
      <c r="K57" s="1609"/>
      <c r="L57" s="1634"/>
      <c r="M57" s="1616"/>
      <c r="N57" s="1616"/>
      <c r="P57" s="1611"/>
      <c r="Q57" s="1612"/>
      <c r="R57" s="1611"/>
      <c r="S57" s="1617"/>
      <c r="T57" s="1620" t="s">
        <v>1495</v>
      </c>
      <c r="U57" s="1619"/>
      <c r="V57" s="1619"/>
      <c r="W57" s="1619"/>
      <c r="X57" s="1619"/>
      <c r="Y57" s="1619"/>
      <c r="Z57" s="1619"/>
      <c r="AA57" s="1619"/>
      <c r="AB57" s="1619"/>
      <c r="AC57" s="1619"/>
      <c r="AD57" s="1619"/>
      <c r="AE57" s="1619"/>
      <c r="AF57" s="1619"/>
      <c r="AG57" s="1619"/>
      <c r="AH57" s="1619"/>
      <c r="AI57" s="1619"/>
      <c r="AJ57" s="1619"/>
      <c r="AK57" s="1619"/>
      <c r="AL57" s="1619"/>
      <c r="AM57" s="1619"/>
      <c r="AO57" s="1029"/>
      <c r="AP57" s="1029" t="str">
        <f>IF(T57="","",T57)</f>
        <v>Добавить наименование тарифа</v>
      </c>
      <c r="AQ57" s="1029"/>
      <c r="AR57" s="1029"/>
    </row>
    <row customHeight="1" ht="11.25" hidden="1">
      <c r="M58" s="1421"/>
      <c r="N58" s="1421"/>
      <c r="O58" s="774"/>
      <c r="P58" s="1416"/>
      <c r="Q58" s="1416"/>
      <c r="R58" s="1416"/>
      <c r="S58" s="1416"/>
      <c r="AN58" s="1416"/>
      <c r="AO58" s="1416"/>
      <c r="AP58" s="1416"/>
      <c r="AQ58" s="1416"/>
      <c r="AR58" s="1416"/>
    </row>
    <row customHeight="1" ht="27" hidden="1">
      <c r="O59" s="774"/>
      <c r="S59" s="1533" t="s">
        <v>1565</v>
      </c>
      <c r="T59" s="2452" t="s">
        <v>1572</v>
      </c>
      <c r="U59" s="2452"/>
      <c r="V59" s="2452"/>
      <c r="W59" s="2452"/>
      <c r="X59" s="2452"/>
      <c r="Y59" s="2452"/>
      <c r="Z59" s="2452"/>
      <c r="AA59" s="2452"/>
      <c r="AB59" s="2452"/>
      <c r="AC59" s="2452"/>
      <c r="AD59" s="2452"/>
      <c r="AE59" s="2452"/>
      <c r="AF59" s="2452"/>
      <c r="AG59" s="2452"/>
      <c r="AH59" s="2452"/>
      <c r="AI59" s="2452"/>
      <c r="AJ59" s="2452"/>
      <c r="AK59" s="2452"/>
      <c r="AL59" s="2452"/>
      <c r="AM59" s="2452"/>
    </row>
    <row customHeight="1" ht="62.25" hidden="1">
      <c r="O60" s="774"/>
      <c r="T60" s="2452" t="s">
        <v>1567</v>
      </c>
      <c r="U60" s="2452"/>
      <c r="V60" s="2452"/>
      <c r="W60" s="2452"/>
      <c r="X60" s="2452"/>
      <c r="Y60" s="2452"/>
      <c r="Z60" s="2452"/>
      <c r="AA60" s="2452"/>
      <c r="AB60" s="2452"/>
      <c r="AC60" s="2452"/>
      <c r="AD60" s="2452"/>
      <c r="AE60" s="2452"/>
      <c r="AF60" s="2452"/>
      <c r="AG60" s="2452"/>
      <c r="AH60" s="2452"/>
      <c r="AI60" s="2452"/>
      <c r="AJ60" s="2452"/>
      <c r="AK60" s="2452"/>
      <c r="AL60" s="2452"/>
      <c r="AM60" s="2452"/>
    </row>
    <row customHeight="1" ht="14.25" hidden="1">
      <c r="O61" s="774"/>
    </row>
    <row customHeight="1" ht="18" hidden="1">
      <c r="O62" s="774"/>
      <c r="S62" s="1533" t="s">
        <v>1565</v>
      </c>
      <c r="T62" s="2452" t="s">
        <v>1568</v>
      </c>
      <c r="U62" s="2452"/>
      <c r="V62" s="2452"/>
      <c r="W62" s="2452"/>
      <c r="X62" s="2452"/>
      <c r="Y62" s="2452"/>
      <c r="Z62" s="2452"/>
      <c r="AA62" s="2452"/>
      <c r="AB62" s="2452"/>
      <c r="AC62" s="2452"/>
      <c r="AD62" s="2452"/>
      <c r="AE62" s="2452"/>
      <c r="AF62" s="2452"/>
      <c r="AG62" s="2452"/>
      <c r="AH62" s="2452"/>
      <c r="AI62" s="2452"/>
      <c r="AJ62" s="2452"/>
      <c r="AK62" s="2452"/>
      <c r="AL62" s="2452"/>
      <c r="AM62" s="2452"/>
    </row>
    <row customHeight="1" ht="18" hidden="1">
      <c r="O63" s="774"/>
      <c r="T63" s="2452" t="s">
        <v>1569</v>
      </c>
      <c r="U63" s="2452"/>
      <c r="V63" s="2452"/>
      <c r="W63" s="2452"/>
      <c r="X63" s="2452"/>
      <c r="Y63" s="2452"/>
      <c r="Z63" s="2452"/>
      <c r="AA63" s="2452"/>
      <c r="AB63" s="2452"/>
      <c r="AC63" s="2452"/>
      <c r="AD63" s="2452"/>
      <c r="AE63" s="2452"/>
      <c r="AF63" s="2452"/>
      <c r="AG63" s="2452"/>
      <c r="AH63" s="2452"/>
      <c r="AI63" s="2452"/>
      <c r="AJ63" s="2452"/>
      <c r="AK63" s="2452"/>
      <c r="AL63" s="2452"/>
      <c r="AM63" s="2452"/>
    </row>
    <row customHeight="1" ht="27.75" hidden="1">
      <c r="O64" s="774"/>
      <c r="S64" s="1533"/>
      <c r="T64" s="2452" t="s">
        <v>1570</v>
      </c>
      <c r="U64" s="2452"/>
      <c r="V64" s="2452"/>
      <c r="W64" s="2452"/>
      <c r="X64" s="2452"/>
      <c r="Y64" s="2452"/>
      <c r="Z64" s="2452"/>
      <c r="AA64" s="2452"/>
      <c r="AB64" s="2452"/>
      <c r="AC64" s="2452"/>
      <c r="AD64" s="2452"/>
      <c r="AE64" s="2452"/>
      <c r="AF64" s="2452"/>
      <c r="AG64" s="2452"/>
      <c r="AH64" s="2452"/>
      <c r="AI64" s="2452"/>
      <c r="AJ64" s="2452"/>
      <c r="AK64" s="2452"/>
      <c r="AL64" s="2452"/>
      <c r="AM64" s="2452"/>
    </row>
  </sheetData>
  <sheetProtection formatColumns="0" formatRows="0" autoFilter="0" sort="0" insertRows="0" insertColumns="1" deleteRows="0" deleteColumns="0"/>
  <mergeCells count="112">
    <mergeCell ref="T63:AM63"/>
    <mergeCell ref="T64:AM64"/>
    <mergeCell ref="T62:AM62"/>
    <mergeCell ref="AM49:AM51"/>
    <mergeCell ref="T59:AM59"/>
    <mergeCell ref="T60:AM60"/>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AM8:AM10"/>
    <mergeCell ref="AH17:AH18"/>
    <mergeCell ref="AI17:AI18"/>
    <mergeCell ref="AJ17:AJ18"/>
    <mergeCell ref="AK17:AK18"/>
    <mergeCell ref="AH8:AH9"/>
    <mergeCell ref="AI8:AI9"/>
    <mergeCell ref="AJ8:AJ9"/>
    <mergeCell ref="AK8:AK9"/>
    <mergeCell ref="V7:AC7"/>
    <mergeCell ref="AD7:AL7"/>
    <mergeCell ref="V2:AC2"/>
    <mergeCell ref="AD2:AL2"/>
    <mergeCell ref="V3:AC3"/>
    <mergeCell ref="AD3:AL3"/>
    <mergeCell ref="V4:AC4"/>
    <mergeCell ref="AD4:AL4"/>
    <mergeCell ref="V5:AC5"/>
    <mergeCell ref="AD5:AL5"/>
    <mergeCell ref="V6:AC6"/>
    <mergeCell ref="AD6:AL6"/>
    <mergeCell ref="S26:AJ26"/>
    <mergeCell ref="S27:AJ27"/>
    <mergeCell ref="S29:T29"/>
    <mergeCell ref="AD29:AJ29"/>
    <mergeCell ref="S30:T30"/>
    <mergeCell ref="V30:AB30"/>
    <mergeCell ref="AD30:AJ30"/>
    <mergeCell ref="S31:T31"/>
    <mergeCell ref="E2:E15"/>
    <mergeCell ref="F3:F14"/>
    <mergeCell ref="G4:G13"/>
    <mergeCell ref="H5:H12"/>
    <mergeCell ref="I6:I11"/>
    <mergeCell ref="P6:P11"/>
    <mergeCell ref="J7:J10"/>
    <mergeCell ref="Q7:Q10"/>
    <mergeCell ref="K8:K9"/>
    <mergeCell ref="Z8:Z9"/>
    <mergeCell ref="AA8:AA9"/>
    <mergeCell ref="AB8:AB9"/>
    <mergeCell ref="AC8:AC9"/>
    <mergeCell ref="V29:AB29"/>
    <mergeCell ref="V31:AB31"/>
    <mergeCell ref="AD31:AJ31"/>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E9C9C9A-EF38-B077-518D-7484F72C01B1}" mc:Ignorable="x14ac xr xr2 xr3">
  <sheetPr>
    <tabColor theme="6" tint="0.4"/>
  </sheetPr>
  <dimension ref="A1:AR64"/>
  <sheetViews>
    <sheetView topLeftCell="P25" showGridLines="0" zoomScale="90" workbookViewId="0">
      <selection activeCell="A1" sqref="A1"/>
    </sheetView>
  </sheetViews>
  <sheetFormatPr defaultColWidth="10.57421875" customHeight="1" defaultRowHeight="14.25"/>
  <cols>
    <col min="1" max="1" style="11074" width="10.57421875" hidden="1"/>
    <col min="2" max="2" style="11074" width="11.00390625" hidden="1" customWidth="1"/>
    <col min="3" max="3" style="11074" width="10.57421875" hidden="1"/>
    <col min="4" max="4" style="11074" width="11.8515625" hidden="1" customWidth="1"/>
    <col min="5" max="5" style="11074" width="10.00390625" hidden="1" customWidth="1"/>
    <col min="6" max="6" style="11074" width="8.7109375" hidden="1" customWidth="1"/>
    <col min="7" max="7" style="11074" width="7.57421875" hidden="1" customWidth="1"/>
    <col min="8" max="8" style="11074" width="11.421875" hidden="1" customWidth="1"/>
    <col min="9" max="9" style="11074" width="12.00390625" hidden="1" customWidth="1"/>
    <col min="10" max="10" style="11074" width="9.8515625" hidden="1" customWidth="1"/>
    <col min="11" max="11" style="11074" width="11.421875" hidden="1" customWidth="1"/>
    <col min="12" max="12" style="11240" width="19.140625" hidden="1" customWidth="1"/>
    <col min="13" max="14" style="9887" width="12.28125" hidden="1" customWidth="1"/>
    <col min="15" max="15" style="9887" width="23.421875" hidden="1" customWidth="1"/>
    <col min="16" max="16" style="11241" width="3.7109375" customWidth="1"/>
    <col min="17" max="18" style="10046" width="3.7109375" customWidth="1"/>
    <col min="19" max="19" style="11124" width="12.7109375" customWidth="1"/>
    <col min="20" max="20" style="11126" width="32.00390625" customWidth="1"/>
    <col min="21" max="22" style="11126" width="0.140625" customWidth="1"/>
    <col min="23" max="23" style="11126" width="24.7109375" hidden="1" customWidth="1"/>
    <col min="24" max="25" style="11126" width="0.140625" hidden="1" customWidth="1"/>
    <col min="26" max="26" style="11126" width="11.7109375" hidden="1" customWidth="1"/>
    <col min="27" max="27" style="11126" width="3.7109375" hidden="1" customWidth="1"/>
    <col min="28" max="28" style="11126" width="11.7109375" hidden="1" customWidth="1"/>
    <col min="29" max="29" style="11126" width="8.57421875" hidden="1" customWidth="1"/>
    <col min="30" max="30" style="11126" width="0.140625" customWidth="1"/>
    <col min="31" max="31" style="11126" width="24.7109375" customWidth="1"/>
    <col min="32" max="33" style="11126" width="0.140625" customWidth="1"/>
    <col min="34" max="34" style="11126" width="11.7109375" customWidth="1"/>
    <col min="35" max="35" style="11126" width="3.7109375" customWidth="1"/>
    <col min="36" max="36" style="11126" width="11.7109375" customWidth="1"/>
    <col min="37" max="37" style="11126" width="8.57421875" hidden="1" customWidth="1"/>
    <col min="38" max="38" style="11126" width="4.7109375" customWidth="1"/>
    <col min="39" max="39" style="11126" width="115.7109375" customWidth="1"/>
    <col min="40" max="41" style="10863" width="10.57421875"/>
    <col min="42" max="42" style="10863" width="11.140625" customWidth="1"/>
    <col min="43" max="44" style="10863" width="10.57421875"/>
  </cols>
  <sheetData>
    <row customHeight="1" ht="14.25" hidden="1">
      <c r="Y1" s="548"/>
      <c r="Z1" s="548"/>
      <c r="AG1" s="548"/>
      <c r="AH1" s="548"/>
    </row>
    <row customHeight="1" ht="21" hidden="1">
      <c r="A2" s="1659"/>
      <c r="B2" s="1659"/>
      <c r="C2" s="1659"/>
      <c r="D2" s="1659"/>
      <c r="E2" s="2424">
        <v>1</v>
      </c>
      <c r="F2" s="1659"/>
      <c r="G2" s="1659"/>
      <c r="H2" s="1659"/>
      <c r="I2" s="1659"/>
      <c r="J2" s="1659"/>
      <c r="K2" s="1659"/>
      <c r="L2" s="1660"/>
      <c r="M2" s="1661"/>
      <c r="N2" s="1661"/>
      <c r="O2" s="1661"/>
      <c r="P2" s="582"/>
      <c r="Q2" s="581"/>
      <c r="R2" s="576"/>
      <c r="S2" s="1631">
        <f>INDEX(PT_DIFFERENTIATION_NUM_NTAR,MATCH(A2,PT_DIFFERENTIATION_NTAR_ID,0))</f>
      </c>
      <c r="T2" s="508" t="s">
        <v>200</v>
      </c>
      <c r="U2" s="510"/>
      <c r="V2" s="4037"/>
      <c r="W2" s="4038"/>
      <c r="X2" s="4038"/>
      <c r="Y2" s="4038"/>
      <c r="Z2" s="4038"/>
      <c r="AA2" s="4038"/>
      <c r="AB2" s="4038"/>
      <c r="AC2" s="4039"/>
      <c r="AD2" s="4037">
        <f>INDEX(PT_DIFFERENTIATION_NTAR,MATCH(A2,PT_DIFFERENTIATION_NTAR_ID,0))</f>
      </c>
      <c r="AE2" s="4038"/>
      <c r="AF2" s="4038"/>
      <c r="AG2" s="4038"/>
      <c r="AH2" s="4038"/>
      <c r="AI2" s="4038"/>
      <c r="AJ2" s="4038"/>
      <c r="AK2" s="4038"/>
      <c r="AL2" s="4039"/>
      <c r="AM2" s="1546" t="s">
        <v>1516</v>
      </c>
      <c r="AO2" s="737"/>
      <c r="AP2" s="737" t="str">
        <f>IF(T2="","",T2)</f>
        <v>Наименование тарифа</v>
      </c>
      <c r="AQ2" s="737"/>
      <c r="AR2" s="737"/>
    </row>
    <row customHeight="1" ht="21" hidden="1">
      <c r="A3" s="1659"/>
      <c r="B3" s="1659"/>
      <c r="C3" s="1659"/>
      <c r="D3" s="1659"/>
      <c r="E3" s="2425"/>
      <c r="F3" s="2424">
        <v>1</v>
      </c>
      <c r="G3" s="1659"/>
      <c r="H3" s="1659"/>
      <c r="I3" s="1659"/>
      <c r="J3" s="1659"/>
      <c r="K3" s="1659"/>
      <c r="L3" s="1660"/>
      <c r="M3" s="1661"/>
      <c r="N3" s="1661"/>
      <c r="O3" s="1661"/>
      <c r="P3" s="1627"/>
      <c r="Q3" s="573"/>
      <c r="R3" s="574"/>
      <c r="S3" s="1631">
        <f>INDEX(PT_DIFFERENTIATION_NUM_TER,MATCH(B3,PT_DIFFERENTIATION_TER_ID,0))</f>
      </c>
      <c r="T3" s="520" t="s">
        <v>1517</v>
      </c>
      <c r="U3" s="510"/>
      <c r="V3" s="4037"/>
      <c r="W3" s="4038"/>
      <c r="X3" s="4038"/>
      <c r="Y3" s="4038"/>
      <c r="Z3" s="4038"/>
      <c r="AA3" s="4038"/>
      <c r="AB3" s="4038"/>
      <c r="AC3" s="4039"/>
      <c r="AD3" s="4037">
        <f>INDEX(PT_DIFFERENTIATION_TER,MATCH(B3,PT_DIFFERENTIATION_TER_ID,0))</f>
      </c>
      <c r="AE3" s="4038"/>
      <c r="AF3" s="4038"/>
      <c r="AG3" s="4038"/>
      <c r="AH3" s="4038"/>
      <c r="AI3" s="4038"/>
      <c r="AJ3" s="4038"/>
      <c r="AK3" s="4038"/>
      <c r="AL3" s="4039"/>
      <c r="AM3" s="1546" t="s">
        <v>1518</v>
      </c>
      <c r="AO3" s="737"/>
      <c r="AP3" s="737" t="str">
        <f>IF(T3="","",T3)</f>
        <v>Территория действия тарифа</v>
      </c>
      <c r="AQ3" s="737"/>
      <c r="AR3" s="737"/>
    </row>
    <row customHeight="1" ht="23.25" hidden="1">
      <c r="A4" s="1659"/>
      <c r="B4" s="1659"/>
      <c r="C4" s="1659"/>
      <c r="D4" s="1659"/>
      <c r="E4" s="2425"/>
      <c r="F4" s="2425"/>
      <c r="G4" s="2424">
        <v>1</v>
      </c>
      <c r="H4" s="1659"/>
      <c r="I4" s="1659"/>
      <c r="J4" s="1659"/>
      <c r="K4" s="1659"/>
      <c r="L4" s="1660"/>
      <c r="M4" s="1661"/>
      <c r="N4" s="1661"/>
      <c r="O4" s="1661"/>
      <c r="P4" s="575"/>
      <c r="Q4" s="573"/>
      <c r="R4" s="574"/>
      <c r="S4" s="1631">
        <f>INDEX(PT_DIFFERENTIATION_NUM_CS,MATCH(C4,PT_DIFFERENTIATION_CS_ID,0))</f>
      </c>
      <c r="T4" s="521" t="s">
        <v>1519</v>
      </c>
      <c r="U4" s="510"/>
      <c r="V4" s="4037"/>
      <c r="W4" s="4038"/>
      <c r="X4" s="4038"/>
      <c r="Y4" s="4038"/>
      <c r="Z4" s="4038"/>
      <c r="AA4" s="4038"/>
      <c r="AB4" s="4038"/>
      <c r="AC4" s="4039"/>
      <c r="AD4" s="4037">
        <f>INDEX(PT_DIFFERENTIATION_CS,MATCH(C4,PT_DIFFERENTIATION_CS_ID,0))</f>
      </c>
      <c r="AE4" s="4038"/>
      <c r="AF4" s="4038"/>
      <c r="AG4" s="4038"/>
      <c r="AH4" s="4038"/>
      <c r="AI4" s="4038"/>
      <c r="AJ4" s="4038"/>
      <c r="AK4" s="4038"/>
      <c r="AL4" s="4039"/>
      <c r="AM4" s="1546" t="s">
        <v>1520</v>
      </c>
      <c r="AO4" s="737"/>
      <c r="AP4" s="737" t="str">
        <f>IF(T4="","",T4)</f>
        <v>Наименование системы теплоснабжения </v>
      </c>
      <c r="AQ4" s="737"/>
      <c r="AR4" s="737"/>
    </row>
    <row customHeight="1" ht="21" hidden="1">
      <c r="A5" s="1659"/>
      <c r="B5" s="1659"/>
      <c r="C5" s="1659"/>
      <c r="D5" s="1659"/>
      <c r="E5" s="2425"/>
      <c r="F5" s="2425"/>
      <c r="G5" s="2425"/>
      <c r="H5" s="2424">
        <v>1</v>
      </c>
      <c r="I5" s="1659"/>
      <c r="J5" s="1659"/>
      <c r="K5" s="1659"/>
      <c r="L5" s="1660"/>
      <c r="M5" s="1661"/>
      <c r="N5" s="1661"/>
      <c r="O5" s="1661"/>
      <c r="P5" s="575"/>
      <c r="Q5" s="573"/>
      <c r="R5" s="574"/>
      <c r="S5" s="1631">
        <f>INDEX(PT_DIFFERENTIATION_NUM_IST_TE,MATCH(D5,PT_DIFFERENTIATION_IST_TE_ID,0))</f>
      </c>
      <c r="T5" s="522" t="s">
        <v>1521</v>
      </c>
      <c r="U5" s="510"/>
      <c r="V5" s="4037"/>
      <c r="W5" s="4038"/>
      <c r="X5" s="4038"/>
      <c r="Y5" s="4038"/>
      <c r="Z5" s="4038"/>
      <c r="AA5" s="4038"/>
      <c r="AB5" s="4038"/>
      <c r="AC5" s="4039"/>
      <c r="AD5" s="4037">
        <f>INDEX(PT_DIFFERENTIATION_IST_TE,MATCH(D5,PT_DIFFERENTIATION_IST_TE_ID,0))</f>
      </c>
      <c r="AE5" s="4038"/>
      <c r="AF5" s="4038"/>
      <c r="AG5" s="4038"/>
      <c r="AH5" s="4038"/>
      <c r="AI5" s="4038"/>
      <c r="AJ5" s="4038"/>
      <c r="AK5" s="4038"/>
      <c r="AL5" s="4039"/>
      <c r="AM5" s="1546" t="s">
        <v>1522</v>
      </c>
      <c r="AO5" s="737"/>
      <c r="AP5" s="737" t="str">
        <f>IF(T5="","",T5)</f>
        <v>Источник тепловой энергии  </v>
      </c>
      <c r="AQ5" s="737"/>
      <c r="AR5" s="737"/>
    </row>
    <row customHeight="1" ht="47.25" hidden="1">
      <c r="A6" s="1659"/>
      <c r="B6" s="1659"/>
      <c r="C6" s="1659"/>
      <c r="D6" s="1659"/>
      <c r="E6" s="2425"/>
      <c r="F6" s="2425"/>
      <c r="G6" s="2425"/>
      <c r="H6" s="2425"/>
      <c r="I6" s="2453">
        <f>S5&amp;".1"</f>
      </c>
      <c r="J6" s="1659"/>
      <c r="K6" s="1659"/>
      <c r="L6" s="1660" t="s">
        <v>1523</v>
      </c>
      <c r="M6" s="774"/>
      <c r="P6" s="2423">
        <v>1</v>
      </c>
      <c r="Q6" s="1626"/>
      <c r="R6" s="577"/>
      <c r="S6" s="1631">
        <f>$I6</f>
      </c>
      <c r="T6" s="495" t="s">
        <v>1524</v>
      </c>
      <c r="U6" s="510"/>
      <c r="V6" s="2411"/>
      <c r="W6" s="2412"/>
      <c r="X6" s="2412"/>
      <c r="Y6" s="2412"/>
      <c r="Z6" s="2412"/>
      <c r="AA6" s="2412"/>
      <c r="AB6" s="2412"/>
      <c r="AC6" s="2413"/>
      <c r="AD6" s="2411"/>
      <c r="AE6" s="2412"/>
      <c r="AF6" s="2412"/>
      <c r="AG6" s="2412"/>
      <c r="AH6" s="2412"/>
      <c r="AI6" s="2412"/>
      <c r="AJ6" s="2412"/>
      <c r="AK6" s="2412"/>
      <c r="AL6" s="2413"/>
      <c r="AM6" s="1546" t="s">
        <v>1525</v>
      </c>
      <c r="AO6" s="737"/>
      <c r="AP6" s="737" t="str">
        <f>IF(T6="","",T6)</f>
        <v>Схема подключения теплопотребляющей установки к коллектору источника тепловой энергии</v>
      </c>
      <c r="AQ6" s="737"/>
      <c r="AR6" s="737"/>
    </row>
    <row customHeight="1" ht="21" hidden="1">
      <c r="A7" s="1659"/>
      <c r="B7" s="1659"/>
      <c r="C7" s="1659"/>
      <c r="D7" s="1659"/>
      <c r="E7" s="2425"/>
      <c r="F7" s="2425"/>
      <c r="G7" s="2425"/>
      <c r="H7" s="2425"/>
      <c r="I7" s="2454"/>
      <c r="J7" s="2422">
        <f>I6&amp;".1"</f>
      </c>
      <c r="K7" s="1659"/>
      <c r="L7" s="1660" t="s">
        <v>1526</v>
      </c>
      <c r="M7" s="774"/>
      <c r="N7" s="1662"/>
      <c r="P7" s="2423"/>
      <c r="Q7" s="2423">
        <v>1</v>
      </c>
      <c r="R7" s="578"/>
      <c r="S7" s="1631">
        <f>$J7</f>
      </c>
      <c r="T7" s="496" t="s">
        <v>1527</v>
      </c>
      <c r="U7" s="510"/>
      <c r="V7" s="2411"/>
      <c r="W7" s="2412"/>
      <c r="X7" s="2412"/>
      <c r="Y7" s="2412"/>
      <c r="Z7" s="2412"/>
      <c r="AA7" s="2412"/>
      <c r="AB7" s="2412"/>
      <c r="AC7" s="2413"/>
      <c r="AD7" s="2411"/>
      <c r="AE7" s="2412"/>
      <c r="AF7" s="2412"/>
      <c r="AG7" s="2412"/>
      <c r="AH7" s="2412"/>
      <c r="AI7" s="2412"/>
      <c r="AJ7" s="2412"/>
      <c r="AK7" s="2412"/>
      <c r="AL7" s="2413"/>
      <c r="AM7" s="1546" t="s">
        <v>1528</v>
      </c>
      <c r="AO7" s="737"/>
      <c r="AP7" s="737" t="str">
        <f>IF(T7="","",T7)</f>
        <v>Группа потребителей</v>
      </c>
      <c r="AQ7" s="737"/>
      <c r="AR7" s="737"/>
    </row>
    <row customHeight="1" ht="21" hidden="1">
      <c r="A8" s="1659"/>
      <c r="B8" s="1659"/>
      <c r="C8" s="1659"/>
      <c r="D8" s="1659"/>
      <c r="E8" s="2425"/>
      <c r="F8" s="2425"/>
      <c r="G8" s="2425"/>
      <c r="H8" s="2425"/>
      <c r="I8" s="2454"/>
      <c r="J8" s="2455"/>
      <c r="K8" s="2422">
        <f>J7&amp;".1"</f>
      </c>
      <c r="L8" s="1660" t="s">
        <v>1529</v>
      </c>
      <c r="M8" s="774"/>
      <c r="N8" s="1662"/>
      <c r="O8" s="1662"/>
      <c r="P8" s="2423"/>
      <c r="Q8" s="2423"/>
      <c r="R8" s="578">
        <v>1</v>
      </c>
      <c r="S8" s="1631">
        <f>$K8</f>
      </c>
      <c r="T8" s="1642"/>
      <c r="U8" s="510"/>
      <c r="V8" s="4066"/>
      <c r="W8" s="4065"/>
      <c r="X8" s="4066"/>
      <c r="Y8" s="4186"/>
      <c r="Z8" s="2430"/>
      <c r="AA8" s="2142" t="s">
        <v>67</v>
      </c>
      <c r="AB8" s="2430"/>
      <c r="AC8" s="2142" t="s">
        <v>67</v>
      </c>
      <c r="AD8" s="4066"/>
      <c r="AE8" s="4065"/>
      <c r="AF8" s="4066"/>
      <c r="AG8" s="4186"/>
      <c r="AH8" s="2430"/>
      <c r="AI8" s="2142" t="s">
        <v>67</v>
      </c>
      <c r="AJ8" s="2430"/>
      <c r="AK8" s="2142" t="s">
        <v>67</v>
      </c>
      <c r="AL8" s="4066"/>
      <c r="AM8" s="2419" t="s">
        <v>1530</v>
      </c>
      <c r="AN8" s="748">
        <f>STRCHECKDATE(V9:AL9)</f>
      </c>
      <c r="AO8" s="737"/>
      <c r="AP8" s="737" t="str">
        <f>IF(T8="","",T8)</f>
        <v/>
      </c>
      <c r="AQ8" s="737"/>
      <c r="AR8" s="737"/>
    </row>
    <row customHeight="1" ht="0.75" hidden="1">
      <c r="A9" s="1659"/>
      <c r="B9" s="1659"/>
      <c r="C9" s="1659"/>
      <c r="D9" s="1659"/>
      <c r="E9" s="2425"/>
      <c r="F9" s="2425"/>
      <c r="G9" s="2425"/>
      <c r="H9" s="2425"/>
      <c r="I9" s="2454"/>
      <c r="J9" s="2455"/>
      <c r="K9" s="2422"/>
      <c r="L9" s="1660"/>
      <c r="M9" s="774"/>
      <c r="N9" s="1662"/>
      <c r="O9" s="1662"/>
      <c r="P9" s="2423"/>
      <c r="Q9" s="2423"/>
      <c r="R9" s="578"/>
      <c r="S9" s="1637"/>
      <c r="T9" s="510"/>
      <c r="U9" s="510"/>
      <c r="V9" s="4066"/>
      <c r="W9" s="4066"/>
      <c r="X9" s="4066"/>
      <c r="Y9" s="4071" t="str">
        <f>Z8&amp;"-"&amp;AB8</f>
        <v>-</v>
      </c>
      <c r="Z9" s="2431"/>
      <c r="AA9" s="2142"/>
      <c r="AB9" s="2431"/>
      <c r="AC9" s="2142"/>
      <c r="AD9" s="4066"/>
      <c r="AE9" s="4066"/>
      <c r="AF9" s="4066"/>
      <c r="AG9" s="4071" t="str">
        <f>AH8&amp;"-"&amp;AJ8</f>
        <v>-</v>
      </c>
      <c r="AH9" s="2431"/>
      <c r="AI9" s="2142"/>
      <c r="AJ9" s="2431"/>
      <c r="AK9" s="2142"/>
      <c r="AL9" s="4066"/>
      <c r="AM9" s="2420"/>
      <c r="AO9" s="737"/>
      <c r="AP9" s="737" t="str">
        <f>IF(T9="","",T9)</f>
        <v/>
      </c>
      <c r="AQ9" s="737"/>
      <c r="AR9" s="737"/>
    </row>
    <row customHeight="1" ht="15" hidden="1">
      <c r="A10" s="1659"/>
      <c r="B10" s="1659"/>
      <c r="C10" s="1659"/>
      <c r="D10" s="1659"/>
      <c r="E10" s="2425"/>
      <c r="F10" s="2425"/>
      <c r="G10" s="2425"/>
      <c r="H10" s="2425"/>
      <c r="I10" s="2454"/>
      <c r="J10" s="2422"/>
      <c r="K10" s="1659"/>
      <c r="L10" s="1660"/>
      <c r="M10" s="774"/>
      <c r="N10" s="1662"/>
      <c r="P10" s="2423"/>
      <c r="Q10" s="2423"/>
      <c r="R10" s="577"/>
      <c r="S10" s="1568"/>
      <c r="T10" s="498" t="s">
        <v>1531</v>
      </c>
      <c r="U10" s="592"/>
      <c r="V10" s="592"/>
      <c r="W10" s="592"/>
      <c r="X10" s="592"/>
      <c r="Y10" s="592"/>
      <c r="Z10" s="592"/>
      <c r="AA10" s="592"/>
      <c r="AB10" s="592"/>
      <c r="AC10" s="592"/>
      <c r="AD10" s="592"/>
      <c r="AE10" s="592"/>
      <c r="AF10" s="592"/>
      <c r="AG10" s="592"/>
      <c r="AH10" s="592"/>
      <c r="AI10" s="592"/>
      <c r="AJ10" s="592"/>
      <c r="AK10" s="592"/>
      <c r="AL10" s="544"/>
      <c r="AM10" s="2421"/>
      <c r="AO10" s="737"/>
      <c r="AP10" s="737" t="str">
        <f>IF(T10="","",T10)</f>
        <v>Добавить вид теплоносителя (параметры теплоносителя)</v>
      </c>
      <c r="AQ10" s="737"/>
      <c r="AR10" s="737"/>
    </row>
    <row customHeight="1" ht="15" hidden="1">
      <c r="A11" s="1659"/>
      <c r="B11" s="1659"/>
      <c r="C11" s="1659"/>
      <c r="D11" s="1659"/>
      <c r="E11" s="2425"/>
      <c r="F11" s="2425"/>
      <c r="G11" s="2425"/>
      <c r="H11" s="2425"/>
      <c r="I11" s="2453"/>
      <c r="J11" s="1659"/>
      <c r="K11" s="1659"/>
      <c r="L11" s="1660"/>
      <c r="M11" s="774"/>
      <c r="P11" s="2423"/>
      <c r="Q11" s="1626"/>
      <c r="R11" s="577"/>
      <c r="S11" s="1568"/>
      <c r="T11" s="497" t="s">
        <v>1532</v>
      </c>
      <c r="U11" s="592"/>
      <c r="V11" s="592"/>
      <c r="W11" s="592"/>
      <c r="X11" s="592"/>
      <c r="Y11" s="592"/>
      <c r="Z11" s="592"/>
      <c r="AA11" s="592"/>
      <c r="AB11" s="592"/>
      <c r="AC11" s="591"/>
      <c r="AD11" s="592"/>
      <c r="AE11" s="592"/>
      <c r="AF11" s="592"/>
      <c r="AG11" s="592"/>
      <c r="AH11" s="592"/>
      <c r="AI11" s="592"/>
      <c r="AJ11" s="592"/>
      <c r="AK11" s="591"/>
      <c r="AL11" s="592"/>
      <c r="AM11" s="513"/>
      <c r="AO11" s="737"/>
      <c r="AP11" s="737" t="str">
        <f>IF(T11="","",T11)</f>
        <v>Добавить группу потребителей</v>
      </c>
      <c r="AQ11" s="737"/>
      <c r="AR11" s="737"/>
    </row>
    <row customHeight="1" ht="14.25" hidden="1">
      <c r="A12" s="1659"/>
      <c r="B12" s="1659"/>
      <c r="C12" s="1659"/>
      <c r="D12" s="1659"/>
      <c r="E12" s="2425"/>
      <c r="F12" s="2425"/>
      <c r="G12" s="2425"/>
      <c r="H12" s="2424"/>
      <c r="I12" s="1659"/>
      <c r="J12" s="1659"/>
      <c r="K12" s="1659"/>
      <c r="L12" s="1660"/>
      <c r="M12" s="1661"/>
      <c r="N12" s="1661"/>
      <c r="O12" s="774"/>
      <c r="P12" s="581"/>
      <c r="Q12" s="601"/>
      <c r="R12" s="576"/>
      <c r="S12" s="1568"/>
      <c r="T12" s="589" t="s">
        <v>1533</v>
      </c>
      <c r="U12" s="592"/>
      <c r="V12" s="592"/>
      <c r="W12" s="592"/>
      <c r="X12" s="592"/>
      <c r="Y12" s="592"/>
      <c r="Z12" s="592"/>
      <c r="AA12" s="592"/>
      <c r="AB12" s="592"/>
      <c r="AC12" s="591"/>
      <c r="AD12" s="592"/>
      <c r="AE12" s="592"/>
      <c r="AF12" s="592"/>
      <c r="AG12" s="592"/>
      <c r="AH12" s="592"/>
      <c r="AI12" s="592"/>
      <c r="AJ12" s="592"/>
      <c r="AK12" s="591"/>
      <c r="AL12" s="592"/>
      <c r="AM12" s="513"/>
      <c r="AO12" s="737"/>
      <c r="AP12" s="737" t="str">
        <f>IF(T12="","",T12)</f>
        <v>Добавить схему подключения</v>
      </c>
      <c r="AQ12" s="737"/>
      <c r="AR12" s="737"/>
    </row>
    <row s="10863" customFormat="1" customHeight="1" ht="0.75" hidden="1">
      <c r="A13" s="1609"/>
      <c r="B13" s="1609"/>
      <c r="C13" s="1609"/>
      <c r="D13" s="1609"/>
      <c r="E13" s="2425"/>
      <c r="F13" s="2425"/>
      <c r="G13" s="2424"/>
      <c r="H13" s="1609"/>
      <c r="I13" s="1609"/>
      <c r="J13" s="1609"/>
      <c r="K13" s="1609"/>
      <c r="L13" s="1634"/>
      <c r="M13" s="1610"/>
      <c r="N13" s="1610"/>
      <c r="P13" s="1611"/>
      <c r="Q13" s="1612"/>
      <c r="R13" s="1611"/>
      <c r="S13" s="1613"/>
      <c r="T13" s="1614" t="s">
        <v>1492</v>
      </c>
      <c r="U13" s="1615"/>
      <c r="V13" s="1615"/>
      <c r="W13" s="1615"/>
      <c r="X13" s="1615"/>
      <c r="Y13" s="1615"/>
      <c r="Z13" s="1615"/>
      <c r="AA13" s="1615"/>
      <c r="AB13" s="1615"/>
      <c r="AC13" s="1615"/>
      <c r="AD13" s="1615"/>
      <c r="AE13" s="1615"/>
      <c r="AF13" s="1615"/>
      <c r="AG13" s="1615"/>
      <c r="AH13" s="1615"/>
      <c r="AI13" s="1615"/>
      <c r="AJ13" s="1615"/>
      <c r="AK13" s="1615"/>
      <c r="AL13" s="1615"/>
      <c r="AM13" s="1615"/>
      <c r="AO13" s="1029"/>
      <c r="AP13" s="1029" t="str">
        <f>IF(T13="","",T13)</f>
        <v>Добавить источник для дифференциации</v>
      </c>
      <c r="AQ13" s="1029"/>
      <c r="AR13" s="1029"/>
    </row>
    <row s="10863" customFormat="1" customHeight="1" ht="0.75" hidden="1">
      <c r="A14" s="1609"/>
      <c r="B14" s="1609"/>
      <c r="C14" s="1609"/>
      <c r="D14" s="1609"/>
      <c r="E14" s="2425"/>
      <c r="F14" s="2424"/>
      <c r="G14" s="1609"/>
      <c r="H14" s="1609"/>
      <c r="I14" s="1609"/>
      <c r="J14" s="1609"/>
      <c r="K14" s="1609"/>
      <c r="L14" s="1634"/>
      <c r="M14" s="1616"/>
      <c r="N14" s="1616"/>
      <c r="P14" s="1611"/>
      <c r="Q14" s="1612"/>
      <c r="R14" s="1611"/>
      <c r="S14" s="1617"/>
      <c r="T14" s="1618" t="s">
        <v>1493</v>
      </c>
      <c r="U14" s="1619"/>
      <c r="V14" s="1619"/>
      <c r="W14" s="1619"/>
      <c r="X14" s="1619"/>
      <c r="Y14" s="1619"/>
      <c r="Z14" s="1619"/>
      <c r="AA14" s="1619"/>
      <c r="AB14" s="1619"/>
      <c r="AC14" s="1619"/>
      <c r="AD14" s="1619"/>
      <c r="AE14" s="1619"/>
      <c r="AF14" s="1619"/>
      <c r="AG14" s="1619"/>
      <c r="AH14" s="1619"/>
      <c r="AI14" s="1619"/>
      <c r="AJ14" s="1619"/>
      <c r="AK14" s="1619"/>
      <c r="AL14" s="1619"/>
      <c r="AM14" s="1619"/>
      <c r="AO14" s="1029"/>
      <c r="AP14" s="1029" t="str">
        <f>IF(T14="","",T14)</f>
        <v>Добавить централизованную систему для дифференциации</v>
      </c>
      <c r="AQ14" s="1029"/>
      <c r="AR14" s="1029"/>
    </row>
    <row s="10863" customFormat="1" customHeight="1" ht="0.75" hidden="1">
      <c r="A15" s="1609"/>
      <c r="B15" s="1609"/>
      <c r="C15" s="1609"/>
      <c r="D15" s="1609"/>
      <c r="E15" s="2424"/>
      <c r="F15" s="1609"/>
      <c r="G15" s="1609"/>
      <c r="H15" s="1609"/>
      <c r="I15" s="1609"/>
      <c r="J15" s="1609"/>
      <c r="K15" s="1609"/>
      <c r="L15" s="1634"/>
      <c r="M15" s="1616"/>
      <c r="N15" s="1616"/>
      <c r="P15" s="1611"/>
      <c r="Q15" s="1612"/>
      <c r="R15" s="1611"/>
      <c r="S15" s="1617"/>
      <c r="T15" s="1620" t="s">
        <v>1494</v>
      </c>
      <c r="U15" s="1619"/>
      <c r="V15" s="1619"/>
      <c r="W15" s="1619"/>
      <c r="X15" s="1619"/>
      <c r="Y15" s="1619"/>
      <c r="Z15" s="1619"/>
      <c r="AA15" s="1619"/>
      <c r="AB15" s="1619"/>
      <c r="AC15" s="1619"/>
      <c r="AD15" s="1619"/>
      <c r="AE15" s="1619"/>
      <c r="AF15" s="1619"/>
      <c r="AG15" s="1619"/>
      <c r="AH15" s="1619"/>
      <c r="AI15" s="1619"/>
      <c r="AJ15" s="1619"/>
      <c r="AK15" s="1619"/>
      <c r="AL15" s="1619"/>
      <c r="AM15" s="1619"/>
      <c r="AO15" s="1029"/>
      <c r="AP15" s="1029" t="str">
        <f>IF(T15="","",T15)</f>
        <v>Добавить территорию для дифференциации</v>
      </c>
      <c r="AQ15" s="1029"/>
      <c r="AR15" s="1029"/>
    </row>
    <row customHeight="1" ht="14.25" hidden="1">
      <c r="AC16" s="548"/>
      <c r="AK16" s="548"/>
    </row>
    <row customHeight="1" ht="14.25" hidden="1">
      <c r="AD17" s="4098"/>
      <c r="AE17" s="4098"/>
      <c r="AF17" s="4098"/>
      <c r="AG17" s="4099"/>
      <c r="AH17" s="2432"/>
      <c r="AI17" s="2433" t="s">
        <v>67</v>
      </c>
      <c r="AJ17" s="2432"/>
      <c r="AK17" s="2433" t="s">
        <v>67</v>
      </c>
    </row>
    <row customHeight="1" ht="14.25" hidden="1">
      <c r="AD18" s="4098"/>
      <c r="AE18" s="4098"/>
      <c r="AF18" s="4098"/>
      <c r="AG18" s="4071" t="str">
        <f>AH17&amp;"-"&amp;AJ17</f>
        <v>-</v>
      </c>
      <c r="AH18" s="2433"/>
      <c r="AI18" s="2433"/>
      <c r="AJ18" s="2433"/>
      <c r="AK18" s="2433"/>
    </row>
    <row customHeight="1" ht="14.25" hidden="1">
      <c r="AK19" s="548"/>
    </row>
    <row s="11074" customFormat="1" customHeight="1" ht="22.5" hidden="1">
      <c r="L20" s="1624"/>
      <c r="M20" s="1658"/>
      <c r="N20" s="1658"/>
      <c r="O20" s="1663" t="s">
        <v>1534</v>
      </c>
      <c r="P20" s="1658"/>
      <c r="Q20" s="1667"/>
      <c r="R20" s="1667"/>
      <c r="S20" s="967"/>
      <c r="Z20" s="1663"/>
      <c r="AB20" s="1663"/>
      <c r="AC20" s="1662"/>
      <c r="AH20" s="1663"/>
      <c r="AJ20" s="1663"/>
      <c r="AK20" s="1662"/>
      <c r="AN20" s="748"/>
      <c r="AO20" s="748"/>
      <c r="AP20" s="748"/>
      <c r="AQ20" s="748"/>
      <c r="AR20" s="748"/>
    </row>
    <row s="11074" customFormat="1" customHeight="1" ht="14.25" hidden="1">
      <c r="L21" s="1624"/>
      <c r="M21" s="1658"/>
      <c r="N21" s="1658"/>
      <c r="O21" s="1658"/>
      <c r="P21" s="1658"/>
      <c r="Q21" s="1667"/>
      <c r="R21" s="1667"/>
      <c r="S21" s="967"/>
      <c r="AC21" s="1662"/>
      <c r="AK21" s="1662"/>
      <c r="AN21" s="748"/>
      <c r="AO21" s="748"/>
      <c r="AP21" s="748"/>
      <c r="AQ21" s="748"/>
      <c r="AR21" s="748"/>
    </row>
    <row s="11074" customFormat="1" customHeight="1" ht="33.75" hidden="1">
      <c r="L22" s="1624"/>
      <c r="M22" s="1658"/>
      <c r="N22" s="1658"/>
      <c r="O22" s="1660" t="s">
        <v>1535</v>
      </c>
      <c r="P22" s="1658"/>
      <c r="Q22" s="1667"/>
      <c r="R22" s="1667"/>
      <c r="S22" s="967"/>
      <c r="T22" s="1421" t="s">
        <v>1536</v>
      </c>
      <c r="AA22" s="393" t="s">
        <v>1537</v>
      </c>
      <c r="AC22" s="393" t="s">
        <v>1538</v>
      </c>
      <c r="AD22" s="1421" t="s">
        <v>1536</v>
      </c>
      <c r="AI22" s="393" t="s">
        <v>1539</v>
      </c>
      <c r="AK22" s="393" t="s">
        <v>1538</v>
      </c>
      <c r="AN22" s="748"/>
      <c r="AO22" s="748"/>
      <c r="AP22" s="748"/>
      <c r="AQ22" s="748"/>
      <c r="AR22" s="748"/>
    </row>
    <row customHeight="1" ht="14.25" hidden="1">
      <c r="O23" s="1660"/>
    </row>
    <row customHeight="1" ht="14.25" hidden="1">
      <c r="O24" s="1660"/>
    </row>
    <row customHeight="1" ht="14.25">
      <c r="Q25" s="602"/>
      <c r="R25" s="602"/>
      <c r="S25" s="1565"/>
      <c r="T25" s="586"/>
      <c r="U25" s="586"/>
      <c r="V25" s="746"/>
      <c r="W25" s="746"/>
      <c r="X25" s="746"/>
      <c r="Y25" s="746"/>
      <c r="Z25" s="746"/>
      <c r="AA25" s="746"/>
      <c r="AB25" s="746"/>
      <c r="AC25" s="746"/>
      <c r="AD25" s="746"/>
      <c r="AE25" s="746"/>
      <c r="AF25" s="746"/>
      <c r="AG25" s="746"/>
      <c r="AH25" s="746"/>
      <c r="AI25" s="746"/>
      <c r="AJ25" s="746"/>
      <c r="AK25" s="746"/>
    </row>
    <row customHeight="1" ht="88.5">
      <c r="Q26" s="602"/>
      <c r="R26" s="602"/>
      <c r="S26" s="2414" t="str">
        <f>IF(TEMPLATE_GROUP="P",PT_P_FORM_HEAT_4_NAME_FORM,PT_R_FORM_HEAT_21_NAME_FORM)</f>
        <v>Форма 21. Информация о расчетной величине тарифов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тарифов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  &lt;1&gt;</v>
      </c>
      <c r="T26" s="2414"/>
      <c r="U26" s="2414"/>
      <c r="V26" s="2414"/>
      <c r="W26" s="2414"/>
      <c r="X26" s="2414"/>
      <c r="Y26" s="2414"/>
      <c r="Z26" s="2414"/>
      <c r="AA26" s="2414"/>
      <c r="AB26" s="2414"/>
      <c r="AC26" s="2414"/>
      <c r="AD26" s="2414"/>
      <c r="AE26" s="2414"/>
      <c r="AF26" s="2414"/>
      <c r="AG26" s="2414"/>
      <c r="AH26" s="2414"/>
      <c r="AI26" s="2414"/>
      <c r="AJ26" s="2414"/>
      <c r="AK26" s="1521"/>
    </row>
    <row customHeight="1" ht="14.25">
      <c r="Q27" s="602"/>
      <c r="R27" s="602"/>
      <c r="S27" s="2415" t="str">
        <f>IF(org=0,"Не определено",org)</f>
        <v>ООО "СамРЭК-Тепло Жигулевск"</v>
      </c>
      <c r="T27" s="2415"/>
      <c r="U27" s="2415"/>
      <c r="V27" s="2415"/>
      <c r="W27" s="2415"/>
      <c r="X27" s="2415"/>
      <c r="Y27" s="2415"/>
      <c r="Z27" s="2415"/>
      <c r="AA27" s="2415"/>
      <c r="AB27" s="2415"/>
      <c r="AC27" s="2415"/>
      <c r="AD27" s="2415"/>
      <c r="AE27" s="2415"/>
      <c r="AF27" s="2415"/>
      <c r="AG27" s="2415"/>
      <c r="AH27" s="2415"/>
      <c r="AI27" s="2415"/>
      <c r="AJ27" s="2415"/>
      <c r="AK27" s="1521"/>
    </row>
    <row customHeight="1" ht="14.25" hidden="1">
      <c r="Q28" s="602"/>
      <c r="R28" s="602"/>
      <c r="S28" s="1565"/>
      <c r="T28" s="586"/>
      <c r="U28" s="586"/>
      <c r="V28" s="541"/>
      <c r="W28" s="541"/>
      <c r="X28" s="541"/>
      <c r="Y28" s="541"/>
      <c r="Z28" s="541"/>
      <c r="AA28" s="541"/>
      <c r="AB28" s="541"/>
      <c r="AC28" s="541"/>
      <c r="AD28" s="541"/>
      <c r="AE28" s="541"/>
      <c r="AF28" s="541"/>
      <c r="AG28" s="541"/>
      <c r="AH28" s="541"/>
      <c r="AI28" s="541"/>
      <c r="AJ28" s="541"/>
      <c r="AK28" s="541"/>
      <c r="AL28" s="746"/>
    </row>
    <row s="10859" customFormat="1" customHeight="1" ht="25.5" hidden="1">
      <c r="A29" s="1664"/>
      <c r="B29" s="1664"/>
      <c r="C29" s="1664"/>
      <c r="D29" s="1664"/>
      <c r="E29" s="1664"/>
      <c r="F29" s="1664"/>
      <c r="G29" s="1664"/>
      <c r="H29" s="1664"/>
      <c r="I29" s="1664"/>
      <c r="J29" s="1664"/>
      <c r="K29" s="1664"/>
      <c r="L29" s="1665"/>
      <c r="M29" s="1664"/>
      <c r="N29" s="1664"/>
      <c r="O29" s="1664"/>
      <c r="S29" s="2416" t="s">
        <v>39</v>
      </c>
      <c r="T29" s="2416"/>
      <c r="U29" s="1668"/>
      <c r="V29" s="2417" t="str">
        <f>IF(TITLE_NAME_OR_PR_CHANGE="",IF(TITLE_NAME_OR_PR="","",TITLE_NAME_OR_PR),TITLE_NAME_OR_PR_CHANGE)</f>
        <v/>
      </c>
      <c r="W29" s="2417"/>
      <c r="X29" s="2417"/>
      <c r="Y29" s="2417"/>
      <c r="Z29" s="2417"/>
      <c r="AA29" s="2417"/>
      <c r="AB29" s="2417"/>
      <c r="AC29" s="547"/>
      <c r="AD29" s="2417" t="str">
        <f>IF(TITLE_NAME_OR_PR_CHANGE="",IF(TITLE_NAME_OR_PR="","",TITLE_NAME_OR_PR),TITLE_NAME_OR_PR_CHANGE)</f>
        <v/>
      </c>
      <c r="AE29" s="2417"/>
      <c r="AF29" s="2417"/>
      <c r="AG29" s="2417"/>
      <c r="AH29" s="2417"/>
      <c r="AI29" s="2417"/>
      <c r="AJ29" s="2417"/>
      <c r="AK29" s="547"/>
      <c r="AL29" s="547"/>
      <c r="AM29" s="490"/>
      <c r="AN29" s="593"/>
      <c r="AO29" s="593"/>
      <c r="AP29" s="593"/>
      <c r="AQ29" s="593"/>
      <c r="AR29" s="593"/>
    </row>
    <row s="10859" customFormat="1" customHeight="1" ht="18.75" hidden="1">
      <c r="A30" s="1664"/>
      <c r="B30" s="1664"/>
      <c r="C30" s="1664"/>
      <c r="D30" s="1664"/>
      <c r="E30" s="1664"/>
      <c r="F30" s="1664"/>
      <c r="G30" s="1664"/>
      <c r="H30" s="1664"/>
      <c r="I30" s="1664"/>
      <c r="J30" s="1664"/>
      <c r="K30" s="1664"/>
      <c r="L30" s="1665"/>
      <c r="M30" s="1664"/>
      <c r="N30" s="1664"/>
      <c r="O30" s="1664"/>
      <c r="S30" s="2416" t="s">
        <v>1540</v>
      </c>
      <c r="T30" s="2416"/>
      <c r="U30" s="1668"/>
      <c r="V30" s="2417" t="str">
        <f>IF(TITLE_DATE_CHANGE_PERIOD="",IF(TITLE_DATE_PR="","",TITLE_DATE_PR),TITLE_DATE_CHANGE_PERIOD)</f>
        <v/>
      </c>
      <c r="W30" s="2417"/>
      <c r="X30" s="2417"/>
      <c r="Y30" s="2417"/>
      <c r="Z30" s="2417"/>
      <c r="AA30" s="2417"/>
      <c r="AB30" s="2417"/>
      <c r="AC30" s="547"/>
      <c r="AD30" s="2417" t="str">
        <f>IF(TITLE_DATE_CHANGE_PERIOD="",IF(TITLE_DATE_PR="","",TITLE_DATE_PR),TITLE_DATE_CHANGE_PERIOD)</f>
        <v/>
      </c>
      <c r="AE30" s="2417"/>
      <c r="AF30" s="2417"/>
      <c r="AG30" s="2417"/>
      <c r="AH30" s="2417"/>
      <c r="AI30" s="2417"/>
      <c r="AJ30" s="2417"/>
      <c r="AK30" s="547"/>
      <c r="AL30" s="547"/>
      <c r="AM30" s="490"/>
      <c r="AN30" s="593"/>
      <c r="AO30" s="593"/>
      <c r="AP30" s="593"/>
      <c r="AQ30" s="593"/>
      <c r="AR30" s="593"/>
    </row>
    <row s="10859" customFormat="1" customHeight="1" ht="18.75" hidden="1">
      <c r="A31" s="1664"/>
      <c r="B31" s="1664"/>
      <c r="C31" s="1664"/>
      <c r="D31" s="1664"/>
      <c r="E31" s="1664"/>
      <c r="F31" s="1664"/>
      <c r="G31" s="1664"/>
      <c r="H31" s="1664"/>
      <c r="I31" s="1664"/>
      <c r="J31" s="1664"/>
      <c r="K31" s="1664"/>
      <c r="L31" s="1665"/>
      <c r="M31" s="1664"/>
      <c r="N31" s="1664"/>
      <c r="O31" s="1664"/>
      <c r="S31" s="2416" t="s">
        <v>1541</v>
      </c>
      <c r="T31" s="2416"/>
      <c r="U31" s="1668"/>
      <c r="V31" s="2417" t="str">
        <f>IF(TITLE_NUMBER_PR_CHANGE="",IF(TITLE_NUMBER_PR="","",TITLE_NUMBER_PR),TITLE_NUMBER_PR_CHANGE)</f>
        <v/>
      </c>
      <c r="W31" s="2417"/>
      <c r="X31" s="2417"/>
      <c r="Y31" s="2417"/>
      <c r="Z31" s="2417"/>
      <c r="AA31" s="2417"/>
      <c r="AB31" s="2417"/>
      <c r="AC31" s="547"/>
      <c r="AD31" s="2417" t="str">
        <f>IF(TITLE_NUMBER_PR_CHANGE="",IF(TITLE_NUMBER_PR="","",TITLE_NUMBER_PR),TITLE_NUMBER_PR_CHANGE)</f>
        <v/>
      </c>
      <c r="AE31" s="2417"/>
      <c r="AF31" s="2417"/>
      <c r="AG31" s="2417"/>
      <c r="AH31" s="2417"/>
      <c r="AI31" s="2417"/>
      <c r="AJ31" s="2417"/>
      <c r="AK31" s="547"/>
      <c r="AL31" s="547"/>
      <c r="AM31" s="490"/>
      <c r="AN31" s="593"/>
      <c r="AO31" s="593"/>
      <c r="AP31" s="593"/>
      <c r="AQ31" s="593"/>
      <c r="AR31" s="593"/>
    </row>
    <row s="10859" customFormat="1" customHeight="1" ht="18.75" hidden="1">
      <c r="A32" s="1664"/>
      <c r="B32" s="1664"/>
      <c r="C32" s="1664"/>
      <c r="D32" s="1664"/>
      <c r="E32" s="1664"/>
      <c r="F32" s="1664"/>
      <c r="G32" s="1664"/>
      <c r="H32" s="1664"/>
      <c r="I32" s="1664"/>
      <c r="J32" s="1664"/>
      <c r="K32" s="1664"/>
      <c r="L32" s="1665"/>
      <c r="M32" s="1664"/>
      <c r="N32" s="1664"/>
      <c r="O32" s="1664"/>
      <c r="S32" s="2416" t="s">
        <v>40</v>
      </c>
      <c r="T32" s="2416"/>
      <c r="U32" s="1668"/>
      <c r="V32" s="2417" t="str">
        <f>IF(TITLE_IST_PUB_CHANGE="",IF(TITLE_IST_PUB="","",TITLE_IST_PUB),TITLE_IST_PUB_CHANGE)</f>
        <v/>
      </c>
      <c r="W32" s="2417"/>
      <c r="X32" s="2417"/>
      <c r="Y32" s="2417"/>
      <c r="Z32" s="2417"/>
      <c r="AA32" s="2417"/>
      <c r="AB32" s="2417"/>
      <c r="AC32" s="547"/>
      <c r="AD32" s="2417" t="str">
        <f>IF(TITLE_IST_PUB_CHANGE="",IF(TITLE_IST_PUB="","",TITLE_IST_PUB),TITLE_IST_PUB_CHANGE)</f>
        <v/>
      </c>
      <c r="AE32" s="2417"/>
      <c r="AF32" s="2417"/>
      <c r="AG32" s="2417"/>
      <c r="AH32" s="2417"/>
      <c r="AI32" s="2417"/>
      <c r="AJ32" s="2417"/>
      <c r="AK32" s="547"/>
      <c r="AL32" s="547"/>
      <c r="AM32" s="490"/>
      <c r="AN32" s="593"/>
      <c r="AO32" s="593"/>
      <c r="AP32" s="593"/>
      <c r="AQ32" s="593"/>
      <c r="AR32" s="593"/>
    </row>
    <row customHeight="1" ht="14.25" hidden="1">
      <c r="Q33" s="602"/>
      <c r="R33" s="602"/>
      <c r="S33" s="1565"/>
      <c r="T33" s="586"/>
      <c r="U33" s="586"/>
      <c r="V33" s="541"/>
      <c r="W33" s="541"/>
      <c r="X33" s="541"/>
      <c r="Y33" s="541"/>
      <c r="Z33" s="541"/>
      <c r="AA33" s="541"/>
      <c r="AB33" s="541"/>
      <c r="AC33" s="541"/>
      <c r="AD33" s="541"/>
      <c r="AE33" s="541"/>
      <c r="AF33" s="541"/>
      <c r="AG33" s="541"/>
      <c r="AH33" s="541"/>
      <c r="AI33" s="541"/>
      <c r="AJ33" s="541"/>
      <c r="AK33" s="541"/>
      <c r="AL33" s="746"/>
    </row>
    <row s="10859" customFormat="1" customHeight="1" ht="18.75" hidden="1">
      <c r="A34" s="1664"/>
      <c r="B34" s="1664"/>
      <c r="C34" s="1664"/>
      <c r="D34" s="1664"/>
      <c r="E34" s="1664"/>
      <c r="F34" s="1664"/>
      <c r="G34" s="1664"/>
      <c r="H34" s="1664"/>
      <c r="I34" s="1664"/>
      <c r="J34" s="1664"/>
      <c r="K34" s="1664"/>
      <c r="L34" s="1665"/>
      <c r="M34" s="1664"/>
      <c r="N34" s="1664"/>
      <c r="O34" s="1664"/>
      <c r="S34" s="2416" t="s">
        <v>1542</v>
      </c>
      <c r="T34" s="2416"/>
      <c r="U34" s="1668"/>
      <c r="V34" s="2417" t="str">
        <f>IF(TITLE_DATE_CHANGE_PERIOD="",IF(TITLE_DATE_PR="","",TITLE_DATE_PR),TITLE_DATE_CHANGE_PERIOD)</f>
        <v/>
      </c>
      <c r="W34" s="2417"/>
      <c r="X34" s="2417"/>
      <c r="Y34" s="2417"/>
      <c r="Z34" s="2417"/>
      <c r="AA34" s="2417"/>
      <c r="AB34" s="2417"/>
      <c r="AC34" s="547"/>
      <c r="AD34" s="2417" t="str">
        <f>IF(TITLE_DATE_CHANGE_PERIOD="",IF(TITLE_DATE_PR="","",TITLE_DATE_PR),TITLE_DATE_CHANGE_PERIOD)</f>
        <v/>
      </c>
      <c r="AE34" s="2417"/>
      <c r="AF34" s="2417"/>
      <c r="AG34" s="2417"/>
      <c r="AH34" s="2417"/>
      <c r="AI34" s="2417"/>
      <c r="AJ34" s="2417"/>
      <c r="AK34" s="547"/>
      <c r="AL34" s="547"/>
      <c r="AM34" s="490"/>
      <c r="AN34" s="593"/>
      <c r="AO34" s="593"/>
      <c r="AP34" s="593"/>
      <c r="AQ34" s="593"/>
      <c r="AR34" s="593"/>
    </row>
    <row s="10859" customFormat="1" customHeight="1" ht="18.75" hidden="1">
      <c r="A35" s="1664"/>
      <c r="B35" s="1664"/>
      <c r="C35" s="1664"/>
      <c r="D35" s="1664"/>
      <c r="E35" s="1664"/>
      <c r="F35" s="1664"/>
      <c r="G35" s="1664"/>
      <c r="H35" s="1664"/>
      <c r="I35" s="1664"/>
      <c r="J35" s="1664"/>
      <c r="K35" s="1664"/>
      <c r="L35" s="1665"/>
      <c r="M35" s="1664"/>
      <c r="N35" s="1664"/>
      <c r="O35" s="1664"/>
      <c r="S35" s="2416" t="s">
        <v>1543</v>
      </c>
      <c r="T35" s="2416"/>
      <c r="U35" s="1668"/>
      <c r="V35" s="2417" t="str">
        <f>IF(TITLE_NUMBER_PR_CHANGE="",IF(TITLE_NUMBER_PR="","",TITLE_NUMBER_PR),TITLE_NUMBER_PR_CHANGE)</f>
        <v/>
      </c>
      <c r="W35" s="2417"/>
      <c r="X35" s="2417"/>
      <c r="Y35" s="2417"/>
      <c r="Z35" s="2417"/>
      <c r="AA35" s="2417"/>
      <c r="AB35" s="2417"/>
      <c r="AC35" s="547"/>
      <c r="AD35" s="2417" t="str">
        <f>IF(TITLE_NUMBER_PR_CHANGE="",IF(TITLE_NUMBER_PR="","",TITLE_NUMBER_PR),TITLE_NUMBER_PR_CHANGE)</f>
        <v/>
      </c>
      <c r="AE35" s="2417"/>
      <c r="AF35" s="2417"/>
      <c r="AG35" s="2417"/>
      <c r="AH35" s="2417"/>
      <c r="AI35" s="2417"/>
      <c r="AJ35" s="2417"/>
      <c r="AK35" s="547"/>
      <c r="AL35" s="547"/>
      <c r="AM35" s="490"/>
      <c r="AN35" s="593"/>
      <c r="AO35" s="593"/>
      <c r="AP35" s="593"/>
      <c r="AQ35" s="593"/>
      <c r="AR35" s="593"/>
    </row>
    <row s="10859" customFormat="1" customHeight="1" ht="0">
      <c r="A36" s="1664"/>
      <c r="B36" s="1664"/>
      <c r="C36" s="1664"/>
      <c r="D36" s="1664"/>
      <c r="E36" s="1664"/>
      <c r="F36" s="1664"/>
      <c r="G36" s="1664"/>
      <c r="H36" s="1664"/>
      <c r="I36" s="1664"/>
      <c r="J36" s="1664"/>
      <c r="K36" s="1664"/>
      <c r="L36" s="1665"/>
      <c r="M36" s="1664"/>
      <c r="N36" s="1664"/>
      <c r="O36" s="1664"/>
      <c r="S36" s="543"/>
      <c r="T36" s="543"/>
      <c r="U36" s="1635"/>
      <c r="V36" s="547"/>
      <c r="W36" s="547"/>
      <c r="X36" s="547"/>
      <c r="Y36" s="547"/>
      <c r="Z36" s="547"/>
      <c r="AA36" s="547"/>
      <c r="AB36" s="547"/>
      <c r="AC36" s="488" t="s">
        <v>1544</v>
      </c>
      <c r="AD36" s="547"/>
      <c r="AE36" s="547"/>
      <c r="AF36" s="547"/>
      <c r="AG36" s="547"/>
      <c r="AH36" s="547"/>
      <c r="AI36" s="547"/>
      <c r="AJ36" s="547"/>
      <c r="AK36" s="488" t="s">
        <v>1544</v>
      </c>
      <c r="AN36" s="593"/>
      <c r="AO36" s="593"/>
      <c r="AP36" s="593"/>
      <c r="AQ36" s="593"/>
      <c r="AR36" s="593"/>
    </row>
    <row customHeight="1" ht="14.25">
      <c r="Q37" s="602"/>
      <c r="R37" s="602"/>
      <c r="S37" s="1565"/>
      <c r="T37" s="586"/>
      <c r="U37" s="1522"/>
      <c r="V37" s="2418"/>
      <c r="W37" s="2418"/>
      <c r="X37" s="2418"/>
      <c r="Y37" s="2418"/>
      <c r="Z37" s="2418"/>
      <c r="AA37" s="2418"/>
      <c r="AB37" s="2418"/>
      <c r="AC37" s="2418"/>
      <c r="AD37" s="2418"/>
      <c r="AE37" s="2418"/>
      <c r="AF37" s="2418"/>
      <c r="AG37" s="2418"/>
      <c r="AH37" s="2418"/>
      <c r="AI37" s="2418"/>
      <c r="AJ37" s="2418"/>
      <c r="AK37" s="2418"/>
    </row>
    <row customHeight="1" ht="14.25">
      <c r="Q38" s="602"/>
      <c r="R38" s="602"/>
      <c r="S38" s="2277" t="s">
        <v>362</v>
      </c>
      <c r="T38" s="2277"/>
      <c r="U38" s="2277"/>
      <c r="V38" s="2277"/>
      <c r="W38" s="2277"/>
      <c r="X38" s="2277"/>
      <c r="Y38" s="2277"/>
      <c r="Z38" s="2277"/>
      <c r="AA38" s="2277"/>
      <c r="AB38" s="2277"/>
      <c r="AC38" s="2277"/>
      <c r="AD38" s="2277"/>
      <c r="AE38" s="2277"/>
      <c r="AF38" s="2277"/>
      <c r="AG38" s="2277"/>
      <c r="AH38" s="2277"/>
      <c r="AI38" s="2277"/>
      <c r="AJ38" s="2277"/>
      <c r="AK38" s="2277"/>
      <c r="AL38" s="2277"/>
      <c r="AM38" s="2277" t="s">
        <v>363</v>
      </c>
    </row>
    <row customHeight="1" ht="14.25">
      <c r="Q39" s="602"/>
      <c r="R39" s="602"/>
      <c r="S39" s="2440" t="s">
        <v>88</v>
      </c>
      <c r="T39" s="2301" t="s">
        <v>1545</v>
      </c>
      <c r="U39" s="511"/>
      <c r="V39" s="2441" t="s">
        <v>1546</v>
      </c>
      <c r="W39" s="2442"/>
      <c r="X39" s="2458"/>
      <c r="Y39" s="2458"/>
      <c r="Z39" s="2442"/>
      <c r="AA39" s="2442"/>
      <c r="AB39" s="2443"/>
      <c r="AC39" s="2444" t="s">
        <v>1547</v>
      </c>
      <c r="AD39" s="2441" t="s">
        <v>1546</v>
      </c>
      <c r="AE39" s="2442"/>
      <c r="AF39" s="2458"/>
      <c r="AG39" s="2458"/>
      <c r="AH39" s="2442"/>
      <c r="AI39" s="2442"/>
      <c r="AJ39" s="2443"/>
      <c r="AK39" s="2444" t="s">
        <v>1548</v>
      </c>
      <c r="AL39" s="2447" t="s">
        <v>1549</v>
      </c>
      <c r="AM39" s="2277"/>
    </row>
    <row customHeight="1" ht="23.25">
      <c r="Q40" s="602"/>
      <c r="R40" s="602"/>
      <c r="S40" s="2440"/>
      <c r="T40" s="2301"/>
      <c r="U40" s="1289"/>
      <c r="V40" s="2459" t="s">
        <v>1550</v>
      </c>
      <c r="W40" s="2461" t="s">
        <v>1551</v>
      </c>
      <c r="X40" s="1672" t="s">
        <v>1552</v>
      </c>
      <c r="Y40" s="1672"/>
      <c r="Z40" s="2435" t="s">
        <v>1553</v>
      </c>
      <c r="AA40" s="2435"/>
      <c r="AB40" s="2436"/>
      <c r="AC40" s="2445"/>
      <c r="AD40" s="2459" t="s">
        <v>1550</v>
      </c>
      <c r="AE40" s="2461" t="s">
        <v>1551</v>
      </c>
      <c r="AF40" s="1672" t="s">
        <v>1552</v>
      </c>
      <c r="AG40" s="1672"/>
      <c r="AH40" s="2435" t="s">
        <v>1553</v>
      </c>
      <c r="AI40" s="2435"/>
      <c r="AJ40" s="2436"/>
      <c r="AK40" s="2445"/>
      <c r="AL40" s="2448"/>
      <c r="AM40" s="2277"/>
    </row>
    <row s="11120" customFormat="1" customHeight="1" ht="23.25">
      <c r="A41" s="1666"/>
      <c r="B41" s="1666" t="s">
        <v>212</v>
      </c>
      <c r="C41" s="1666" t="s">
        <v>213</v>
      </c>
      <c r="D41" s="1666" t="s">
        <v>214</v>
      </c>
      <c r="E41" s="1660" t="s">
        <v>1554</v>
      </c>
      <c r="F41" s="1660" t="s">
        <v>1555</v>
      </c>
      <c r="G41" s="1660" t="s">
        <v>1556</v>
      </c>
      <c r="H41" s="1660" t="s">
        <v>1557</v>
      </c>
      <c r="I41" s="1660" t="s">
        <v>1558</v>
      </c>
      <c r="J41" s="1660" t="s">
        <v>1559</v>
      </c>
      <c r="K41" s="1660" t="s">
        <v>1560</v>
      </c>
      <c r="L41" s="1660" t="s">
        <v>1535</v>
      </c>
      <c r="M41" s="1658"/>
      <c r="N41" s="1658"/>
      <c r="O41" s="1658"/>
      <c r="P41" s="1623"/>
      <c r="Q41" s="602"/>
      <c r="R41" s="602"/>
      <c r="S41" s="2440"/>
      <c r="T41" s="2301"/>
      <c r="U41" s="512"/>
      <c r="V41" s="2460"/>
      <c r="W41" s="2462"/>
      <c r="X41" s="1669" t="s">
        <v>1561</v>
      </c>
      <c r="Y41" s="1669" t="s">
        <v>1562</v>
      </c>
      <c r="Z41" s="1629" t="s">
        <v>1563</v>
      </c>
      <c r="AA41" s="2437" t="s">
        <v>1564</v>
      </c>
      <c r="AB41" s="2438"/>
      <c r="AC41" s="2446"/>
      <c r="AD41" s="2460"/>
      <c r="AE41" s="2462"/>
      <c r="AF41" s="1669" t="s">
        <v>1561</v>
      </c>
      <c r="AG41" s="1669" t="s">
        <v>1562</v>
      </c>
      <c r="AH41" s="1629" t="s">
        <v>1563</v>
      </c>
      <c r="AI41" s="2437" t="s">
        <v>1564</v>
      </c>
      <c r="AJ41" s="2438"/>
      <c r="AK41" s="2446"/>
      <c r="AL41" s="2449"/>
      <c r="AM41" s="2277"/>
      <c r="AN41" s="748"/>
      <c r="AO41" s="737"/>
      <c r="AP41" s="737"/>
      <c r="AQ41" s="737"/>
      <c r="AR41" s="737"/>
    </row>
    <row s="10822" customFormat="1" customHeight="1" ht="11.25" hidden="1">
      <c r="A42" s="1666"/>
      <c r="B42" s="1666"/>
      <c r="C42" s="1666"/>
      <c r="D42" s="1666"/>
      <c r="E42" s="1666"/>
      <c r="F42" s="1666"/>
      <c r="G42" s="1666"/>
      <c r="H42" s="1666"/>
      <c r="I42" s="1666"/>
      <c r="J42" s="1666"/>
      <c r="K42" s="1666"/>
      <c r="L42" s="1660"/>
      <c r="M42" s="1658"/>
      <c r="N42" s="1658"/>
      <c r="O42" s="1658"/>
      <c r="P42" s="1524"/>
      <c r="Q42" s="1525"/>
      <c r="R42" s="1540">
        <v>1</v>
      </c>
      <c r="S42" s="1567" t="s">
        <v>109</v>
      </c>
      <c r="T42" s="1541" t="s">
        <v>110</v>
      </c>
      <c r="U42" s="1523" t="str">
        <f>OFFSET(U42,0,-1)</f>
        <v>2</v>
      </c>
      <c r="V42" s="1630">
        <f>OFFSET(V42,0,-1)+1</f>
        <v>3</v>
      </c>
      <c r="W42" s="1630"/>
      <c r="X42" s="1636">
        <f>OFFSET(X42,0,-1)+1</f>
        <v>1</v>
      </c>
      <c r="Y42" s="1636">
        <f>OFFSET(Y42,0,-1)+1</f>
        <v>2</v>
      </c>
      <c r="Z42" s="1630">
        <f>OFFSET(Z42,0,-1)+1</f>
        <v>3</v>
      </c>
      <c r="AA42" s="2439">
        <f>OFFSET(AA42,0,-1)+1</f>
        <v>4</v>
      </c>
      <c r="AB42" s="2439"/>
      <c r="AC42" s="1630">
        <f>OFFSET(AC42,0,-2)+1</f>
        <v>5</v>
      </c>
      <c r="AD42" s="1630">
        <f>OFFSET(AD42,0,-1)+1</f>
        <v>6</v>
      </c>
      <c r="AE42" s="1630"/>
      <c r="AF42" s="1636">
        <f>OFFSET(AF42,0,-1)+1</f>
        <v>1</v>
      </c>
      <c r="AG42" s="1636">
        <f>OFFSET(AG42,0,-1)+1</f>
        <v>2</v>
      </c>
      <c r="AH42" s="1630">
        <f>OFFSET(AH42,0,-1)+1</f>
        <v>3</v>
      </c>
      <c r="AI42" s="2439">
        <f>OFFSET(AI42,0,-1)+1</f>
        <v>4</v>
      </c>
      <c r="AJ42" s="2439"/>
      <c r="AK42" s="1630">
        <f>OFFSET(AK42,0,-2)+1</f>
        <v>5</v>
      </c>
      <c r="AL42" s="1523">
        <f>OFFSET(AL42,0,-1)</f>
        <v>5</v>
      </c>
      <c r="AM42" s="1630">
        <f>OFFSET(AM42,0,-1)+1</f>
        <v>6</v>
      </c>
      <c r="AN42" s="748"/>
      <c r="AO42" s="748"/>
      <c r="AP42" s="748"/>
      <c r="AQ42" s="748"/>
      <c r="AR42" s="748"/>
    </row>
    <row customHeight="1" ht="21">
      <c r="A43" s="1659" t="s">
        <v>268</v>
      </c>
      <c r="B43" s="1659"/>
      <c r="C43" s="1659"/>
      <c r="D43" s="1659"/>
      <c r="E43" s="2424">
        <v>1</v>
      </c>
      <c r="F43" s="1659"/>
      <c r="G43" s="1659"/>
      <c r="H43" s="1659"/>
      <c r="I43" s="1659"/>
      <c r="J43" s="1659"/>
      <c r="K43" s="1659"/>
      <c r="L43" s="1660"/>
      <c r="M43" s="1661"/>
      <c r="N43" s="1661"/>
      <c r="O43" s="1661"/>
      <c r="P43" s="582"/>
      <c r="Q43" s="581"/>
      <c r="R43" s="576"/>
      <c r="S43" s="1631">
        <f>INDEX(PT_DIFFERENTIATION_NUM_NTAR,MATCH(A43,PT_DIFFERENTIATION_NTAR_ID,0))</f>
        <v>0</v>
      </c>
      <c r="T43" s="508" t="s">
        <v>200</v>
      </c>
      <c r="U43" s="510"/>
      <c r="V43" s="4037"/>
      <c r="W43" s="4038"/>
      <c r="X43" s="4038"/>
      <c r="Y43" s="4038"/>
      <c r="Z43" s="4038"/>
      <c r="AA43" s="4038"/>
      <c r="AB43" s="4038"/>
      <c r="AC43" s="4039"/>
      <c r="AD43" s="4037" t="str">
        <f>INDEX(PT_DIFFERENTIATION_NTAR,MATCH(A43,PT_DIFFERENTIATION_NTAR_ID,0))</f>
        <v/>
      </c>
      <c r="AE43" s="4038"/>
      <c r="AF43" s="4038"/>
      <c r="AG43" s="4038"/>
      <c r="AH43" s="4038"/>
      <c r="AI43" s="4038"/>
      <c r="AJ43" s="4038"/>
      <c r="AK43" s="4038"/>
      <c r="AL43" s="4039"/>
      <c r="AM43" s="1546" t="s">
        <v>1516</v>
      </c>
      <c r="AO43" s="737"/>
      <c r="AP43" s="737" t="str">
        <f>IF(T43="","",T43)</f>
        <v>Наименование тарифа</v>
      </c>
      <c r="AQ43" s="737"/>
      <c r="AR43" s="737"/>
    </row>
    <row customHeight="1" ht="21">
      <c r="A44" s="1659" t="s">
        <v>268</v>
      </c>
      <c r="B44" s="1659" t="s">
        <v>269</v>
      </c>
      <c r="C44" s="1659"/>
      <c r="D44" s="1659"/>
      <c r="E44" s="2425"/>
      <c r="F44" s="2424">
        <v>1</v>
      </c>
      <c r="G44" s="1659"/>
      <c r="H44" s="1659"/>
      <c r="I44" s="1659"/>
      <c r="J44" s="1659"/>
      <c r="K44" s="1659"/>
      <c r="L44" s="1660"/>
      <c r="M44" s="1661"/>
      <c r="N44" s="1661"/>
      <c r="O44" s="1661"/>
      <c r="P44" s="1627"/>
      <c r="Q44" s="573"/>
      <c r="R44" s="574"/>
      <c r="S44" s="1631" t="str">
        <f>INDEX(PT_DIFFERENTIATION_NUM_TER,MATCH(B44,PT_DIFFERENTIATION_TER_ID,0))</f>
        <v>.</v>
      </c>
      <c r="T44" s="520" t="s">
        <v>1517</v>
      </c>
      <c r="U44" s="510"/>
      <c r="V44" s="4037"/>
      <c r="W44" s="4038"/>
      <c r="X44" s="4038"/>
      <c r="Y44" s="4038"/>
      <c r="Z44" s="4038"/>
      <c r="AA44" s="4038"/>
      <c r="AB44" s="4038"/>
      <c r="AC44" s="4039"/>
      <c r="AD44" s="4037" t="str">
        <f>INDEX(PT_DIFFERENTIATION_TER,MATCH(B44,PT_DIFFERENTIATION_TER_ID,0))</f>
        <v/>
      </c>
      <c r="AE44" s="4038"/>
      <c r="AF44" s="4038"/>
      <c r="AG44" s="4038"/>
      <c r="AH44" s="4038"/>
      <c r="AI44" s="4038"/>
      <c r="AJ44" s="4038"/>
      <c r="AK44" s="4038"/>
      <c r="AL44" s="4039"/>
      <c r="AM44" s="1546" t="s">
        <v>1518</v>
      </c>
      <c r="AO44" s="737"/>
      <c r="AP44" s="737" t="str">
        <f>IF(T44="","",T44)</f>
        <v>Территория действия тарифа</v>
      </c>
      <c r="AQ44" s="737"/>
      <c r="AR44" s="737"/>
    </row>
    <row customHeight="1" ht="23.25">
      <c r="A45" s="1659" t="s">
        <v>268</v>
      </c>
      <c r="B45" s="1659" t="s">
        <v>269</v>
      </c>
      <c r="C45" s="1659" t="s">
        <v>270</v>
      </c>
      <c r="D45" s="1659"/>
      <c r="E45" s="2425"/>
      <c r="F45" s="2425"/>
      <c r="G45" s="2424">
        <v>1</v>
      </c>
      <c r="H45" s="1659"/>
      <c r="I45" s="1659"/>
      <c r="J45" s="1659"/>
      <c r="K45" s="1659"/>
      <c r="L45" s="1660"/>
      <c r="M45" s="1661"/>
      <c r="N45" s="1661"/>
      <c r="O45" s="1661"/>
      <c r="P45" s="575"/>
      <c r="Q45" s="573"/>
      <c r="R45" s="574"/>
      <c r="S45" s="1631" t="str">
        <f>INDEX(PT_DIFFERENTIATION_NUM_CS,MATCH(C45,PT_DIFFERENTIATION_CS_ID,0))</f>
        <v>..</v>
      </c>
      <c r="T45" s="521" t="s">
        <v>1519</v>
      </c>
      <c r="U45" s="510"/>
      <c r="V45" s="4037"/>
      <c r="W45" s="4038"/>
      <c r="X45" s="4038"/>
      <c r="Y45" s="4038"/>
      <c r="Z45" s="4038"/>
      <c r="AA45" s="4038"/>
      <c r="AB45" s="4038"/>
      <c r="AC45" s="4039"/>
      <c r="AD45" s="4037" t="str">
        <f>INDEX(PT_DIFFERENTIATION_CS,MATCH(C45,PT_DIFFERENTIATION_CS_ID,0))</f>
        <v/>
      </c>
      <c r="AE45" s="4038"/>
      <c r="AF45" s="4038"/>
      <c r="AG45" s="4038"/>
      <c r="AH45" s="4038"/>
      <c r="AI45" s="4038"/>
      <c r="AJ45" s="4038"/>
      <c r="AK45" s="4038"/>
      <c r="AL45" s="4039"/>
      <c r="AM45" s="1546" t="s">
        <v>1520</v>
      </c>
      <c r="AO45" s="737"/>
      <c r="AP45" s="737" t="str">
        <f>IF(T45="","",T45)</f>
        <v>Наименование системы теплоснабжения </v>
      </c>
      <c r="AQ45" s="737"/>
      <c r="AR45" s="737"/>
    </row>
    <row customHeight="1" ht="21">
      <c r="A46" s="1659" t="s">
        <v>268</v>
      </c>
      <c r="B46" s="1659" t="s">
        <v>269</v>
      </c>
      <c r="C46" s="1659" t="s">
        <v>270</v>
      </c>
      <c r="D46" s="1659" t="s">
        <v>271</v>
      </c>
      <c r="E46" s="2425"/>
      <c r="F46" s="2425"/>
      <c r="G46" s="2425"/>
      <c r="H46" s="2424">
        <v>1</v>
      </c>
      <c r="I46" s="1659"/>
      <c r="J46" s="1659"/>
      <c r="K46" s="1659"/>
      <c r="L46" s="1660"/>
      <c r="M46" s="1661"/>
      <c r="N46" s="1661"/>
      <c r="O46" s="1661"/>
      <c r="P46" s="575"/>
      <c r="Q46" s="573"/>
      <c r="R46" s="574"/>
      <c r="S46" s="1631" t="str">
        <f>INDEX(PT_DIFFERENTIATION_NUM_IST_TE,MATCH(D46,PT_DIFFERENTIATION_IST_TE_ID,0))</f>
        <v>...</v>
      </c>
      <c r="T46" s="522" t="s">
        <v>1521</v>
      </c>
      <c r="U46" s="510"/>
      <c r="V46" s="4037"/>
      <c r="W46" s="4038"/>
      <c r="X46" s="4038"/>
      <c r="Y46" s="4038"/>
      <c r="Z46" s="4038"/>
      <c r="AA46" s="4038"/>
      <c r="AB46" s="4038"/>
      <c r="AC46" s="4039"/>
      <c r="AD46" s="4037" t="str">
        <f>INDEX(PT_DIFFERENTIATION_IST_TE,MATCH(D46,PT_DIFFERENTIATION_IST_TE_ID,0))</f>
        <v/>
      </c>
      <c r="AE46" s="4038"/>
      <c r="AF46" s="4038"/>
      <c r="AG46" s="4038"/>
      <c r="AH46" s="4038"/>
      <c r="AI46" s="4038"/>
      <c r="AJ46" s="4038"/>
      <c r="AK46" s="4038"/>
      <c r="AL46" s="4039"/>
      <c r="AM46" s="1546" t="s">
        <v>1522</v>
      </c>
      <c r="AO46" s="737"/>
      <c r="AP46" s="737" t="str">
        <f>IF(T46="","",T46)</f>
        <v>Источник тепловой энергии  </v>
      </c>
      <c r="AQ46" s="737"/>
      <c r="AR46" s="737"/>
    </row>
    <row customHeight="1" ht="47.25">
      <c r="A47" s="1659" t="s">
        <v>268</v>
      </c>
      <c r="B47" s="1659" t="s">
        <v>269</v>
      </c>
      <c r="C47" s="1659" t="s">
        <v>270</v>
      </c>
      <c r="D47" s="1659" t="s">
        <v>271</v>
      </c>
      <c r="E47" s="2425"/>
      <c r="F47" s="2425"/>
      <c r="G47" s="2425"/>
      <c r="H47" s="2425"/>
      <c r="I47" s="2453" t="str">
        <f>S46&amp;".1"</f>
        <v>....1</v>
      </c>
      <c r="J47" s="1659"/>
      <c r="K47" s="1659"/>
      <c r="L47" s="1660" t="s">
        <v>1523</v>
      </c>
      <c r="P47" s="2423">
        <v>1</v>
      </c>
      <c r="Q47" s="1626"/>
      <c r="R47" s="577"/>
      <c r="S47" s="1631" t="str">
        <f>$I47</f>
        <v>....1</v>
      </c>
      <c r="T47" s="495" t="s">
        <v>1524</v>
      </c>
      <c r="U47" s="510"/>
      <c r="V47" s="2411"/>
      <c r="W47" s="2412"/>
      <c r="X47" s="2412"/>
      <c r="Y47" s="2412"/>
      <c r="Z47" s="2412"/>
      <c r="AA47" s="2412"/>
      <c r="AB47" s="2412"/>
      <c r="AC47" s="2413"/>
      <c r="AD47" s="2411"/>
      <c r="AE47" s="2412"/>
      <c r="AF47" s="2412"/>
      <c r="AG47" s="2412"/>
      <c r="AH47" s="2412"/>
      <c r="AI47" s="2412"/>
      <c r="AJ47" s="2412"/>
      <c r="AK47" s="2412"/>
      <c r="AL47" s="2413"/>
      <c r="AM47" s="1546" t="s">
        <v>1525</v>
      </c>
      <c r="AO47" s="737"/>
      <c r="AP47" s="737" t="str">
        <f>IF(T47="","",T47)</f>
        <v>Схема подключения теплопотребляющей установки к коллектору источника тепловой энергии</v>
      </c>
      <c r="AQ47" s="737"/>
      <c r="AR47" s="737"/>
    </row>
    <row customHeight="1" ht="21">
      <c r="A48" s="1659" t="s">
        <v>268</v>
      </c>
      <c r="B48" s="1659" t="s">
        <v>269</v>
      </c>
      <c r="C48" s="1659" t="s">
        <v>270</v>
      </c>
      <c r="D48" s="1659" t="s">
        <v>271</v>
      </c>
      <c r="E48" s="2425"/>
      <c r="F48" s="2425"/>
      <c r="G48" s="2425"/>
      <c r="H48" s="2425"/>
      <c r="I48" s="2454"/>
      <c r="J48" s="2422" t="str">
        <f>I47&amp;".1"</f>
        <v>....1.1</v>
      </c>
      <c r="K48" s="1659"/>
      <c r="L48" s="1660" t="s">
        <v>1526</v>
      </c>
      <c r="P48" s="2423"/>
      <c r="Q48" s="2423">
        <v>1</v>
      </c>
      <c r="R48" s="578"/>
      <c r="S48" s="1631" t="str">
        <f>$J48</f>
        <v>....1.1</v>
      </c>
      <c r="T48" s="496" t="s">
        <v>1527</v>
      </c>
      <c r="U48" s="510"/>
      <c r="V48" s="2411"/>
      <c r="W48" s="2412"/>
      <c r="X48" s="2412"/>
      <c r="Y48" s="2412"/>
      <c r="Z48" s="2412"/>
      <c r="AA48" s="2412"/>
      <c r="AB48" s="2412"/>
      <c r="AC48" s="2413"/>
      <c r="AD48" s="2411"/>
      <c r="AE48" s="2412"/>
      <c r="AF48" s="2412"/>
      <c r="AG48" s="2412"/>
      <c r="AH48" s="2412"/>
      <c r="AI48" s="2412"/>
      <c r="AJ48" s="2412"/>
      <c r="AK48" s="2412"/>
      <c r="AL48" s="2413"/>
      <c r="AM48" s="1546" t="s">
        <v>1528</v>
      </c>
      <c r="AO48" s="737"/>
      <c r="AP48" s="737" t="str">
        <f>IF(T48="","",T48)</f>
        <v>Группа потребителей</v>
      </c>
      <c r="AQ48" s="737"/>
      <c r="AR48" s="737"/>
    </row>
    <row customHeight="1" ht="21">
      <c r="A49" s="1659" t="s">
        <v>268</v>
      </c>
      <c r="B49" s="1659" t="s">
        <v>269</v>
      </c>
      <c r="C49" s="1659" t="s">
        <v>270</v>
      </c>
      <c r="D49" s="1659" t="s">
        <v>271</v>
      </c>
      <c r="E49" s="2425"/>
      <c r="F49" s="2425"/>
      <c r="G49" s="2425"/>
      <c r="H49" s="2425"/>
      <c r="I49" s="2454"/>
      <c r="J49" s="2455"/>
      <c r="K49" s="2422" t="str">
        <f>J48&amp;".1"</f>
        <v>....1.1.1</v>
      </c>
      <c r="L49" s="1660" t="s">
        <v>1529</v>
      </c>
      <c r="P49" s="2423"/>
      <c r="Q49" s="2423"/>
      <c r="R49" s="578">
        <v>1</v>
      </c>
      <c r="S49" s="1631" t="str">
        <f>$K49</f>
        <v>....1.1.1</v>
      </c>
      <c r="T49" s="1642"/>
      <c r="U49" s="510"/>
      <c r="V49" s="4066"/>
      <c r="W49" s="4065"/>
      <c r="X49" s="4066"/>
      <c r="Y49" s="4186"/>
      <c r="Z49" s="2430"/>
      <c r="AA49" s="2142" t="s">
        <v>67</v>
      </c>
      <c r="AB49" s="2430"/>
      <c r="AC49" s="2142" t="s">
        <v>67</v>
      </c>
      <c r="AD49" s="4066"/>
      <c r="AE49" s="4065"/>
      <c r="AF49" s="4066"/>
      <c r="AG49" s="4186"/>
      <c r="AH49" s="2430"/>
      <c r="AI49" s="2142" t="s">
        <v>67</v>
      </c>
      <c r="AJ49" s="2456"/>
      <c r="AK49" s="2142" t="s">
        <v>67</v>
      </c>
      <c r="AL49" s="4166"/>
      <c r="AM49" s="2419" t="s">
        <v>1530</v>
      </c>
      <c r="AN49" s="748">
        <f>STRCHECKDATE(V50:AL50)</f>
      </c>
      <c r="AO49" s="737"/>
      <c r="AP49" s="737" t="str">
        <f>IF(T49="","",T49)</f>
        <v/>
      </c>
      <c r="AQ49" s="737"/>
      <c r="AR49" s="737"/>
    </row>
    <row customHeight="1" ht="0.75">
      <c r="A50" s="1659" t="s">
        <v>268</v>
      </c>
      <c r="B50" s="1659" t="s">
        <v>269</v>
      </c>
      <c r="C50" s="1659" t="s">
        <v>270</v>
      </c>
      <c r="D50" s="1659" t="s">
        <v>271</v>
      </c>
      <c r="E50" s="2425"/>
      <c r="F50" s="2425"/>
      <c r="G50" s="2425"/>
      <c r="H50" s="2425"/>
      <c r="I50" s="2454"/>
      <c r="J50" s="2455"/>
      <c r="K50" s="2422"/>
      <c r="L50" s="1660"/>
      <c r="P50" s="2423"/>
      <c r="Q50" s="2423"/>
      <c r="R50" s="578"/>
      <c r="S50" s="1637"/>
      <c r="T50" s="510"/>
      <c r="U50" s="510"/>
      <c r="V50" s="4066"/>
      <c r="W50" s="4066"/>
      <c r="X50" s="4066"/>
      <c r="Y50" s="4071" t="str">
        <f>Z49&amp;"-"&amp;AB49</f>
        <v>-</v>
      </c>
      <c r="Z50" s="2431"/>
      <c r="AA50" s="2142"/>
      <c r="AB50" s="2431"/>
      <c r="AC50" s="2142"/>
      <c r="AD50" s="4066"/>
      <c r="AE50" s="4066"/>
      <c r="AF50" s="4066"/>
      <c r="AG50" s="4071" t="str">
        <f>AH49&amp;"-"&amp;AJ49</f>
        <v>-</v>
      </c>
      <c r="AH50" s="2431"/>
      <c r="AI50" s="2142"/>
      <c r="AJ50" s="2457"/>
      <c r="AK50" s="2142"/>
      <c r="AL50" s="4169"/>
      <c r="AM50" s="2420"/>
      <c r="AO50" s="737"/>
      <c r="AP50" s="737" t="str">
        <f>IF(T50="","",T50)</f>
        <v/>
      </c>
      <c r="AQ50" s="737"/>
      <c r="AR50" s="737"/>
    </row>
    <row customHeight="1" ht="11.25">
      <c r="A51" s="1659" t="s">
        <v>268</v>
      </c>
      <c r="B51" s="1659" t="s">
        <v>269</v>
      </c>
      <c r="C51" s="1659" t="s">
        <v>270</v>
      </c>
      <c r="D51" s="1659" t="s">
        <v>271</v>
      </c>
      <c r="E51" s="2425"/>
      <c r="F51" s="2425"/>
      <c r="G51" s="2425"/>
      <c r="H51" s="2425"/>
      <c r="I51" s="2454"/>
      <c r="J51" s="2422"/>
      <c r="K51" s="1659"/>
      <c r="L51" s="1660"/>
      <c r="P51" s="2423"/>
      <c r="Q51" s="2423"/>
      <c r="R51" s="577"/>
      <c r="S51" s="1568"/>
      <c r="T51" s="498" t="s">
        <v>1531</v>
      </c>
      <c r="U51" s="592"/>
      <c r="V51" s="592"/>
      <c r="W51" s="592"/>
      <c r="X51" s="592"/>
      <c r="Y51" s="592"/>
      <c r="Z51" s="592"/>
      <c r="AA51" s="592"/>
      <c r="AB51" s="592"/>
      <c r="AC51" s="592"/>
      <c r="AD51" s="592"/>
      <c r="AE51" s="592"/>
      <c r="AF51" s="592"/>
      <c r="AG51" s="592"/>
      <c r="AH51" s="592"/>
      <c r="AI51" s="592"/>
      <c r="AJ51" s="592"/>
      <c r="AK51" s="592"/>
      <c r="AL51" s="544"/>
      <c r="AM51" s="2421"/>
      <c r="AO51" s="737"/>
      <c r="AP51" s="737" t="str">
        <f>IF(T51="","",T51)</f>
        <v>Добавить вид теплоносителя (параметры теплоносителя)</v>
      </c>
      <c r="AQ51" s="737"/>
      <c r="AR51" s="737"/>
    </row>
    <row customHeight="1" ht="11.25">
      <c r="A52" s="1659" t="s">
        <v>268</v>
      </c>
      <c r="B52" s="1659" t="s">
        <v>269</v>
      </c>
      <c r="C52" s="1659" t="s">
        <v>270</v>
      </c>
      <c r="D52" s="1659" t="s">
        <v>271</v>
      </c>
      <c r="E52" s="2425"/>
      <c r="F52" s="2425"/>
      <c r="G52" s="2425"/>
      <c r="H52" s="2425"/>
      <c r="I52" s="2453"/>
      <c r="J52" s="1659"/>
      <c r="K52" s="1659"/>
      <c r="L52" s="1660"/>
      <c r="P52" s="2423"/>
      <c r="Q52" s="1626"/>
      <c r="R52" s="577"/>
      <c r="S52" s="1568"/>
      <c r="T52" s="497" t="s">
        <v>1532</v>
      </c>
      <c r="U52" s="592"/>
      <c r="V52" s="592"/>
      <c r="W52" s="592"/>
      <c r="X52" s="592"/>
      <c r="Y52" s="592"/>
      <c r="Z52" s="592"/>
      <c r="AA52" s="592"/>
      <c r="AB52" s="592"/>
      <c r="AC52" s="591"/>
      <c r="AD52" s="592"/>
      <c r="AE52" s="592"/>
      <c r="AF52" s="592"/>
      <c r="AG52" s="592"/>
      <c r="AH52" s="592"/>
      <c r="AI52" s="592"/>
      <c r="AJ52" s="592"/>
      <c r="AK52" s="591"/>
      <c r="AL52" s="592"/>
      <c r="AM52" s="513"/>
      <c r="AO52" s="737"/>
      <c r="AP52" s="737" t="str">
        <f>IF(T52="","",T52)</f>
        <v>Добавить группу потребителей</v>
      </c>
      <c r="AQ52" s="737"/>
      <c r="AR52" s="737"/>
    </row>
    <row customHeight="1" ht="14.25">
      <c r="A53" s="1659" t="s">
        <v>268</v>
      </c>
      <c r="B53" s="1659" t="s">
        <v>269</v>
      </c>
      <c r="C53" s="1659" t="s">
        <v>270</v>
      </c>
      <c r="D53" s="1659" t="s">
        <v>271</v>
      </c>
      <c r="E53" s="2425"/>
      <c r="F53" s="2425"/>
      <c r="G53" s="2425"/>
      <c r="H53" s="2424"/>
      <c r="I53" s="1659"/>
      <c r="J53" s="1659"/>
      <c r="K53" s="1659"/>
      <c r="L53" s="1660"/>
      <c r="M53" s="1661"/>
      <c r="N53" s="1661"/>
      <c r="O53" s="774"/>
      <c r="P53" s="581"/>
      <c r="Q53" s="601"/>
      <c r="R53" s="576"/>
      <c r="S53" s="1568"/>
      <c r="T53" s="589" t="s">
        <v>1533</v>
      </c>
      <c r="U53" s="592"/>
      <c r="V53" s="592"/>
      <c r="W53" s="592"/>
      <c r="X53" s="592"/>
      <c r="Y53" s="592"/>
      <c r="Z53" s="592"/>
      <c r="AA53" s="592"/>
      <c r="AB53" s="592"/>
      <c r="AC53" s="591"/>
      <c r="AD53" s="592"/>
      <c r="AE53" s="592"/>
      <c r="AF53" s="592"/>
      <c r="AG53" s="592"/>
      <c r="AH53" s="592"/>
      <c r="AI53" s="592"/>
      <c r="AJ53" s="592"/>
      <c r="AK53" s="591"/>
      <c r="AL53" s="592"/>
      <c r="AM53" s="513"/>
      <c r="AO53" s="737"/>
      <c r="AP53" s="737" t="str">
        <f>IF(T53="","",T53)</f>
        <v>Добавить схему подключения</v>
      </c>
      <c r="AQ53" s="737"/>
      <c r="AR53" s="737"/>
    </row>
    <row s="10863" customFormat="1" customHeight="1" ht="0.75">
      <c r="A54" s="1638" t="s">
        <v>268</v>
      </c>
      <c r="B54" s="1638" t="s">
        <v>269</v>
      </c>
      <c r="C54" s="1638" t="s">
        <v>270</v>
      </c>
      <c r="D54" s="1609"/>
      <c r="E54" s="2425"/>
      <c r="F54" s="2425"/>
      <c r="G54" s="2424"/>
      <c r="H54" s="1609"/>
      <c r="I54" s="1609"/>
      <c r="J54" s="1609"/>
      <c r="K54" s="1609"/>
      <c r="L54" s="1634"/>
      <c r="M54" s="1610"/>
      <c r="N54" s="1610"/>
      <c r="P54" s="1611"/>
      <c r="Q54" s="1612"/>
      <c r="R54" s="1611"/>
      <c r="S54" s="1617"/>
      <c r="T54" s="1620" t="s">
        <v>1492</v>
      </c>
      <c r="U54" s="1619"/>
      <c r="V54" s="1619"/>
      <c r="W54" s="1619"/>
      <c r="X54" s="1619"/>
      <c r="Y54" s="1619"/>
      <c r="Z54" s="1619"/>
      <c r="AA54" s="1619"/>
      <c r="AB54" s="1619"/>
      <c r="AC54" s="1619"/>
      <c r="AD54" s="1619"/>
      <c r="AE54" s="1619"/>
      <c r="AF54" s="1619"/>
      <c r="AG54" s="1619"/>
      <c r="AH54" s="1619"/>
      <c r="AI54" s="1619"/>
      <c r="AJ54" s="1619"/>
      <c r="AK54" s="1619"/>
      <c r="AL54" s="1619"/>
      <c r="AM54" s="1619"/>
      <c r="AO54" s="1029"/>
      <c r="AP54" s="1029" t="str">
        <f>IF(T54="","",T54)</f>
        <v>Добавить источник для дифференциации</v>
      </c>
      <c r="AQ54" s="1029"/>
      <c r="AR54" s="1029"/>
    </row>
    <row s="10863" customFormat="1" customHeight="1" ht="0.75">
      <c r="A55" s="1638" t="s">
        <v>268</v>
      </c>
      <c r="B55" s="1638" t="s">
        <v>269</v>
      </c>
      <c r="C55" s="1609"/>
      <c r="D55" s="1609"/>
      <c r="E55" s="2425"/>
      <c r="F55" s="2424"/>
      <c r="G55" s="1609"/>
      <c r="H55" s="1609"/>
      <c r="I55" s="1609"/>
      <c r="J55" s="1609"/>
      <c r="K55" s="1609"/>
      <c r="L55" s="1634"/>
      <c r="M55" s="1616"/>
      <c r="N55" s="1616"/>
      <c r="P55" s="1611"/>
      <c r="Q55" s="1612"/>
      <c r="R55" s="1611"/>
      <c r="S55" s="1617"/>
      <c r="T55" s="1620" t="s">
        <v>1493</v>
      </c>
      <c r="U55" s="1619"/>
      <c r="V55" s="1619"/>
      <c r="W55" s="1619"/>
      <c r="X55" s="1619"/>
      <c r="Y55" s="1619"/>
      <c r="Z55" s="1619"/>
      <c r="AA55" s="1619"/>
      <c r="AB55" s="1619"/>
      <c r="AC55" s="1619"/>
      <c r="AD55" s="1619"/>
      <c r="AE55" s="1619"/>
      <c r="AF55" s="1619"/>
      <c r="AG55" s="1619"/>
      <c r="AH55" s="1619"/>
      <c r="AI55" s="1619"/>
      <c r="AJ55" s="1619"/>
      <c r="AK55" s="1619"/>
      <c r="AL55" s="1619"/>
      <c r="AM55" s="1619"/>
      <c r="AO55" s="1029"/>
      <c r="AP55" s="1029" t="str">
        <f>IF(T55="","",T55)</f>
        <v>Добавить централизованную систему для дифференциации</v>
      </c>
      <c r="AQ55" s="1029"/>
      <c r="AR55" s="1029"/>
    </row>
    <row s="10863" customFormat="1" customHeight="1" ht="0.75">
      <c r="A56" s="1638" t="s">
        <v>268</v>
      </c>
      <c r="B56" s="1638"/>
      <c r="C56" s="1638"/>
      <c r="D56" s="1638"/>
      <c r="E56" s="2424"/>
      <c r="F56" s="1638"/>
      <c r="G56" s="1638"/>
      <c r="H56" s="1638"/>
      <c r="I56" s="1638"/>
      <c r="J56" s="1638"/>
      <c r="K56" s="1638"/>
      <c r="L56" s="1641"/>
      <c r="M56" s="1616"/>
      <c r="N56" s="1616"/>
      <c r="O56" s="755"/>
      <c r="P56" s="610"/>
      <c r="Q56" s="1639"/>
      <c r="R56" s="610"/>
      <c r="S56" s="1617"/>
      <c r="T56" s="1620" t="s">
        <v>1494</v>
      </c>
      <c r="U56" s="1619"/>
      <c r="V56" s="1619"/>
      <c r="W56" s="1619"/>
      <c r="X56" s="1619"/>
      <c r="Y56" s="1619"/>
      <c r="Z56" s="1619"/>
      <c r="AA56" s="1619"/>
      <c r="AB56" s="1619"/>
      <c r="AC56" s="1619"/>
      <c r="AD56" s="1619"/>
      <c r="AE56" s="1619"/>
      <c r="AF56" s="1619"/>
      <c r="AG56" s="1619"/>
      <c r="AH56" s="1619"/>
      <c r="AI56" s="1619"/>
      <c r="AJ56" s="1619"/>
      <c r="AK56" s="1619"/>
      <c r="AL56" s="1619"/>
      <c r="AM56" s="1619"/>
      <c r="AO56" s="737"/>
      <c r="AP56" s="737" t="str">
        <f>IF(T56="","",T56)</f>
        <v>Добавить территорию для дифференциации</v>
      </c>
      <c r="AQ56" s="737"/>
      <c r="AR56" s="737"/>
    </row>
    <row s="10863" customFormat="1" customHeight="1" ht="0.75">
      <c r="A57" s="1609"/>
      <c r="B57" s="1609"/>
      <c r="C57" s="1609"/>
      <c r="D57" s="1609"/>
      <c r="E57" s="1638"/>
      <c r="F57" s="1609"/>
      <c r="G57" s="1609"/>
      <c r="H57" s="1609"/>
      <c r="I57" s="1609"/>
      <c r="J57" s="1609"/>
      <c r="K57" s="1609"/>
      <c r="L57" s="1634"/>
      <c r="M57" s="1616"/>
      <c r="N57" s="1616"/>
      <c r="P57" s="1611"/>
      <c r="Q57" s="1612"/>
      <c r="R57" s="1611"/>
      <c r="S57" s="1617"/>
      <c r="T57" s="1620" t="s">
        <v>1495</v>
      </c>
      <c r="U57" s="1619"/>
      <c r="V57" s="1619"/>
      <c r="W57" s="1619"/>
      <c r="X57" s="1619"/>
      <c r="Y57" s="1619"/>
      <c r="Z57" s="1619"/>
      <c r="AA57" s="1619"/>
      <c r="AB57" s="1619"/>
      <c r="AC57" s="1619"/>
      <c r="AD57" s="1619"/>
      <c r="AE57" s="1619"/>
      <c r="AF57" s="1619"/>
      <c r="AG57" s="1619"/>
      <c r="AH57" s="1619"/>
      <c r="AI57" s="1619"/>
      <c r="AJ57" s="1619"/>
      <c r="AK57" s="1619"/>
      <c r="AL57" s="1619"/>
      <c r="AM57" s="1619"/>
      <c r="AO57" s="1029"/>
      <c r="AP57" s="1029" t="str">
        <f>IF(T57="","",T57)</f>
        <v>Добавить наименование тарифа</v>
      </c>
      <c r="AQ57" s="1029"/>
      <c r="AR57" s="1029"/>
    </row>
    <row customHeight="1" ht="11.25" hidden="1">
      <c r="M58" s="1421"/>
      <c r="N58" s="1421"/>
      <c r="O58" s="774"/>
      <c r="P58" s="1416"/>
      <c r="Q58" s="1416"/>
      <c r="R58" s="1416"/>
      <c r="S58" s="1416"/>
      <c r="AN58" s="1416"/>
      <c r="AO58" s="1416"/>
      <c r="AP58" s="1416"/>
      <c r="AQ58" s="1416"/>
      <c r="AR58" s="1416"/>
    </row>
    <row customHeight="1" ht="27" hidden="1">
      <c r="O59" s="774"/>
      <c r="S59" s="1533" t="s">
        <v>1565</v>
      </c>
      <c r="T59" s="2452" t="s">
        <v>1572</v>
      </c>
      <c r="U59" s="2452"/>
      <c r="V59" s="2452"/>
      <c r="W59" s="2452"/>
      <c r="X59" s="2452"/>
      <c r="Y59" s="2452"/>
      <c r="Z59" s="2452"/>
      <c r="AA59" s="2452"/>
      <c r="AB59" s="2452"/>
      <c r="AC59" s="2452"/>
      <c r="AD59" s="2452"/>
      <c r="AE59" s="2452"/>
      <c r="AF59" s="2452"/>
      <c r="AG59" s="2452"/>
      <c r="AH59" s="2452"/>
      <c r="AI59" s="2452"/>
      <c r="AJ59" s="2452"/>
      <c r="AK59" s="2452"/>
      <c r="AL59" s="2452"/>
      <c r="AM59" s="2452"/>
    </row>
    <row customHeight="1" ht="75" hidden="1">
      <c r="O60" s="774"/>
      <c r="T60" s="2452" t="s">
        <v>1567</v>
      </c>
      <c r="U60" s="2452"/>
      <c r="V60" s="2452"/>
      <c r="W60" s="2452"/>
      <c r="X60" s="2452"/>
      <c r="Y60" s="2452"/>
      <c r="Z60" s="2452"/>
      <c r="AA60" s="2452"/>
      <c r="AB60" s="2452"/>
      <c r="AC60" s="2452"/>
      <c r="AD60" s="2452"/>
      <c r="AE60" s="2452"/>
      <c r="AF60" s="2452"/>
      <c r="AG60" s="2452"/>
      <c r="AH60" s="2452"/>
      <c r="AI60" s="2452"/>
      <c r="AJ60" s="2452"/>
      <c r="AK60" s="2452"/>
      <c r="AL60" s="2452"/>
      <c r="AM60" s="2452"/>
    </row>
    <row customHeight="1" ht="14.25" hidden="1">
      <c r="O61" s="774"/>
    </row>
    <row customHeight="1" ht="18" hidden="1">
      <c r="O62" s="774"/>
      <c r="S62" s="1533" t="s">
        <v>1565</v>
      </c>
      <c r="T62" s="2452" t="s">
        <v>1568</v>
      </c>
      <c r="U62" s="2452"/>
      <c r="V62" s="2452"/>
      <c r="W62" s="2452"/>
      <c r="X62" s="2452"/>
      <c r="Y62" s="2452"/>
      <c r="Z62" s="2452"/>
      <c r="AA62" s="2452"/>
      <c r="AB62" s="2452"/>
      <c r="AC62" s="2452"/>
      <c r="AD62" s="2452"/>
      <c r="AE62" s="2452"/>
      <c r="AF62" s="2452"/>
      <c r="AG62" s="2452"/>
      <c r="AH62" s="2452"/>
      <c r="AI62" s="2452"/>
      <c r="AJ62" s="2452"/>
      <c r="AK62" s="2452"/>
      <c r="AL62" s="2452"/>
      <c r="AM62" s="2452"/>
    </row>
    <row customHeight="1" ht="18" hidden="1">
      <c r="O63" s="774"/>
      <c r="T63" s="2452" t="s">
        <v>1569</v>
      </c>
      <c r="U63" s="2452"/>
      <c r="V63" s="2452"/>
      <c r="W63" s="2452"/>
      <c r="X63" s="2452"/>
      <c r="Y63" s="2452"/>
      <c r="Z63" s="2452"/>
      <c r="AA63" s="2452"/>
      <c r="AB63" s="2452"/>
      <c r="AC63" s="2452"/>
      <c r="AD63" s="2452"/>
      <c r="AE63" s="2452"/>
      <c r="AF63" s="2452"/>
      <c r="AG63" s="2452"/>
      <c r="AH63" s="2452"/>
      <c r="AI63" s="2452"/>
      <c r="AJ63" s="2452"/>
      <c r="AK63" s="2452"/>
      <c r="AL63" s="2452"/>
      <c r="AM63" s="2452"/>
    </row>
    <row customHeight="1" ht="38.25" hidden="1">
      <c r="O64" s="774"/>
      <c r="S64" s="1533"/>
      <c r="T64" s="2452" t="s">
        <v>1570</v>
      </c>
      <c r="U64" s="2452"/>
      <c r="V64" s="2452"/>
      <c r="W64" s="2452"/>
      <c r="X64" s="2452"/>
      <c r="Y64" s="2452"/>
      <c r="Z64" s="2452"/>
      <c r="AA64" s="2452"/>
      <c r="AB64" s="2452"/>
      <c r="AC64" s="2452"/>
      <c r="AD64" s="2452"/>
      <c r="AE64" s="2452"/>
      <c r="AF64" s="2452"/>
      <c r="AG64" s="2452"/>
      <c r="AH64" s="2452"/>
      <c r="AI64" s="2452"/>
      <c r="AJ64" s="2452"/>
      <c r="AK64" s="2452"/>
      <c r="AL64" s="2452"/>
      <c r="AM64" s="2452"/>
    </row>
  </sheetData>
  <sheetProtection formatColumns="0" formatRows="0" autoFilter="0" sort="0" insertRows="0" insertColumns="1" deleteRows="0" deleteColumns="0"/>
  <mergeCells count="110">
    <mergeCell ref="V2:AC2"/>
    <mergeCell ref="AD2:AL2"/>
    <mergeCell ref="V3:AC3"/>
    <mergeCell ref="AD3:AL3"/>
    <mergeCell ref="V4:AC4"/>
    <mergeCell ref="AD4:AL4"/>
    <mergeCell ref="T62:AM62"/>
    <mergeCell ref="T63:AM63"/>
    <mergeCell ref="T64:AM64"/>
    <mergeCell ref="S34:T34"/>
    <mergeCell ref="V34:AB34"/>
    <mergeCell ref="AD34:AJ34"/>
    <mergeCell ref="S35:T35"/>
    <mergeCell ref="V35:AB35"/>
    <mergeCell ref="AD35:AJ35"/>
    <mergeCell ref="AM49:AM51"/>
    <mergeCell ref="T59:AM59"/>
    <mergeCell ref="T60:AM60"/>
    <mergeCell ref="V47:AC47"/>
    <mergeCell ref="AD47:AL47"/>
    <mergeCell ref="AA42:AB42"/>
    <mergeCell ref="AI42:AJ42"/>
    <mergeCell ref="AD40:AD41"/>
    <mergeCell ref="AE40:AE41"/>
    <mergeCell ref="AI49:AI50"/>
    <mergeCell ref="AJ49:AJ50"/>
    <mergeCell ref="AK49:AK50"/>
    <mergeCell ref="V5:AC5"/>
    <mergeCell ref="AD5:AL5"/>
    <mergeCell ref="V6:AC6"/>
    <mergeCell ref="AD6:AL6"/>
    <mergeCell ref="V7:AC7"/>
    <mergeCell ref="AD7:AL7"/>
    <mergeCell ref="AH40:AJ40"/>
    <mergeCell ref="AA41:AB41"/>
    <mergeCell ref="AI41:AJ41"/>
    <mergeCell ref="AD32:AJ32"/>
    <mergeCell ref="V37:AC37"/>
    <mergeCell ref="AD37:AK37"/>
    <mergeCell ref="S38:AL38"/>
    <mergeCell ref="S32:T32"/>
    <mergeCell ref="V32:AB32"/>
    <mergeCell ref="AD29:AJ29"/>
    <mergeCell ref="S30:T30"/>
    <mergeCell ref="V30:AB30"/>
    <mergeCell ref="AD30:AJ30"/>
    <mergeCell ref="S31:T31"/>
    <mergeCell ref="V31:AB31"/>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AM38:AM41"/>
    <mergeCell ref="S39:S41"/>
    <mergeCell ref="T39:T41"/>
    <mergeCell ref="V39:AB39"/>
    <mergeCell ref="AC39:AC41"/>
    <mergeCell ref="AD39:AJ39"/>
    <mergeCell ref="AK39:AK41"/>
    <mergeCell ref="AL39:AL41"/>
    <mergeCell ref="V40:V41"/>
    <mergeCell ref="W40:W41"/>
    <mergeCell ref="Z40:AB40"/>
    <mergeCell ref="AD31:AJ31"/>
    <mergeCell ref="AJ8:AJ9"/>
    <mergeCell ref="AK8:AK9"/>
    <mergeCell ref="Z8:Z9"/>
    <mergeCell ref="S26:AJ26"/>
    <mergeCell ref="S27:AJ27"/>
    <mergeCell ref="S29:T29"/>
    <mergeCell ref="V29:AB29"/>
    <mergeCell ref="AM8:AM10"/>
    <mergeCell ref="AH17:AH18"/>
    <mergeCell ref="AI17:AI18"/>
    <mergeCell ref="AJ17:AJ18"/>
    <mergeCell ref="AK17:AK18"/>
    <mergeCell ref="AA8:AA9"/>
    <mergeCell ref="AB8:AB9"/>
    <mergeCell ref="AC8:AC9"/>
    <mergeCell ref="AH8:AH9"/>
    <mergeCell ref="AI8:AI9"/>
    <mergeCell ref="E2:E15"/>
    <mergeCell ref="F3:F14"/>
    <mergeCell ref="G4:G13"/>
    <mergeCell ref="H5:H12"/>
    <mergeCell ref="I6:I11"/>
    <mergeCell ref="P6:P11"/>
    <mergeCell ref="J7:J10"/>
    <mergeCell ref="Q7:Q10"/>
    <mergeCell ref="K8:K9"/>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524337 AK8 AK589873 AK655409 AK17 AK720945 AK786481 AK852017 AK917553 AK983089 AK65585 AK131121 AK458801 AK196657 AK262193 AI49 AI8 AC8 AA8 AI17 AK327729 AK393265 AA49 AC49 AK49"/>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127969D-1832-A2E6-FF4B-4651D900E815}" mc:Ignorable="x14ac xr xr2 xr3">
  <sheetPr>
    <tabColor theme="6" tint="0.4"/>
  </sheetPr>
  <dimension ref="A1:AR65"/>
  <sheetViews>
    <sheetView topLeftCell="Q25" showGridLines="0" zoomScale="90" workbookViewId="0">
      <selection activeCell="A1" sqref="A1"/>
    </sheetView>
  </sheetViews>
  <sheetFormatPr defaultColWidth="10.57421875" customHeight="1" defaultRowHeight="14.25"/>
  <cols>
    <col min="1" max="1" style="11074" width="10.57421875" hidden="1"/>
    <col min="2" max="2" style="11074" width="11.00390625" hidden="1" customWidth="1"/>
    <col min="3" max="3" style="11074" width="10.57421875" hidden="1"/>
    <col min="4" max="4" style="11074" width="11.8515625" hidden="1" customWidth="1"/>
    <col min="5" max="5" style="11074" width="10.00390625" hidden="1" customWidth="1"/>
    <col min="6" max="6" style="11074" width="8.7109375" hidden="1" customWidth="1"/>
    <col min="7" max="7" style="11074" width="7.57421875" hidden="1" customWidth="1"/>
    <col min="8" max="8" style="11074" width="11.421875" hidden="1" customWidth="1"/>
    <col min="9" max="9" style="11074" width="12.00390625" hidden="1" customWidth="1"/>
    <col min="10" max="10" style="11074" width="9.8515625" hidden="1" customWidth="1"/>
    <col min="11" max="11" style="11074" width="11.421875" hidden="1" customWidth="1"/>
    <col min="12" max="12" style="11240" width="19.140625" hidden="1" customWidth="1"/>
    <col min="13" max="14" style="9887" width="12.28125" hidden="1" customWidth="1"/>
    <col min="15" max="15" style="9887" width="23.421875" hidden="1" customWidth="1"/>
    <col min="16" max="16" style="11241" width="3.7109375" hidden="1" customWidth="1"/>
    <col min="17" max="18" style="10046" width="3.7109375" customWidth="1"/>
    <col min="19" max="19" style="11124" width="12.7109375" customWidth="1"/>
    <col min="20" max="20" style="11126" width="32.00390625" customWidth="1"/>
    <col min="21" max="21" style="11126" width="0.140625" customWidth="1"/>
    <col min="22" max="22" style="11126" width="24.7109375" hidden="1" customWidth="1"/>
    <col min="23" max="23" style="11126" width="0.140625" hidden="1" customWidth="1"/>
    <col min="24" max="25" style="11126" width="24.7109375" hidden="1" customWidth="1"/>
    <col min="26" max="26" style="11126" width="11.7109375" hidden="1" customWidth="1"/>
    <col min="27" max="27" style="11126" width="3.7109375" hidden="1" customWidth="1"/>
    <col min="28" max="28" style="11126" width="11.7109375" hidden="1" customWidth="1"/>
    <col min="29" max="29" style="11126" width="8.57421875" hidden="1" customWidth="1"/>
    <col min="30" max="30" style="11126" width="24.7109375" customWidth="1"/>
    <col min="31" max="31" style="11126" width="0.140625" customWidth="1"/>
    <col min="32" max="33" style="11126" width="24.7109375" customWidth="1"/>
    <col min="34" max="34" style="11126" width="11.7109375" customWidth="1"/>
    <col min="35" max="35" style="11126" width="3.7109375" customWidth="1"/>
    <col min="36" max="36" style="11126" width="11.7109375" customWidth="1"/>
    <col min="37" max="37" style="11126" width="8.57421875" hidden="1" customWidth="1"/>
    <col min="38" max="38" style="11126" width="4.7109375" customWidth="1"/>
    <col min="39" max="39" style="11126" width="115.7109375" customWidth="1"/>
    <col min="40" max="41" style="10863" width="10.57421875"/>
    <col min="42" max="42" style="10863" width="11.140625" customWidth="1"/>
    <col min="43" max="44" style="10863" width="10.57421875"/>
  </cols>
  <sheetData>
    <row customHeight="1" ht="14.25" hidden="1">
      <c r="Y1" s="548"/>
      <c r="Z1" s="548"/>
      <c r="AG1" s="548"/>
      <c r="AH1" s="548"/>
    </row>
    <row customHeight="1" ht="21" hidden="1">
      <c r="A2" s="1659"/>
      <c r="B2" s="1659"/>
      <c r="C2" s="1659"/>
      <c r="D2" s="1659"/>
      <c r="E2" s="2424">
        <v>1</v>
      </c>
      <c r="F2" s="1659"/>
      <c r="G2" s="1659"/>
      <c r="H2" s="1659"/>
      <c r="I2" s="1659"/>
      <c r="J2" s="1659"/>
      <c r="K2" s="1659"/>
      <c r="L2" s="1660"/>
      <c r="M2" s="1661"/>
      <c r="N2" s="1661"/>
      <c r="O2" s="1661"/>
      <c r="P2" s="582"/>
      <c r="Q2" s="581"/>
      <c r="R2" s="576"/>
      <c r="S2" s="1631">
        <f>INDEX(PT_DIFFERENTIATION_NUM_NTAR,MATCH(A2,PT_DIFFERENTIATION_NTAR_ID,0))</f>
      </c>
      <c r="T2" s="508" t="s">
        <v>200</v>
      </c>
      <c r="U2" s="510"/>
      <c r="V2" s="4037"/>
      <c r="W2" s="4038"/>
      <c r="X2" s="4038"/>
      <c r="Y2" s="4038"/>
      <c r="Z2" s="4038"/>
      <c r="AA2" s="4038"/>
      <c r="AB2" s="4038"/>
      <c r="AC2" s="4039"/>
      <c r="AD2" s="4037">
        <f>INDEX(PT_DIFFERENTIATION_NTAR,MATCH(A2,PT_DIFFERENTIATION_NTAR_ID,0))</f>
      </c>
      <c r="AE2" s="4038"/>
      <c r="AF2" s="4038"/>
      <c r="AG2" s="4038"/>
      <c r="AH2" s="4038"/>
      <c r="AI2" s="4038"/>
      <c r="AJ2" s="4038"/>
      <c r="AK2" s="4038"/>
      <c r="AL2" s="4039"/>
      <c r="AM2" s="1546" t="s">
        <v>1516</v>
      </c>
      <c r="AO2" s="737"/>
      <c r="AP2" s="737" t="str">
        <f>IF(T2="","",T2)</f>
        <v>Наименование тарифа</v>
      </c>
      <c r="AQ2" s="737"/>
      <c r="AR2" s="737"/>
    </row>
    <row customHeight="1" ht="21" hidden="1">
      <c r="A3" s="1659"/>
      <c r="B3" s="1659"/>
      <c r="C3" s="1659"/>
      <c r="D3" s="1659"/>
      <c r="E3" s="2425"/>
      <c r="F3" s="2424">
        <v>1</v>
      </c>
      <c r="G3" s="1659"/>
      <c r="H3" s="1659"/>
      <c r="I3" s="1659"/>
      <c r="J3" s="1659"/>
      <c r="K3" s="1659"/>
      <c r="L3" s="1660"/>
      <c r="M3" s="1661"/>
      <c r="N3" s="1661"/>
      <c r="O3" s="1661"/>
      <c r="P3" s="1627"/>
      <c r="Q3" s="573"/>
      <c r="R3" s="574"/>
      <c r="S3" s="1631">
        <f>INDEX(PT_DIFFERENTIATION_NUM_TER,MATCH(B3,PT_DIFFERENTIATION_TER_ID,0))</f>
      </c>
      <c r="T3" s="520" t="s">
        <v>1517</v>
      </c>
      <c r="U3" s="510"/>
      <c r="V3" s="4037"/>
      <c r="W3" s="4038"/>
      <c r="X3" s="4038"/>
      <c r="Y3" s="4038"/>
      <c r="Z3" s="4038"/>
      <c r="AA3" s="4038"/>
      <c r="AB3" s="4038"/>
      <c r="AC3" s="4039"/>
      <c r="AD3" s="4037">
        <f>INDEX(PT_DIFFERENTIATION_TER,MATCH(B3,PT_DIFFERENTIATION_TER_ID,0))</f>
      </c>
      <c r="AE3" s="4038"/>
      <c r="AF3" s="4038"/>
      <c r="AG3" s="4038"/>
      <c r="AH3" s="4038"/>
      <c r="AI3" s="4038"/>
      <c r="AJ3" s="4038"/>
      <c r="AK3" s="4038"/>
      <c r="AL3" s="4039"/>
      <c r="AM3" s="1546" t="s">
        <v>1518</v>
      </c>
      <c r="AO3" s="737"/>
      <c r="AP3" s="737" t="str">
        <f>IF(T3="","",T3)</f>
        <v>Территория действия тарифа</v>
      </c>
      <c r="AQ3" s="737"/>
      <c r="AR3" s="737"/>
    </row>
    <row customHeight="1" ht="23.25" hidden="1">
      <c r="A4" s="1659"/>
      <c r="B4" s="1659"/>
      <c r="C4" s="1659"/>
      <c r="D4" s="1659"/>
      <c r="E4" s="2425"/>
      <c r="F4" s="2425"/>
      <c r="G4" s="2424">
        <v>1</v>
      </c>
      <c r="H4" s="1659"/>
      <c r="I4" s="1659"/>
      <c r="J4" s="1659"/>
      <c r="K4" s="1659"/>
      <c r="L4" s="1660"/>
      <c r="M4" s="1661"/>
      <c r="N4" s="1661"/>
      <c r="O4" s="1661"/>
      <c r="P4" s="575"/>
      <c r="Q4" s="573"/>
      <c r="R4" s="574"/>
      <c r="S4" s="1631">
        <f>INDEX(PT_DIFFERENTIATION_NUM_CS,MATCH(C4,PT_DIFFERENTIATION_CS_ID,0))</f>
      </c>
      <c r="T4" s="521" t="s">
        <v>1519</v>
      </c>
      <c r="U4" s="510"/>
      <c r="V4" s="4037"/>
      <c r="W4" s="4038"/>
      <c r="X4" s="4038"/>
      <c r="Y4" s="4038"/>
      <c r="Z4" s="4038"/>
      <c r="AA4" s="4038"/>
      <c r="AB4" s="4038"/>
      <c r="AC4" s="4039"/>
      <c r="AD4" s="4037">
        <f>INDEX(PT_DIFFERENTIATION_CS,MATCH(C4,PT_DIFFERENTIATION_CS_ID,0))</f>
      </c>
      <c r="AE4" s="4038"/>
      <c r="AF4" s="4038"/>
      <c r="AG4" s="4038"/>
      <c r="AH4" s="4038"/>
      <c r="AI4" s="4038"/>
      <c r="AJ4" s="4038"/>
      <c r="AK4" s="4038"/>
      <c r="AL4" s="4039"/>
      <c r="AM4" s="1546" t="s">
        <v>1520</v>
      </c>
      <c r="AO4" s="737"/>
      <c r="AP4" s="737" t="str">
        <f>IF(T4="","",T4)</f>
        <v>Наименование системы теплоснабжения </v>
      </c>
      <c r="AQ4" s="737"/>
      <c r="AR4" s="737"/>
    </row>
    <row customHeight="1" ht="21" hidden="1">
      <c r="A5" s="1659"/>
      <c r="B5" s="1659"/>
      <c r="C5" s="1659"/>
      <c r="D5" s="1659"/>
      <c r="E5" s="2425"/>
      <c r="F5" s="2425"/>
      <c r="G5" s="2425"/>
      <c r="H5" s="2424">
        <v>1</v>
      </c>
      <c r="I5" s="1659"/>
      <c r="J5" s="1659"/>
      <c r="K5" s="1659"/>
      <c r="L5" s="1660"/>
      <c r="M5" s="1661"/>
      <c r="N5" s="1661"/>
      <c r="O5" s="1661"/>
      <c r="P5" s="575"/>
      <c r="Q5" s="573"/>
      <c r="R5" s="574"/>
      <c r="S5" s="1631">
        <f>INDEX(PT_DIFFERENTIATION_NUM_IST_TE,MATCH(D5,PT_DIFFERENTIATION_IST_TE_ID,0))</f>
      </c>
      <c r="T5" s="522" t="s">
        <v>1521</v>
      </c>
      <c r="U5" s="510"/>
      <c r="V5" s="4037"/>
      <c r="W5" s="4038"/>
      <c r="X5" s="4038"/>
      <c r="Y5" s="4038"/>
      <c r="Z5" s="4038"/>
      <c r="AA5" s="4038"/>
      <c r="AB5" s="4038"/>
      <c r="AC5" s="4039"/>
      <c r="AD5" s="4037">
        <f>INDEX(PT_DIFFERENTIATION_IST_TE,MATCH(D5,PT_DIFFERENTIATION_IST_TE_ID,0))</f>
      </c>
      <c r="AE5" s="4038"/>
      <c r="AF5" s="4038"/>
      <c r="AG5" s="4038"/>
      <c r="AH5" s="4038"/>
      <c r="AI5" s="4038"/>
      <c r="AJ5" s="4038"/>
      <c r="AK5" s="4038"/>
      <c r="AL5" s="4039"/>
      <c r="AM5" s="1546" t="s">
        <v>1522</v>
      </c>
      <c r="AO5" s="737"/>
      <c r="AP5" s="737" t="str">
        <f>IF(T5="","",T5)</f>
        <v>Источник тепловой энергии  </v>
      </c>
      <c r="AQ5" s="737"/>
      <c r="AR5" s="737"/>
    </row>
    <row customHeight="1" ht="14.25" hidden="1">
      <c r="A6" s="1659"/>
      <c r="B6" s="1659"/>
      <c r="C6" s="1659"/>
      <c r="D6" s="1659"/>
      <c r="E6" s="2425"/>
      <c r="F6" s="2425"/>
      <c r="G6" s="2425"/>
      <c r="H6" s="2425"/>
      <c r="I6" s="2453">
        <f>S5&amp;".1"</f>
      </c>
      <c r="J6" s="1659"/>
      <c r="K6" s="1659"/>
      <c r="L6" s="1660" t="s">
        <v>1523</v>
      </c>
      <c r="M6" s="774"/>
      <c r="P6" s="2423">
        <v>1</v>
      </c>
      <c r="Q6" s="1626"/>
      <c r="R6" s="577"/>
      <c r="S6" s="1300"/>
      <c r="T6" s="1679"/>
      <c r="U6" s="1680"/>
      <c r="V6" s="2463"/>
      <c r="W6" s="2464"/>
      <c r="X6" s="2464"/>
      <c r="Y6" s="2464"/>
      <c r="Z6" s="2464"/>
      <c r="AA6" s="2464"/>
      <c r="AB6" s="2464"/>
      <c r="AC6" s="2465"/>
      <c r="AD6" s="2463"/>
      <c r="AE6" s="2464"/>
      <c r="AF6" s="2464"/>
      <c r="AG6" s="2464"/>
      <c r="AH6" s="2464"/>
      <c r="AI6" s="2464"/>
      <c r="AJ6" s="2464"/>
      <c r="AK6" s="2464"/>
      <c r="AL6" s="2465"/>
      <c r="AM6" s="1681"/>
      <c r="AO6" s="737"/>
      <c r="AP6" s="737" t="str">
        <f>IF(T6="","",T6)</f>
        <v/>
      </c>
      <c r="AQ6" s="737"/>
      <c r="AR6" s="737"/>
    </row>
    <row customHeight="1" ht="21" hidden="1">
      <c r="A7" s="1659"/>
      <c r="B7" s="1659"/>
      <c r="C7" s="1659"/>
      <c r="D7" s="1659"/>
      <c r="E7" s="2425"/>
      <c r="F7" s="2425"/>
      <c r="G7" s="2425"/>
      <c r="H7" s="2425"/>
      <c r="I7" s="2454"/>
      <c r="J7" s="2422">
        <f>I6&amp;".1"</f>
      </c>
      <c r="K7" s="1659"/>
      <c r="L7" s="1660" t="s">
        <v>1526</v>
      </c>
      <c r="M7" s="774"/>
      <c r="N7" s="1662"/>
      <c r="P7" s="2423"/>
      <c r="Q7" s="2423">
        <v>1</v>
      </c>
      <c r="R7" s="578"/>
      <c r="S7" s="1631">
        <f>$J7</f>
      </c>
      <c r="T7" s="496" t="s">
        <v>1527</v>
      </c>
      <c r="U7" s="510"/>
      <c r="V7" s="2411"/>
      <c r="W7" s="2412"/>
      <c r="X7" s="2412"/>
      <c r="Y7" s="2412"/>
      <c r="Z7" s="2412"/>
      <c r="AA7" s="2412"/>
      <c r="AB7" s="2412"/>
      <c r="AC7" s="2413"/>
      <c r="AD7" s="2411"/>
      <c r="AE7" s="2412"/>
      <c r="AF7" s="2412"/>
      <c r="AG7" s="2412"/>
      <c r="AH7" s="2412"/>
      <c r="AI7" s="2412"/>
      <c r="AJ7" s="2412"/>
      <c r="AK7" s="2412"/>
      <c r="AL7" s="2413"/>
      <c r="AM7" s="1546" t="s">
        <v>1528</v>
      </c>
      <c r="AO7" s="737"/>
      <c r="AP7" s="737" t="str">
        <f>IF(T7="","",T7)</f>
        <v>Группа потребителей</v>
      </c>
      <c r="AQ7" s="737"/>
      <c r="AR7" s="737"/>
    </row>
    <row customHeight="1" ht="21" hidden="1">
      <c r="A8" s="1659"/>
      <c r="B8" s="1659"/>
      <c r="C8" s="1659"/>
      <c r="D8" s="1659"/>
      <c r="E8" s="2425"/>
      <c r="F8" s="2425"/>
      <c r="G8" s="2425"/>
      <c r="H8" s="2425"/>
      <c r="I8" s="2454"/>
      <c r="J8" s="2455"/>
      <c r="K8" s="2422">
        <f>J7&amp;".1"</f>
      </c>
      <c r="L8" s="1660" t="s">
        <v>1529</v>
      </c>
      <c r="M8" s="774"/>
      <c r="N8" s="1662"/>
      <c r="O8" s="1662"/>
      <c r="P8" s="2423"/>
      <c r="Q8" s="2423"/>
      <c r="R8" s="578">
        <v>1</v>
      </c>
      <c r="S8" s="1631">
        <f>$K8</f>
      </c>
      <c r="T8" s="1642"/>
      <c r="U8" s="510"/>
      <c r="V8" s="4065"/>
      <c r="W8" s="4066"/>
      <c r="X8" s="4065"/>
      <c r="Y8" s="4067"/>
      <c r="Z8" s="2430"/>
      <c r="AA8" s="2142" t="s">
        <v>67</v>
      </c>
      <c r="AB8" s="2430"/>
      <c r="AC8" s="2142" t="s">
        <v>67</v>
      </c>
      <c r="AD8" s="4065"/>
      <c r="AE8" s="4066"/>
      <c r="AF8" s="4065"/>
      <c r="AG8" s="4067"/>
      <c r="AH8" s="2430"/>
      <c r="AI8" s="2142" t="s">
        <v>67</v>
      </c>
      <c r="AJ8" s="2430"/>
      <c r="AK8" s="2142" t="s">
        <v>67</v>
      </c>
      <c r="AL8" s="4066"/>
      <c r="AM8" s="2419" t="s">
        <v>1530</v>
      </c>
      <c r="AN8" s="748">
        <f>STRCHECKDATE(V9:AL9)</f>
      </c>
      <c r="AO8" s="737"/>
      <c r="AP8" s="737" t="str">
        <f>IF(T8="","",T8)</f>
        <v/>
      </c>
      <c r="AQ8" s="737"/>
      <c r="AR8" s="737"/>
    </row>
    <row customHeight="1" ht="0.75" hidden="1">
      <c r="A9" s="1659"/>
      <c r="B9" s="1659"/>
      <c r="C9" s="1659"/>
      <c r="D9" s="1659"/>
      <c r="E9" s="2425"/>
      <c r="F9" s="2425"/>
      <c r="G9" s="2425"/>
      <c r="H9" s="2425"/>
      <c r="I9" s="2454"/>
      <c r="J9" s="2455"/>
      <c r="K9" s="2422"/>
      <c r="L9" s="1660"/>
      <c r="M9" s="774"/>
      <c r="N9" s="1662"/>
      <c r="O9" s="1662"/>
      <c r="P9" s="2423"/>
      <c r="Q9" s="2423"/>
      <c r="R9" s="578"/>
      <c r="S9" s="1637"/>
      <c r="T9" s="510"/>
      <c r="U9" s="510"/>
      <c r="V9" s="4066"/>
      <c r="W9" s="4066"/>
      <c r="X9" s="4066"/>
      <c r="Y9" s="4071" t="str">
        <f>Z8&amp;"-"&amp;AB8</f>
        <v>-</v>
      </c>
      <c r="Z9" s="2431"/>
      <c r="AA9" s="2142"/>
      <c r="AB9" s="2431"/>
      <c r="AC9" s="2142"/>
      <c r="AD9" s="4066"/>
      <c r="AE9" s="4066"/>
      <c r="AF9" s="4066"/>
      <c r="AG9" s="4071" t="str">
        <f>AH8&amp;"-"&amp;AJ8</f>
        <v>-</v>
      </c>
      <c r="AH9" s="2431"/>
      <c r="AI9" s="2142"/>
      <c r="AJ9" s="2431"/>
      <c r="AK9" s="2142"/>
      <c r="AL9" s="4066"/>
      <c r="AM9" s="2420"/>
      <c r="AO9" s="737"/>
      <c r="AP9" s="737" t="str">
        <f>IF(T9="","",T9)</f>
        <v/>
      </c>
      <c r="AQ9" s="737"/>
      <c r="AR9" s="737"/>
    </row>
    <row customHeight="1" ht="15" hidden="1">
      <c r="A10" s="1659"/>
      <c r="B10" s="1659"/>
      <c r="C10" s="1659"/>
      <c r="D10" s="1659"/>
      <c r="E10" s="2425"/>
      <c r="F10" s="2425"/>
      <c r="G10" s="2425"/>
      <c r="H10" s="2425"/>
      <c r="I10" s="2454"/>
      <c r="J10" s="2422"/>
      <c r="K10" s="1659"/>
      <c r="L10" s="1660"/>
      <c r="M10" s="774"/>
      <c r="N10" s="1662"/>
      <c r="P10" s="2423"/>
      <c r="Q10" s="2423"/>
      <c r="R10" s="577"/>
      <c r="S10" s="1568"/>
      <c r="T10" s="497" t="s">
        <v>1531</v>
      </c>
      <c r="U10" s="592"/>
      <c r="V10" s="592"/>
      <c r="W10" s="592"/>
      <c r="X10" s="592"/>
      <c r="Y10" s="592"/>
      <c r="Z10" s="592"/>
      <c r="AA10" s="592"/>
      <c r="AB10" s="592"/>
      <c r="AC10" s="592"/>
      <c r="AD10" s="592"/>
      <c r="AE10" s="592"/>
      <c r="AF10" s="592"/>
      <c r="AG10" s="592"/>
      <c r="AH10" s="592"/>
      <c r="AI10" s="592"/>
      <c r="AJ10" s="592"/>
      <c r="AK10" s="592"/>
      <c r="AL10" s="544"/>
      <c r="AM10" s="2421"/>
      <c r="AO10" s="737"/>
      <c r="AP10" s="737" t="str">
        <f>IF(T10="","",T10)</f>
        <v>Добавить вид теплоносителя (параметры теплоносителя)</v>
      </c>
      <c r="AQ10" s="737"/>
      <c r="AR10" s="737"/>
    </row>
    <row customHeight="1" ht="15" hidden="1">
      <c r="A11" s="1659"/>
      <c r="B11" s="1659"/>
      <c r="C11" s="1659"/>
      <c r="D11" s="1659"/>
      <c r="E11" s="2425"/>
      <c r="F11" s="2425"/>
      <c r="G11" s="2425"/>
      <c r="H11" s="2425"/>
      <c r="I11" s="2453"/>
      <c r="J11" s="1659"/>
      <c r="K11" s="1659"/>
      <c r="L11" s="1660"/>
      <c r="M11" s="774"/>
      <c r="P11" s="2423"/>
      <c r="Q11" s="1626"/>
      <c r="R11" s="577"/>
      <c r="S11" s="1568"/>
      <c r="T11" s="589" t="s">
        <v>1532</v>
      </c>
      <c r="U11" s="592"/>
      <c r="V11" s="592"/>
      <c r="W11" s="592"/>
      <c r="X11" s="592"/>
      <c r="Y11" s="592"/>
      <c r="Z11" s="592"/>
      <c r="AA11" s="592"/>
      <c r="AB11" s="592"/>
      <c r="AC11" s="591"/>
      <c r="AD11" s="592"/>
      <c r="AE11" s="592"/>
      <c r="AF11" s="592"/>
      <c r="AG11" s="592"/>
      <c r="AH11" s="592"/>
      <c r="AI11" s="592"/>
      <c r="AJ11" s="592"/>
      <c r="AK11" s="591"/>
      <c r="AL11" s="592"/>
      <c r="AM11" s="513"/>
      <c r="AO11" s="737"/>
      <c r="AP11" s="737" t="str">
        <f>IF(T11="","",T11)</f>
        <v>Добавить группу потребителей</v>
      </c>
      <c r="AQ11" s="737"/>
      <c r="AR11" s="737"/>
    </row>
    <row customHeight="1" ht="14.25" hidden="1">
      <c r="A12" s="1659"/>
      <c r="B12" s="1659"/>
      <c r="C12" s="1659"/>
      <c r="D12" s="1659"/>
      <c r="E12" s="2425"/>
      <c r="F12" s="2425"/>
      <c r="G12" s="2425"/>
      <c r="H12" s="2424"/>
      <c r="I12" s="1659"/>
      <c r="J12" s="1659"/>
      <c r="K12" s="1659"/>
      <c r="L12" s="1660"/>
      <c r="M12" s="1661"/>
      <c r="N12" s="1661"/>
      <c r="O12" s="774"/>
      <c r="P12" s="581"/>
      <c r="Q12" s="601"/>
      <c r="R12" s="576"/>
      <c r="S12" s="1682"/>
      <c r="T12" s="1683"/>
      <c r="U12" s="1684"/>
      <c r="V12" s="1684"/>
      <c r="W12" s="1684"/>
      <c r="X12" s="1684"/>
      <c r="Y12" s="1684"/>
      <c r="Z12" s="1684"/>
      <c r="AA12" s="1684"/>
      <c r="AB12" s="1684"/>
      <c r="AC12" s="1684"/>
      <c r="AD12" s="1684"/>
      <c r="AE12" s="1684"/>
      <c r="AF12" s="1684"/>
      <c r="AG12" s="1684"/>
      <c r="AH12" s="1684"/>
      <c r="AI12" s="1684"/>
      <c r="AJ12" s="1684"/>
      <c r="AK12" s="1684"/>
      <c r="AL12" s="1684"/>
      <c r="AM12" s="1685"/>
      <c r="AO12" s="737"/>
      <c r="AP12" s="737" t="str">
        <f>IF(T12="","",T12)</f>
        <v/>
      </c>
      <c r="AQ12" s="737"/>
      <c r="AR12" s="737"/>
    </row>
    <row s="10863" customFormat="1" customHeight="1" ht="0.75" hidden="1">
      <c r="A13" s="1609"/>
      <c r="B13" s="1609"/>
      <c r="C13" s="1609"/>
      <c r="D13" s="1609"/>
      <c r="E13" s="2425"/>
      <c r="F13" s="2425"/>
      <c r="G13" s="2424"/>
      <c r="H13" s="1609"/>
      <c r="I13" s="1609"/>
      <c r="J13" s="1609"/>
      <c r="K13" s="1609"/>
      <c r="L13" s="1634"/>
      <c r="M13" s="1610"/>
      <c r="N13" s="1610"/>
      <c r="P13" s="1611"/>
      <c r="Q13" s="1612"/>
      <c r="R13" s="1611"/>
      <c r="S13" s="1613"/>
      <c r="T13" s="1614" t="s">
        <v>1492</v>
      </c>
      <c r="U13" s="1615"/>
      <c r="V13" s="1615"/>
      <c r="W13" s="1615"/>
      <c r="X13" s="1615"/>
      <c r="Y13" s="1615"/>
      <c r="Z13" s="1615"/>
      <c r="AA13" s="1615"/>
      <c r="AB13" s="1615"/>
      <c r="AC13" s="1615"/>
      <c r="AD13" s="1615"/>
      <c r="AE13" s="1615"/>
      <c r="AF13" s="1615"/>
      <c r="AG13" s="1615"/>
      <c r="AH13" s="1615"/>
      <c r="AI13" s="1615"/>
      <c r="AJ13" s="1615"/>
      <c r="AK13" s="1615"/>
      <c r="AL13" s="1615"/>
      <c r="AM13" s="1615"/>
      <c r="AO13" s="1029"/>
      <c r="AP13" s="1029" t="str">
        <f>IF(T13="","",T13)</f>
        <v>Добавить источник для дифференциации</v>
      </c>
      <c r="AQ13" s="1029"/>
      <c r="AR13" s="1029"/>
    </row>
    <row s="10863" customFormat="1" customHeight="1" ht="0.75" hidden="1">
      <c r="A14" s="1609"/>
      <c r="B14" s="1609"/>
      <c r="C14" s="1609"/>
      <c r="D14" s="1609"/>
      <c r="E14" s="2425"/>
      <c r="F14" s="2424"/>
      <c r="G14" s="1609"/>
      <c r="H14" s="1609"/>
      <c r="I14" s="1609"/>
      <c r="J14" s="1609"/>
      <c r="K14" s="1609"/>
      <c r="L14" s="1634"/>
      <c r="M14" s="1616"/>
      <c r="N14" s="1616"/>
      <c r="P14" s="1611"/>
      <c r="Q14" s="1612"/>
      <c r="R14" s="1611"/>
      <c r="S14" s="1617"/>
      <c r="T14" s="1618" t="s">
        <v>1493</v>
      </c>
      <c r="U14" s="1619"/>
      <c r="V14" s="1619"/>
      <c r="W14" s="1619"/>
      <c r="X14" s="1619"/>
      <c r="Y14" s="1619"/>
      <c r="Z14" s="1619"/>
      <c r="AA14" s="1619"/>
      <c r="AB14" s="1619"/>
      <c r="AC14" s="1619"/>
      <c r="AD14" s="1619"/>
      <c r="AE14" s="1619"/>
      <c r="AF14" s="1619"/>
      <c r="AG14" s="1619"/>
      <c r="AH14" s="1619"/>
      <c r="AI14" s="1619"/>
      <c r="AJ14" s="1619"/>
      <c r="AK14" s="1619"/>
      <c r="AL14" s="1619"/>
      <c r="AM14" s="1619"/>
      <c r="AO14" s="1029"/>
      <c r="AP14" s="1029" t="str">
        <f>IF(T14="","",T14)</f>
        <v>Добавить централизованную систему для дифференциации</v>
      </c>
      <c r="AQ14" s="1029"/>
      <c r="AR14" s="1029"/>
    </row>
    <row s="10863" customFormat="1" customHeight="1" ht="0.75" hidden="1">
      <c r="A15" s="1609"/>
      <c r="B15" s="1609"/>
      <c r="C15" s="1609"/>
      <c r="D15" s="1609"/>
      <c r="E15" s="2424"/>
      <c r="F15" s="1609"/>
      <c r="G15" s="1609"/>
      <c r="H15" s="1609"/>
      <c r="I15" s="1609"/>
      <c r="J15" s="1609"/>
      <c r="K15" s="1609"/>
      <c r="L15" s="1634"/>
      <c r="M15" s="1616"/>
      <c r="N15" s="1616"/>
      <c r="P15" s="1611"/>
      <c r="Q15" s="1612"/>
      <c r="R15" s="1611"/>
      <c r="S15" s="1617"/>
      <c r="T15" s="1620" t="s">
        <v>1494</v>
      </c>
      <c r="U15" s="1619"/>
      <c r="V15" s="1619"/>
      <c r="W15" s="1619"/>
      <c r="X15" s="1619"/>
      <c r="Y15" s="1619"/>
      <c r="Z15" s="1619"/>
      <c r="AA15" s="1619"/>
      <c r="AB15" s="1619"/>
      <c r="AC15" s="1619"/>
      <c r="AD15" s="1619"/>
      <c r="AE15" s="1619"/>
      <c r="AF15" s="1619"/>
      <c r="AG15" s="1619"/>
      <c r="AH15" s="1619"/>
      <c r="AI15" s="1619"/>
      <c r="AJ15" s="1619"/>
      <c r="AK15" s="1619"/>
      <c r="AL15" s="1619"/>
      <c r="AM15" s="1619"/>
      <c r="AO15" s="1029"/>
      <c r="AP15" s="1029" t="str">
        <f>IF(T15="","",T15)</f>
        <v>Добавить территорию для дифференциации</v>
      </c>
      <c r="AQ15" s="1029"/>
      <c r="AR15" s="1029"/>
    </row>
    <row customHeight="1" ht="14.25" hidden="1">
      <c r="AC16" s="548"/>
      <c r="AK16" s="548"/>
    </row>
    <row customHeight="1" ht="14.25" hidden="1">
      <c r="AD17" s="4098"/>
      <c r="AE17" s="4098"/>
      <c r="AF17" s="4098"/>
      <c r="AG17" s="4099"/>
      <c r="AH17" s="2432"/>
      <c r="AI17" s="2433" t="s">
        <v>67</v>
      </c>
      <c r="AJ17" s="2432"/>
      <c r="AK17" s="2433" t="s">
        <v>67</v>
      </c>
    </row>
    <row customHeight="1" ht="14.25" hidden="1">
      <c r="AD18" s="4098"/>
      <c r="AE18" s="4098"/>
      <c r="AF18" s="4098"/>
      <c r="AG18" s="4071" t="str">
        <f>AH17&amp;"-"&amp;AJ17</f>
        <v>-</v>
      </c>
      <c r="AH18" s="2433"/>
      <c r="AI18" s="2433"/>
      <c r="AJ18" s="2433"/>
      <c r="AK18" s="2433"/>
    </row>
    <row customHeight="1" ht="14.25" hidden="1">
      <c r="AK19" s="548"/>
    </row>
    <row s="11074" customFormat="1" customHeight="1" ht="22.5" hidden="1">
      <c r="L20" s="1624"/>
      <c r="M20" s="1658"/>
      <c r="N20" s="1658"/>
      <c r="O20" s="1663" t="s">
        <v>1534</v>
      </c>
      <c r="P20" s="1658"/>
      <c r="Q20" s="1667"/>
      <c r="R20" s="1667"/>
      <c r="S20" s="967"/>
      <c r="Z20" s="1663"/>
      <c r="AB20" s="1663"/>
      <c r="AC20" s="1662"/>
      <c r="AH20" s="1663"/>
      <c r="AJ20" s="1663"/>
      <c r="AK20" s="1662"/>
      <c r="AN20" s="748"/>
      <c r="AO20" s="748"/>
      <c r="AP20" s="748"/>
      <c r="AQ20" s="748"/>
      <c r="AR20" s="748"/>
    </row>
    <row s="11074" customFormat="1" customHeight="1" ht="14.25" hidden="1">
      <c r="L21" s="1624"/>
      <c r="M21" s="1658"/>
      <c r="N21" s="1658"/>
      <c r="O21" s="1658"/>
      <c r="P21" s="1658"/>
      <c r="Q21" s="1667"/>
      <c r="R21" s="1667"/>
      <c r="S21" s="967"/>
      <c r="AC21" s="1662"/>
      <c r="AK21" s="1662"/>
      <c r="AN21" s="748"/>
      <c r="AO21" s="748"/>
      <c r="AP21" s="748"/>
      <c r="AQ21" s="748"/>
      <c r="AR21" s="748"/>
    </row>
    <row s="11074" customFormat="1" customHeight="1" ht="14.25" hidden="1">
      <c r="L22" s="1624"/>
      <c r="M22" s="1658"/>
      <c r="N22" s="1658"/>
      <c r="O22" s="1660" t="s">
        <v>1535</v>
      </c>
      <c r="P22" s="1658"/>
      <c r="Q22" s="1667"/>
      <c r="R22" s="1667"/>
      <c r="S22" s="967"/>
      <c r="T22" s="1421" t="s">
        <v>1536</v>
      </c>
      <c r="AA22" s="393" t="s">
        <v>1537</v>
      </c>
      <c r="AC22" s="393" t="s">
        <v>1538</v>
      </c>
      <c r="AD22" s="1421" t="s">
        <v>1536</v>
      </c>
      <c r="AI22" s="393" t="s">
        <v>1539</v>
      </c>
      <c r="AK22" s="393" t="s">
        <v>1538</v>
      </c>
      <c r="AN22" s="748"/>
      <c r="AO22" s="748"/>
      <c r="AP22" s="748"/>
      <c r="AQ22" s="748"/>
      <c r="AR22" s="748"/>
    </row>
    <row customHeight="1" ht="14.25" hidden="1">
      <c r="O23" s="1660"/>
    </row>
    <row customHeight="1" ht="14.25" hidden="1">
      <c r="O24" s="1660"/>
    </row>
    <row customHeight="1" ht="14.25">
      <c r="Q25" s="602"/>
      <c r="R25" s="602"/>
      <c r="S25" s="1565"/>
      <c r="T25" s="586"/>
      <c r="U25" s="586"/>
      <c r="V25" s="746"/>
      <c r="W25" s="746"/>
      <c r="X25" s="746"/>
      <c r="Y25" s="746"/>
      <c r="Z25" s="746"/>
      <c r="AA25" s="746"/>
      <c r="AB25" s="746"/>
      <c r="AC25" s="746"/>
      <c r="AD25" s="746"/>
      <c r="AE25" s="746"/>
      <c r="AF25" s="746"/>
      <c r="AG25" s="746"/>
      <c r="AH25" s="746"/>
      <c r="AI25" s="746"/>
      <c r="AJ25" s="746"/>
      <c r="AK25" s="746"/>
    </row>
    <row customHeight="1" ht="64.5">
      <c r="Q26" s="602"/>
      <c r="R26" s="602"/>
      <c r="S26" s="2414" t="str">
        <f>IF(TEMPLATE_GROUP="P",PT_P_FORM_HEAT_5_NAME_FORM,PT_R_FORM_HEAT_22_NAME_FORM)</f>
        <v>Форма 22. Информация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23.4 Федерального закона "О теплоснабжении" &lt;1&gt;</v>
      </c>
      <c r="T26" s="2414"/>
      <c r="U26" s="2414"/>
      <c r="V26" s="2414"/>
      <c r="W26" s="2414"/>
      <c r="X26" s="2414"/>
      <c r="Y26" s="2414"/>
      <c r="Z26" s="2414"/>
      <c r="AA26" s="2414"/>
      <c r="AB26" s="2414"/>
      <c r="AC26" s="2414"/>
      <c r="AD26" s="2414"/>
      <c r="AE26" s="2414"/>
      <c r="AF26" s="2414"/>
      <c r="AG26" s="2414"/>
      <c r="AH26" s="2414"/>
      <c r="AI26" s="2414"/>
      <c r="AJ26" s="2414"/>
      <c r="AK26" s="1521"/>
    </row>
    <row customHeight="1" ht="14.25">
      <c r="Q27" s="602"/>
      <c r="R27" s="602"/>
      <c r="S27" s="2415" t="str">
        <f>IF(org=0,"Не определено",org)</f>
        <v>ООО "СамРЭК-Тепло Жигулевск"</v>
      </c>
      <c r="T27" s="2415"/>
      <c r="U27" s="2415"/>
      <c r="V27" s="2415"/>
      <c r="W27" s="2415"/>
      <c r="X27" s="2415"/>
      <c r="Y27" s="2415"/>
      <c r="Z27" s="2415"/>
      <c r="AA27" s="2415"/>
      <c r="AB27" s="2415"/>
      <c r="AC27" s="2415"/>
      <c r="AD27" s="2415"/>
      <c r="AE27" s="2415"/>
      <c r="AF27" s="2415"/>
      <c r="AG27" s="2415"/>
      <c r="AH27" s="2415"/>
      <c r="AI27" s="2415"/>
      <c r="AJ27" s="2415"/>
      <c r="AK27" s="1521"/>
    </row>
    <row customHeight="1" ht="14.25" hidden="1">
      <c r="Q28" s="602"/>
      <c r="R28" s="602"/>
      <c r="S28" s="1565"/>
      <c r="T28" s="586"/>
      <c r="U28" s="586"/>
      <c r="V28" s="541"/>
      <c r="W28" s="541"/>
      <c r="X28" s="541"/>
      <c r="Y28" s="541"/>
      <c r="Z28" s="541"/>
      <c r="AA28" s="541"/>
      <c r="AB28" s="541"/>
      <c r="AC28" s="541"/>
      <c r="AD28" s="541"/>
      <c r="AE28" s="541"/>
      <c r="AF28" s="541"/>
      <c r="AG28" s="541"/>
      <c r="AH28" s="541"/>
      <c r="AI28" s="541"/>
      <c r="AJ28" s="541"/>
      <c r="AK28" s="541"/>
      <c r="AL28" s="746"/>
    </row>
    <row s="10859" customFormat="1" customHeight="1" ht="25.5" hidden="1">
      <c r="A29" s="1664"/>
      <c r="B29" s="1664"/>
      <c r="C29" s="1664"/>
      <c r="D29" s="1664"/>
      <c r="E29" s="1664"/>
      <c r="F29" s="1664"/>
      <c r="G29" s="1664"/>
      <c r="H29" s="1664"/>
      <c r="I29" s="1664"/>
      <c r="J29" s="1664"/>
      <c r="K29" s="1664"/>
      <c r="L29" s="1665"/>
      <c r="M29" s="1664"/>
      <c r="N29" s="1664"/>
      <c r="O29" s="1664"/>
      <c r="S29" s="2416" t="s">
        <v>39</v>
      </c>
      <c r="T29" s="2416"/>
      <c r="U29" s="1668"/>
      <c r="V29" s="2417" t="str">
        <f>IF(TITLE_NAME_OR_PR_CHANGE="",IF(TITLE_NAME_OR_PR="","",TITLE_NAME_OR_PR),TITLE_NAME_OR_PR_CHANGE)</f>
        <v/>
      </c>
      <c r="W29" s="2417"/>
      <c r="X29" s="2417"/>
      <c r="Y29" s="2417"/>
      <c r="Z29" s="2417"/>
      <c r="AA29" s="2417"/>
      <c r="AB29" s="2417"/>
      <c r="AC29" s="547"/>
      <c r="AD29" s="2417" t="str">
        <f>IF(TITLE_NAME_OR_PR_CHANGE="",IF(TITLE_NAME_OR_PR="","",TITLE_NAME_OR_PR),TITLE_NAME_OR_PR_CHANGE)</f>
        <v/>
      </c>
      <c r="AE29" s="2417"/>
      <c r="AF29" s="2417"/>
      <c r="AG29" s="2417"/>
      <c r="AH29" s="2417"/>
      <c r="AI29" s="2417"/>
      <c r="AJ29" s="2417"/>
      <c r="AK29" s="547"/>
      <c r="AL29" s="547"/>
      <c r="AM29" s="490"/>
      <c r="AN29" s="593"/>
      <c r="AO29" s="593"/>
      <c r="AP29" s="593"/>
      <c r="AQ29" s="593"/>
      <c r="AR29" s="593"/>
    </row>
    <row s="10859" customFormat="1" customHeight="1" ht="18.75" hidden="1">
      <c r="A30" s="1664"/>
      <c r="B30" s="1664"/>
      <c r="C30" s="1664"/>
      <c r="D30" s="1664"/>
      <c r="E30" s="1664"/>
      <c r="F30" s="1664"/>
      <c r="G30" s="1664"/>
      <c r="H30" s="1664"/>
      <c r="I30" s="1664"/>
      <c r="J30" s="1664"/>
      <c r="K30" s="1664"/>
      <c r="L30" s="1665"/>
      <c r="M30" s="1664"/>
      <c r="N30" s="1664"/>
      <c r="O30" s="1664"/>
      <c r="S30" s="2416" t="s">
        <v>1540</v>
      </c>
      <c r="T30" s="2416"/>
      <c r="U30" s="1668"/>
      <c r="V30" s="2417" t="str">
        <f>IF(TITLE_DATE_CHANGE_PERIOD="",IF(TITLE_DATE_PR="","",TITLE_DATE_PR),TITLE_DATE_CHANGE_PERIOD)</f>
        <v/>
      </c>
      <c r="W30" s="2417"/>
      <c r="X30" s="2417"/>
      <c r="Y30" s="2417"/>
      <c r="Z30" s="2417"/>
      <c r="AA30" s="2417"/>
      <c r="AB30" s="2417"/>
      <c r="AC30" s="547"/>
      <c r="AD30" s="2417" t="str">
        <f>IF(TITLE_DATE_CHANGE_PERIOD="",IF(TITLE_DATE_PR="","",TITLE_DATE_PR),TITLE_DATE_CHANGE_PERIOD)</f>
        <v/>
      </c>
      <c r="AE30" s="2417"/>
      <c r="AF30" s="2417"/>
      <c r="AG30" s="2417"/>
      <c r="AH30" s="2417"/>
      <c r="AI30" s="2417"/>
      <c r="AJ30" s="2417"/>
      <c r="AK30" s="547"/>
      <c r="AL30" s="547"/>
      <c r="AM30" s="490"/>
      <c r="AN30" s="593"/>
      <c r="AO30" s="593"/>
      <c r="AP30" s="593"/>
      <c r="AQ30" s="593"/>
      <c r="AR30" s="593"/>
    </row>
    <row s="10859" customFormat="1" customHeight="1" ht="18.75" hidden="1">
      <c r="A31" s="1664"/>
      <c r="B31" s="1664"/>
      <c r="C31" s="1664"/>
      <c r="D31" s="1664"/>
      <c r="E31" s="1664"/>
      <c r="F31" s="1664"/>
      <c r="G31" s="1664"/>
      <c r="H31" s="1664"/>
      <c r="I31" s="1664"/>
      <c r="J31" s="1664"/>
      <c r="K31" s="1664"/>
      <c r="L31" s="1665"/>
      <c r="M31" s="1664"/>
      <c r="N31" s="1664"/>
      <c r="O31" s="1664"/>
      <c r="S31" s="2416" t="s">
        <v>1541</v>
      </c>
      <c r="T31" s="2416"/>
      <c r="U31" s="1668"/>
      <c r="V31" s="2417" t="str">
        <f>IF(TITLE_NUMBER_PR_CHANGE="",IF(TITLE_NUMBER_PR="","",TITLE_NUMBER_PR),TITLE_NUMBER_PR_CHANGE)</f>
        <v/>
      </c>
      <c r="W31" s="2417"/>
      <c r="X31" s="2417"/>
      <c r="Y31" s="2417"/>
      <c r="Z31" s="2417"/>
      <c r="AA31" s="2417"/>
      <c r="AB31" s="2417"/>
      <c r="AC31" s="547"/>
      <c r="AD31" s="2417" t="str">
        <f>IF(TITLE_NUMBER_PR_CHANGE="",IF(TITLE_NUMBER_PR="","",TITLE_NUMBER_PR),TITLE_NUMBER_PR_CHANGE)</f>
        <v/>
      </c>
      <c r="AE31" s="2417"/>
      <c r="AF31" s="2417"/>
      <c r="AG31" s="2417"/>
      <c r="AH31" s="2417"/>
      <c r="AI31" s="2417"/>
      <c r="AJ31" s="2417"/>
      <c r="AK31" s="547"/>
      <c r="AL31" s="547"/>
      <c r="AM31" s="490"/>
      <c r="AN31" s="593"/>
      <c r="AO31" s="593"/>
      <c r="AP31" s="593"/>
      <c r="AQ31" s="593"/>
      <c r="AR31" s="593"/>
    </row>
    <row s="10859" customFormat="1" customHeight="1" ht="18.75" hidden="1">
      <c r="A32" s="1664"/>
      <c r="B32" s="1664"/>
      <c r="C32" s="1664"/>
      <c r="D32" s="1664"/>
      <c r="E32" s="1664"/>
      <c r="F32" s="1664"/>
      <c r="G32" s="1664"/>
      <c r="H32" s="1664"/>
      <c r="I32" s="1664"/>
      <c r="J32" s="1664"/>
      <c r="K32" s="1664"/>
      <c r="L32" s="1665"/>
      <c r="M32" s="1664"/>
      <c r="N32" s="1664"/>
      <c r="O32" s="1664"/>
      <c r="S32" s="2416" t="s">
        <v>40</v>
      </c>
      <c r="T32" s="2416"/>
      <c r="U32" s="1668"/>
      <c r="V32" s="2417" t="str">
        <f>IF(TITLE_IST_PUB_CHANGE="",IF(TITLE_IST_PUB="","",TITLE_IST_PUB),TITLE_IST_PUB_CHANGE)</f>
        <v/>
      </c>
      <c r="W32" s="2417"/>
      <c r="X32" s="2417"/>
      <c r="Y32" s="2417"/>
      <c r="Z32" s="2417"/>
      <c r="AA32" s="2417"/>
      <c r="AB32" s="2417"/>
      <c r="AC32" s="547"/>
      <c r="AD32" s="2417" t="str">
        <f>IF(TITLE_IST_PUB_CHANGE="",IF(TITLE_IST_PUB="","",TITLE_IST_PUB),TITLE_IST_PUB_CHANGE)</f>
        <v/>
      </c>
      <c r="AE32" s="2417"/>
      <c r="AF32" s="2417"/>
      <c r="AG32" s="2417"/>
      <c r="AH32" s="2417"/>
      <c r="AI32" s="2417"/>
      <c r="AJ32" s="2417"/>
      <c r="AK32" s="547"/>
      <c r="AL32" s="547"/>
      <c r="AM32" s="490"/>
      <c r="AN32" s="593"/>
      <c r="AO32" s="593"/>
      <c r="AP32" s="593"/>
      <c r="AQ32" s="593"/>
      <c r="AR32" s="593"/>
    </row>
    <row customHeight="1" ht="14.25" hidden="1">
      <c r="Q33" s="602"/>
      <c r="R33" s="602"/>
      <c r="S33" s="1565"/>
      <c r="T33" s="586"/>
      <c r="U33" s="586"/>
      <c r="V33" s="541"/>
      <c r="W33" s="541"/>
      <c r="X33" s="541"/>
      <c r="Y33" s="541"/>
      <c r="Z33" s="541"/>
      <c r="AA33" s="541"/>
      <c r="AB33" s="541"/>
      <c r="AC33" s="541"/>
      <c r="AD33" s="541"/>
      <c r="AE33" s="541"/>
      <c r="AF33" s="541"/>
      <c r="AG33" s="541"/>
      <c r="AH33" s="541"/>
      <c r="AI33" s="541"/>
      <c r="AJ33" s="541"/>
      <c r="AK33" s="541"/>
      <c r="AL33" s="746"/>
    </row>
    <row s="10859" customFormat="1" customHeight="1" ht="18.75" hidden="1">
      <c r="A34" s="1664"/>
      <c r="B34" s="1664"/>
      <c r="C34" s="1664"/>
      <c r="D34" s="1664"/>
      <c r="E34" s="1664"/>
      <c r="F34" s="1664"/>
      <c r="G34" s="1664"/>
      <c r="H34" s="1664"/>
      <c r="I34" s="1664"/>
      <c r="J34" s="1664"/>
      <c r="K34" s="1664"/>
      <c r="L34" s="1665"/>
      <c r="M34" s="1664"/>
      <c r="N34" s="1664"/>
      <c r="O34" s="1664"/>
      <c r="S34" s="2416" t="s">
        <v>1542</v>
      </c>
      <c r="T34" s="2416"/>
      <c r="U34" s="1668"/>
      <c r="V34" s="2417" t="str">
        <f>IF(TITLE_DATE_CHANGE_PERIOD="",IF(TITLE_DATE_PR="","",TITLE_DATE_PR),TITLE_DATE_CHANGE_PERIOD)</f>
        <v/>
      </c>
      <c r="W34" s="2417"/>
      <c r="X34" s="2417"/>
      <c r="Y34" s="2417"/>
      <c r="Z34" s="2417"/>
      <c r="AA34" s="2417"/>
      <c r="AB34" s="2417"/>
      <c r="AC34" s="547"/>
      <c r="AD34" s="2417" t="str">
        <f>IF(TITLE_DATE_CHANGE_PERIOD="",IF(TITLE_DATE_PR="","",TITLE_DATE_PR),TITLE_DATE_CHANGE_PERIOD)</f>
        <v/>
      </c>
      <c r="AE34" s="2417"/>
      <c r="AF34" s="2417"/>
      <c r="AG34" s="2417"/>
      <c r="AH34" s="2417"/>
      <c r="AI34" s="2417"/>
      <c r="AJ34" s="2417"/>
      <c r="AK34" s="547"/>
      <c r="AL34" s="547"/>
      <c r="AM34" s="490"/>
      <c r="AN34" s="593"/>
      <c r="AO34" s="593"/>
      <c r="AP34" s="593"/>
      <c r="AQ34" s="593"/>
      <c r="AR34" s="593"/>
    </row>
    <row s="10859" customFormat="1" customHeight="1" ht="18.75" hidden="1">
      <c r="A35" s="1664"/>
      <c r="B35" s="1664"/>
      <c r="C35" s="1664"/>
      <c r="D35" s="1664"/>
      <c r="E35" s="1664"/>
      <c r="F35" s="1664"/>
      <c r="G35" s="1664"/>
      <c r="H35" s="1664"/>
      <c r="I35" s="1664"/>
      <c r="J35" s="1664"/>
      <c r="K35" s="1664"/>
      <c r="L35" s="1665"/>
      <c r="M35" s="1664"/>
      <c r="N35" s="1664"/>
      <c r="O35" s="1664"/>
      <c r="S35" s="2416" t="s">
        <v>1543</v>
      </c>
      <c r="T35" s="2416"/>
      <c r="U35" s="1668"/>
      <c r="V35" s="2417" t="str">
        <f>IF(TITLE_NUMBER_PR_CHANGE="",IF(TITLE_NUMBER_PR="","",TITLE_NUMBER_PR),TITLE_NUMBER_PR_CHANGE)</f>
        <v/>
      </c>
      <c r="W35" s="2417"/>
      <c r="X35" s="2417"/>
      <c r="Y35" s="2417"/>
      <c r="Z35" s="2417"/>
      <c r="AA35" s="2417"/>
      <c r="AB35" s="2417"/>
      <c r="AC35" s="547"/>
      <c r="AD35" s="2417" t="str">
        <f>IF(TITLE_NUMBER_PR_CHANGE="",IF(TITLE_NUMBER_PR="","",TITLE_NUMBER_PR),TITLE_NUMBER_PR_CHANGE)</f>
        <v/>
      </c>
      <c r="AE35" s="2417"/>
      <c r="AF35" s="2417"/>
      <c r="AG35" s="2417"/>
      <c r="AH35" s="2417"/>
      <c r="AI35" s="2417"/>
      <c r="AJ35" s="2417"/>
      <c r="AK35" s="547"/>
      <c r="AL35" s="547"/>
      <c r="AM35" s="490"/>
      <c r="AN35" s="593"/>
      <c r="AO35" s="593"/>
      <c r="AP35" s="593"/>
      <c r="AQ35" s="593"/>
      <c r="AR35" s="593"/>
    </row>
    <row s="10859" customFormat="1" customHeight="1" ht="0">
      <c r="A36" s="1664"/>
      <c r="B36" s="1664"/>
      <c r="C36" s="1664"/>
      <c r="D36" s="1664"/>
      <c r="E36" s="1664"/>
      <c r="F36" s="1664"/>
      <c r="G36" s="1664"/>
      <c r="H36" s="1664"/>
      <c r="I36" s="1664"/>
      <c r="J36" s="1664"/>
      <c r="K36" s="1664"/>
      <c r="L36" s="1665"/>
      <c r="M36" s="1664"/>
      <c r="N36" s="1664"/>
      <c r="O36" s="1664"/>
      <c r="S36" s="543"/>
      <c r="T36" s="543"/>
      <c r="U36" s="1635"/>
      <c r="V36" s="547"/>
      <c r="W36" s="547"/>
      <c r="X36" s="547"/>
      <c r="Y36" s="547"/>
      <c r="Z36" s="547"/>
      <c r="AA36" s="547"/>
      <c r="AB36" s="547"/>
      <c r="AC36" s="488" t="s">
        <v>1544</v>
      </c>
      <c r="AD36" s="547"/>
      <c r="AE36" s="547"/>
      <c r="AF36" s="547"/>
      <c r="AG36" s="547"/>
      <c r="AH36" s="547"/>
      <c r="AI36" s="547"/>
      <c r="AJ36" s="547"/>
      <c r="AK36" s="488" t="s">
        <v>1544</v>
      </c>
      <c r="AN36" s="593"/>
      <c r="AO36" s="593"/>
      <c r="AP36" s="593"/>
      <c r="AQ36" s="593"/>
      <c r="AR36" s="593"/>
    </row>
    <row customHeight="1" ht="14.25">
      <c r="Q37" s="602"/>
      <c r="R37" s="602"/>
      <c r="S37" s="1565"/>
      <c r="T37" s="586"/>
      <c r="U37" s="1522"/>
      <c r="V37" s="2418"/>
      <c r="W37" s="2418"/>
      <c r="X37" s="2418"/>
      <c r="Y37" s="2418"/>
      <c r="Z37" s="2418"/>
      <c r="AA37" s="2418"/>
      <c r="AB37" s="2418"/>
      <c r="AC37" s="2418"/>
      <c r="AD37" s="2418"/>
      <c r="AE37" s="2418"/>
      <c r="AF37" s="2418"/>
      <c r="AG37" s="2418"/>
      <c r="AH37" s="2418"/>
      <c r="AI37" s="2418"/>
      <c r="AJ37" s="2418"/>
      <c r="AK37" s="2418"/>
    </row>
    <row customHeight="1" ht="14.25">
      <c r="Q38" s="602"/>
      <c r="R38" s="602"/>
      <c r="S38" s="2277" t="s">
        <v>362</v>
      </c>
      <c r="T38" s="2277"/>
      <c r="U38" s="2277"/>
      <c r="V38" s="2277"/>
      <c r="W38" s="2277"/>
      <c r="X38" s="2277"/>
      <c r="Y38" s="2277"/>
      <c r="Z38" s="2277"/>
      <c r="AA38" s="2277"/>
      <c r="AB38" s="2277"/>
      <c r="AC38" s="2277"/>
      <c r="AD38" s="2277"/>
      <c r="AE38" s="2277"/>
      <c r="AF38" s="2277"/>
      <c r="AG38" s="2277"/>
      <c r="AH38" s="2277"/>
      <c r="AI38" s="2277"/>
      <c r="AJ38" s="2277"/>
      <c r="AK38" s="2277"/>
      <c r="AL38" s="2277"/>
      <c r="AM38" s="2277" t="s">
        <v>363</v>
      </c>
    </row>
    <row customHeight="1" ht="14.25">
      <c r="Q39" s="602"/>
      <c r="R39" s="602"/>
      <c r="S39" s="2440" t="s">
        <v>88</v>
      </c>
      <c r="T39" s="2301" t="s">
        <v>1545</v>
      </c>
      <c r="U39" s="511"/>
      <c r="V39" s="2441" t="s">
        <v>1546</v>
      </c>
      <c r="W39" s="2442"/>
      <c r="X39" s="2442"/>
      <c r="Y39" s="2442"/>
      <c r="Z39" s="2442"/>
      <c r="AA39" s="2442"/>
      <c r="AB39" s="2443"/>
      <c r="AC39" s="2444" t="s">
        <v>1547</v>
      </c>
      <c r="AD39" s="2441" t="s">
        <v>1546</v>
      </c>
      <c r="AE39" s="2442"/>
      <c r="AF39" s="2442"/>
      <c r="AG39" s="2442"/>
      <c r="AH39" s="2442"/>
      <c r="AI39" s="2442"/>
      <c r="AJ39" s="2443"/>
      <c r="AK39" s="2444" t="s">
        <v>1548</v>
      </c>
      <c r="AL39" s="2447" t="s">
        <v>1549</v>
      </c>
      <c r="AM39" s="2277"/>
    </row>
    <row customHeight="1" ht="33.75">
      <c r="Q40" s="602"/>
      <c r="R40" s="602"/>
      <c r="S40" s="2440"/>
      <c r="T40" s="2301"/>
      <c r="U40" s="1289"/>
      <c r="V40" s="2426" t="s">
        <v>1550</v>
      </c>
      <c r="W40" s="2450"/>
      <c r="X40" s="2428" t="s">
        <v>1552</v>
      </c>
      <c r="Y40" s="2429"/>
      <c r="Z40" s="2434" t="s">
        <v>1553</v>
      </c>
      <c r="AA40" s="2435"/>
      <c r="AB40" s="2436"/>
      <c r="AC40" s="2445"/>
      <c r="AD40" s="2426" t="s">
        <v>1550</v>
      </c>
      <c r="AE40" s="2450"/>
      <c r="AF40" s="2428" t="s">
        <v>1552</v>
      </c>
      <c r="AG40" s="2429"/>
      <c r="AH40" s="2434" t="s">
        <v>1553</v>
      </c>
      <c r="AI40" s="2435"/>
      <c r="AJ40" s="2436"/>
      <c r="AK40" s="2445"/>
      <c r="AL40" s="2448"/>
      <c r="AM40" s="2277"/>
    </row>
    <row customHeight="1" ht="33.75">
      <c r="A41" s="1666"/>
      <c r="B41" s="1666" t="s">
        <v>212</v>
      </c>
      <c r="C41" s="1666" t="s">
        <v>213</v>
      </c>
      <c r="D41" s="1666" t="s">
        <v>214</v>
      </c>
      <c r="E41" s="1660" t="s">
        <v>1554</v>
      </c>
      <c r="F41" s="1660" t="s">
        <v>1555</v>
      </c>
      <c r="G41" s="1660" t="s">
        <v>1556</v>
      </c>
      <c r="H41" s="1660" t="s">
        <v>1557</v>
      </c>
      <c r="I41" s="1660" t="s">
        <v>1558</v>
      </c>
      <c r="J41" s="1660" t="s">
        <v>1559</v>
      </c>
      <c r="K41" s="1660" t="s">
        <v>1560</v>
      </c>
      <c r="L41" s="1660" t="s">
        <v>1535</v>
      </c>
      <c r="Q41" s="602"/>
      <c r="R41" s="602"/>
      <c r="S41" s="2440"/>
      <c r="T41" s="2301"/>
      <c r="U41" s="512"/>
      <c r="V41" s="2427"/>
      <c r="W41" s="2451"/>
      <c r="X41" s="1497" t="s">
        <v>1561</v>
      </c>
      <c r="Y41" s="1497" t="s">
        <v>1562</v>
      </c>
      <c r="Z41" s="1633" t="s">
        <v>1563</v>
      </c>
      <c r="AA41" s="2437" t="s">
        <v>1564</v>
      </c>
      <c r="AB41" s="2438"/>
      <c r="AC41" s="2446"/>
      <c r="AD41" s="2427"/>
      <c r="AE41" s="2451"/>
      <c r="AF41" s="1497" t="s">
        <v>1561</v>
      </c>
      <c r="AG41" s="1497" t="s">
        <v>1562</v>
      </c>
      <c r="AH41" s="1633" t="s">
        <v>1563</v>
      </c>
      <c r="AI41" s="2437" t="s">
        <v>1564</v>
      </c>
      <c r="AJ41" s="2438"/>
      <c r="AK41" s="2446"/>
      <c r="AL41" s="2449"/>
      <c r="AM41" s="2277"/>
    </row>
    <row s="10822" customFormat="1" customHeight="1" ht="11.25" hidden="1">
      <c r="A42" s="1666"/>
      <c r="B42" s="1666"/>
      <c r="C42" s="1666"/>
      <c r="D42" s="1666"/>
      <c r="E42" s="1666"/>
      <c r="F42" s="1666"/>
      <c r="G42" s="1666"/>
      <c r="H42" s="1666"/>
      <c r="I42" s="1666"/>
      <c r="J42" s="1666"/>
      <c r="K42" s="1666"/>
      <c r="L42" s="1660"/>
      <c r="M42" s="1658"/>
      <c r="N42" s="1658"/>
      <c r="O42" s="1658"/>
      <c r="P42" s="1524"/>
      <c r="Q42" s="1525"/>
      <c r="R42" s="1540">
        <v>1</v>
      </c>
      <c r="S42" s="1567" t="s">
        <v>109</v>
      </c>
      <c r="T42" s="1541" t="s">
        <v>110</v>
      </c>
      <c r="U42" s="1523" t="str">
        <f>OFFSET(U42,0,-1)</f>
        <v>2</v>
      </c>
      <c r="V42" s="1630">
        <f>OFFSET(V42,0,-1)+1</f>
        <v>3</v>
      </c>
      <c r="W42" s="1630"/>
      <c r="X42" s="1630">
        <f>OFFSET(X42,0,-1)+1</f>
        <v>1</v>
      </c>
      <c r="Y42" s="1630">
        <f>OFFSET(Y42,0,-1)+1</f>
        <v>2</v>
      </c>
      <c r="Z42" s="1630">
        <f>OFFSET(Z42,0,-1)+1</f>
        <v>3</v>
      </c>
      <c r="AA42" s="2439">
        <f>OFFSET(AA42,0,-1)+1</f>
        <v>4</v>
      </c>
      <c r="AB42" s="2439"/>
      <c r="AC42" s="1630">
        <f>OFFSET(AC42,0,-2)+1</f>
        <v>5</v>
      </c>
      <c r="AD42" s="1630">
        <f>OFFSET(AD42,0,-1)+1</f>
        <v>6</v>
      </c>
      <c r="AE42" s="1630"/>
      <c r="AF42" s="1630">
        <f>OFFSET(AF42,0,-1)+1</f>
        <v>1</v>
      </c>
      <c r="AG42" s="1630">
        <f>OFFSET(AG42,0,-1)+1</f>
        <v>2</v>
      </c>
      <c r="AH42" s="1630">
        <f>OFFSET(AH42,0,-1)+1</f>
        <v>3</v>
      </c>
      <c r="AI42" s="2439">
        <f>OFFSET(AI42,0,-1)+1</f>
        <v>4</v>
      </c>
      <c r="AJ42" s="2439"/>
      <c r="AK42" s="1630">
        <f>OFFSET(AK42,0,-2)+1</f>
        <v>5</v>
      </c>
      <c r="AL42" s="1523">
        <f>OFFSET(AL42,0,-1)</f>
        <v>5</v>
      </c>
      <c r="AM42" s="1630">
        <f>OFFSET(AM42,0,-1)+1</f>
        <v>6</v>
      </c>
      <c r="AN42" s="748"/>
      <c r="AO42" s="748"/>
      <c r="AP42" s="748"/>
      <c r="AQ42" s="748"/>
      <c r="AR42" s="748"/>
    </row>
    <row customHeight="1" ht="21">
      <c r="A43" s="1659" t="s">
        <v>241</v>
      </c>
      <c r="B43" s="1659"/>
      <c r="C43" s="1659"/>
      <c r="D43" s="1659"/>
      <c r="E43" s="2424">
        <v>1</v>
      </c>
      <c r="F43" s="1659"/>
      <c r="G43" s="1659"/>
      <c r="H43" s="1659"/>
      <c r="I43" s="1659"/>
      <c r="J43" s="1659"/>
      <c r="K43" s="1659"/>
      <c r="L43" s="1660"/>
      <c r="M43" s="1661"/>
      <c r="N43" s="1661"/>
      <c r="O43" s="1661"/>
      <c r="P43" s="582"/>
      <c r="Q43" s="581"/>
      <c r="R43" s="576"/>
      <c r="S43" s="1631">
        <f>INDEX(PT_DIFFERENTIATION_NUM_NTAR,MATCH(A43,PT_DIFFERENTIATION_NTAR_ID,0))</f>
        <v>0</v>
      </c>
      <c r="T43" s="508" t="s">
        <v>200</v>
      </c>
      <c r="U43" s="510"/>
      <c r="V43" s="4037"/>
      <c r="W43" s="4038"/>
      <c r="X43" s="4038"/>
      <c r="Y43" s="4038"/>
      <c r="Z43" s="4038"/>
      <c r="AA43" s="4038"/>
      <c r="AB43" s="4038"/>
      <c r="AC43" s="4039"/>
      <c r="AD43" s="4037" t="str">
        <f>INDEX(PT_DIFFERENTIATION_NTAR,MATCH(A43,PT_DIFFERENTIATION_NTAR_ID,0))</f>
        <v/>
      </c>
      <c r="AE43" s="4038"/>
      <c r="AF43" s="4038"/>
      <c r="AG43" s="4038"/>
      <c r="AH43" s="4038"/>
      <c r="AI43" s="4038"/>
      <c r="AJ43" s="4038"/>
      <c r="AK43" s="4038"/>
      <c r="AL43" s="4039"/>
      <c r="AM43" s="1546" t="s">
        <v>1516</v>
      </c>
      <c r="AO43" s="737"/>
      <c r="AP43" s="737" t="str">
        <f>IF(T43="","",T43)</f>
        <v>Наименование тарифа</v>
      </c>
      <c r="AQ43" s="737"/>
      <c r="AR43" s="737"/>
    </row>
    <row customHeight="1" ht="21">
      <c r="A44" s="1659" t="s">
        <v>241</v>
      </c>
      <c r="B44" s="1659" t="s">
        <v>242</v>
      </c>
      <c r="C44" s="1659"/>
      <c r="D44" s="1659"/>
      <c r="E44" s="2425"/>
      <c r="F44" s="2424">
        <v>1</v>
      </c>
      <c r="G44" s="1659"/>
      <c r="H44" s="1659"/>
      <c r="I44" s="1659"/>
      <c r="J44" s="1659"/>
      <c r="K44" s="1659"/>
      <c r="L44" s="1660"/>
      <c r="M44" s="1661"/>
      <c r="N44" s="1661"/>
      <c r="O44" s="1661"/>
      <c r="P44" s="1627"/>
      <c r="Q44" s="573"/>
      <c r="R44" s="574"/>
      <c r="S44" s="1631" t="str">
        <f>INDEX(PT_DIFFERENTIATION_NUM_TER,MATCH(B44,PT_DIFFERENTIATION_TER_ID,0))</f>
        <v>.</v>
      </c>
      <c r="T44" s="520" t="s">
        <v>1517</v>
      </c>
      <c r="U44" s="510"/>
      <c r="V44" s="4037"/>
      <c r="W44" s="4038"/>
      <c r="X44" s="4038"/>
      <c r="Y44" s="4038"/>
      <c r="Z44" s="4038"/>
      <c r="AA44" s="4038"/>
      <c r="AB44" s="4038"/>
      <c r="AC44" s="4039"/>
      <c r="AD44" s="4037" t="str">
        <f>INDEX(PT_DIFFERENTIATION_TER,MATCH(B44,PT_DIFFERENTIATION_TER_ID,0))</f>
        <v/>
      </c>
      <c r="AE44" s="4038"/>
      <c r="AF44" s="4038"/>
      <c r="AG44" s="4038"/>
      <c r="AH44" s="4038"/>
      <c r="AI44" s="4038"/>
      <c r="AJ44" s="4038"/>
      <c r="AK44" s="4038"/>
      <c r="AL44" s="4039"/>
      <c r="AM44" s="1546" t="s">
        <v>1518</v>
      </c>
      <c r="AO44" s="737"/>
      <c r="AP44" s="737" t="str">
        <f>IF(T44="","",T44)</f>
        <v>Территория действия тарифа</v>
      </c>
      <c r="AQ44" s="737"/>
      <c r="AR44" s="737"/>
    </row>
    <row customHeight="1" ht="23.25">
      <c r="A45" s="1659" t="s">
        <v>241</v>
      </c>
      <c r="B45" s="1659" t="s">
        <v>242</v>
      </c>
      <c r="C45" s="1659" t="s">
        <v>243</v>
      </c>
      <c r="D45" s="1659"/>
      <c r="E45" s="2425"/>
      <c r="F45" s="2425"/>
      <c r="G45" s="2424">
        <v>1</v>
      </c>
      <c r="H45" s="1659"/>
      <c r="I45" s="1659"/>
      <c r="J45" s="1659"/>
      <c r="K45" s="1659"/>
      <c r="L45" s="1660"/>
      <c r="M45" s="1661"/>
      <c r="N45" s="1661"/>
      <c r="O45" s="1661"/>
      <c r="P45" s="575"/>
      <c r="Q45" s="573"/>
      <c r="R45" s="574"/>
      <c r="S45" s="1631" t="str">
        <f>INDEX(PT_DIFFERENTIATION_NUM_CS,MATCH(C45,PT_DIFFERENTIATION_CS_ID,0))</f>
        <v>..</v>
      </c>
      <c r="T45" s="521" t="s">
        <v>1519</v>
      </c>
      <c r="U45" s="510"/>
      <c r="V45" s="4037"/>
      <c r="W45" s="4038"/>
      <c r="X45" s="4038"/>
      <c r="Y45" s="4038"/>
      <c r="Z45" s="4038"/>
      <c r="AA45" s="4038"/>
      <c r="AB45" s="4038"/>
      <c r="AC45" s="4039"/>
      <c r="AD45" s="4037" t="str">
        <f>INDEX(PT_DIFFERENTIATION_CS,MATCH(C45,PT_DIFFERENTIATION_CS_ID,0))</f>
        <v/>
      </c>
      <c r="AE45" s="4038"/>
      <c r="AF45" s="4038"/>
      <c r="AG45" s="4038"/>
      <c r="AH45" s="4038"/>
      <c r="AI45" s="4038"/>
      <c r="AJ45" s="4038"/>
      <c r="AK45" s="4038"/>
      <c r="AL45" s="4039"/>
      <c r="AM45" s="1546" t="s">
        <v>1520</v>
      </c>
      <c r="AO45" s="737"/>
      <c r="AP45" s="737" t="str">
        <f>IF(T45="","",T45)</f>
        <v>Наименование системы теплоснабжения </v>
      </c>
      <c r="AQ45" s="737"/>
      <c r="AR45" s="737"/>
    </row>
    <row customHeight="1" ht="21">
      <c r="A46" s="1659" t="s">
        <v>241</v>
      </c>
      <c r="B46" s="1659" t="s">
        <v>242</v>
      </c>
      <c r="C46" s="1659" t="s">
        <v>243</v>
      </c>
      <c r="D46" s="1659" t="s">
        <v>244</v>
      </c>
      <c r="E46" s="2425"/>
      <c r="F46" s="2425"/>
      <c r="G46" s="2425"/>
      <c r="H46" s="2424">
        <v>1</v>
      </c>
      <c r="I46" s="1659"/>
      <c r="J46" s="1659"/>
      <c r="K46" s="1659"/>
      <c r="L46" s="1660"/>
      <c r="M46" s="1661"/>
      <c r="N46" s="1661"/>
      <c r="O46" s="1661"/>
      <c r="P46" s="575"/>
      <c r="Q46" s="573"/>
      <c r="R46" s="574"/>
      <c r="S46" s="1631" t="str">
        <f>INDEX(PT_DIFFERENTIATION_NUM_IST_TE,MATCH(D46,PT_DIFFERENTIATION_IST_TE_ID,0))</f>
        <v>...</v>
      </c>
      <c r="T46" s="522" t="s">
        <v>1521</v>
      </c>
      <c r="U46" s="510"/>
      <c r="V46" s="4037"/>
      <c r="W46" s="4038"/>
      <c r="X46" s="4038"/>
      <c r="Y46" s="4038"/>
      <c r="Z46" s="4038"/>
      <c r="AA46" s="4038"/>
      <c r="AB46" s="4038"/>
      <c r="AC46" s="4039"/>
      <c r="AD46" s="4037" t="str">
        <f>INDEX(PT_DIFFERENTIATION_IST_TE,MATCH(D46,PT_DIFFERENTIATION_IST_TE_ID,0))</f>
        <v/>
      </c>
      <c r="AE46" s="4038"/>
      <c r="AF46" s="4038"/>
      <c r="AG46" s="4038"/>
      <c r="AH46" s="4038"/>
      <c r="AI46" s="4038"/>
      <c r="AJ46" s="4038"/>
      <c r="AK46" s="4038"/>
      <c r="AL46" s="4039"/>
      <c r="AM46" s="1546" t="s">
        <v>1522</v>
      </c>
      <c r="AO46" s="737"/>
      <c r="AP46" s="737" t="str">
        <f>IF(T46="","",T46)</f>
        <v>Источник тепловой энергии  </v>
      </c>
      <c r="AQ46" s="737"/>
      <c r="AR46" s="737"/>
    </row>
    <row s="10863" customFormat="1" customHeight="1" ht="0">
      <c r="A47" s="1638" t="s">
        <v>241</v>
      </c>
      <c r="B47" s="1638" t="s">
        <v>242</v>
      </c>
      <c r="C47" s="1638" t="s">
        <v>243</v>
      </c>
      <c r="D47" s="1638" t="s">
        <v>244</v>
      </c>
      <c r="E47" s="2425"/>
      <c r="F47" s="2425"/>
      <c r="G47" s="2425"/>
      <c r="H47" s="2425"/>
      <c r="I47" s="2453" t="str">
        <f>S46&amp;".1"</f>
        <v>....1</v>
      </c>
      <c r="J47" s="1638"/>
      <c r="K47" s="1638"/>
      <c r="L47" s="1641" t="s">
        <v>1523</v>
      </c>
      <c r="M47" s="747"/>
      <c r="N47" s="747"/>
      <c r="O47" s="747"/>
      <c r="P47" s="2423">
        <v>1</v>
      </c>
      <c r="Q47" s="1626"/>
      <c r="R47" s="577"/>
      <c r="S47" s="1300"/>
      <c r="T47" s="1679"/>
      <c r="U47" s="1680"/>
      <c r="V47" s="2463"/>
      <c r="W47" s="2464"/>
      <c r="X47" s="2464"/>
      <c r="Y47" s="2464"/>
      <c r="Z47" s="2464"/>
      <c r="AA47" s="2464"/>
      <c r="AB47" s="2464"/>
      <c r="AC47" s="2465"/>
      <c r="AD47" s="2463"/>
      <c r="AE47" s="2464"/>
      <c r="AF47" s="2464"/>
      <c r="AG47" s="2464"/>
      <c r="AH47" s="2464"/>
      <c r="AI47" s="2464"/>
      <c r="AJ47" s="2464"/>
      <c r="AK47" s="2464"/>
      <c r="AL47" s="2465"/>
      <c r="AM47" s="1681"/>
      <c r="AO47" s="737"/>
      <c r="AP47" s="737" t="str">
        <f>IF(T47="","",T47)</f>
        <v/>
      </c>
      <c r="AQ47" s="737"/>
      <c r="AR47" s="737"/>
    </row>
    <row customHeight="1" ht="21">
      <c r="A48" s="1659" t="s">
        <v>241</v>
      </c>
      <c r="B48" s="1659" t="s">
        <v>242</v>
      </c>
      <c r="C48" s="1659" t="s">
        <v>243</v>
      </c>
      <c r="D48" s="1659" t="s">
        <v>244</v>
      </c>
      <c r="E48" s="2425"/>
      <c r="F48" s="2425"/>
      <c r="G48" s="2425"/>
      <c r="H48" s="2425"/>
      <c r="I48" s="2454"/>
      <c r="J48" s="2422" t="str">
        <f>S46&amp;".1"</f>
        <v>....1</v>
      </c>
      <c r="K48" s="1659"/>
      <c r="L48" s="1660" t="s">
        <v>1526</v>
      </c>
      <c r="P48" s="2423"/>
      <c r="Q48" s="2423">
        <v>1</v>
      </c>
      <c r="R48" s="578"/>
      <c r="S48" s="1631" t="str">
        <f>$J48</f>
        <v>....1</v>
      </c>
      <c r="T48" s="496" t="s">
        <v>1527</v>
      </c>
      <c r="U48" s="510"/>
      <c r="V48" s="2411"/>
      <c r="W48" s="2412"/>
      <c r="X48" s="2412"/>
      <c r="Y48" s="2412"/>
      <c r="Z48" s="2412"/>
      <c r="AA48" s="2412"/>
      <c r="AB48" s="2412"/>
      <c r="AC48" s="2413"/>
      <c r="AD48" s="2411"/>
      <c r="AE48" s="2412"/>
      <c r="AF48" s="2412"/>
      <c r="AG48" s="2412"/>
      <c r="AH48" s="2412"/>
      <c r="AI48" s="2412"/>
      <c r="AJ48" s="2412"/>
      <c r="AK48" s="2412"/>
      <c r="AL48" s="2413"/>
      <c r="AM48" s="1546" t="s">
        <v>1528</v>
      </c>
      <c r="AO48" s="737"/>
      <c r="AP48" s="737" t="str">
        <f>IF(T48="","",T48)</f>
        <v>Группа потребителей</v>
      </c>
      <c r="AQ48" s="737"/>
      <c r="AR48" s="737"/>
    </row>
    <row customHeight="1" ht="21">
      <c r="A49" s="1659" t="s">
        <v>241</v>
      </c>
      <c r="B49" s="1659" t="s">
        <v>242</v>
      </c>
      <c r="C49" s="1659" t="s">
        <v>243</v>
      </c>
      <c r="D49" s="1659" t="s">
        <v>244</v>
      </c>
      <c r="E49" s="2425"/>
      <c r="F49" s="2425"/>
      <c r="G49" s="2425"/>
      <c r="H49" s="2425"/>
      <c r="I49" s="2454"/>
      <c r="J49" s="2455"/>
      <c r="K49" s="2422" t="str">
        <f>J48&amp;".1"</f>
        <v>....1.1</v>
      </c>
      <c r="L49" s="1660" t="s">
        <v>1529</v>
      </c>
      <c r="P49" s="2423"/>
      <c r="Q49" s="2423"/>
      <c r="R49" s="578">
        <v>1</v>
      </c>
      <c r="S49" s="1631" t="str">
        <f>$K49</f>
        <v>....1.1</v>
      </c>
      <c r="T49" s="1642"/>
      <c r="U49" s="510"/>
      <c r="V49" s="4065"/>
      <c r="W49" s="4066"/>
      <c r="X49" s="4065"/>
      <c r="Y49" s="4067"/>
      <c r="Z49" s="2430"/>
      <c r="AA49" s="2142" t="s">
        <v>67</v>
      </c>
      <c r="AB49" s="2430"/>
      <c r="AC49" s="2142" t="s">
        <v>67</v>
      </c>
      <c r="AD49" s="4065"/>
      <c r="AE49" s="4066"/>
      <c r="AF49" s="4065"/>
      <c r="AG49" s="4067"/>
      <c r="AH49" s="2430"/>
      <c r="AI49" s="2142" t="s">
        <v>67</v>
      </c>
      <c r="AJ49" s="2456"/>
      <c r="AK49" s="2142" t="s">
        <v>67</v>
      </c>
      <c r="AL49" s="4166"/>
      <c r="AM49" s="2419" t="s">
        <v>1573</v>
      </c>
      <c r="AN49" s="748">
        <f>STRCHECKDATE(V50:AL50)</f>
      </c>
      <c r="AO49" s="737"/>
      <c r="AP49" s="737" t="str">
        <f>IF(T49="","",T49)</f>
        <v/>
      </c>
      <c r="AQ49" s="737"/>
      <c r="AR49" s="737"/>
    </row>
    <row customHeight="1" ht="0.75">
      <c r="A50" s="1659" t="s">
        <v>241</v>
      </c>
      <c r="B50" s="1659" t="s">
        <v>242</v>
      </c>
      <c r="C50" s="1659" t="s">
        <v>243</v>
      </c>
      <c r="D50" s="1659" t="s">
        <v>244</v>
      </c>
      <c r="E50" s="2425"/>
      <c r="F50" s="2425"/>
      <c r="G50" s="2425"/>
      <c r="H50" s="2425"/>
      <c r="I50" s="2454"/>
      <c r="J50" s="2455"/>
      <c r="K50" s="2422"/>
      <c r="L50" s="1660"/>
      <c r="P50" s="2423"/>
      <c r="Q50" s="2423"/>
      <c r="R50" s="578"/>
      <c r="S50" s="1637"/>
      <c r="T50" s="510"/>
      <c r="U50" s="510"/>
      <c r="V50" s="4066"/>
      <c r="W50" s="4066"/>
      <c r="X50" s="4066"/>
      <c r="Y50" s="4071" t="str">
        <f>Z49&amp;"-"&amp;AB49</f>
        <v>-</v>
      </c>
      <c r="Z50" s="2431"/>
      <c r="AA50" s="2142"/>
      <c r="AB50" s="2431"/>
      <c r="AC50" s="2142"/>
      <c r="AD50" s="4066"/>
      <c r="AE50" s="4066"/>
      <c r="AF50" s="4066"/>
      <c r="AG50" s="4071" t="str">
        <f>AH49&amp;"-"&amp;AJ49</f>
        <v>-</v>
      </c>
      <c r="AH50" s="2431"/>
      <c r="AI50" s="2142"/>
      <c r="AJ50" s="2457"/>
      <c r="AK50" s="2142"/>
      <c r="AL50" s="4169"/>
      <c r="AM50" s="2420"/>
      <c r="AO50" s="737"/>
      <c r="AP50" s="737" t="str">
        <f>IF(T50="","",T50)</f>
        <v/>
      </c>
      <c r="AQ50" s="737"/>
      <c r="AR50" s="737"/>
    </row>
    <row customHeight="1" ht="11.25">
      <c r="A51" s="1659" t="s">
        <v>241</v>
      </c>
      <c r="B51" s="1659" t="s">
        <v>242</v>
      </c>
      <c r="C51" s="1659" t="s">
        <v>243</v>
      </c>
      <c r="D51" s="1659" t="s">
        <v>244</v>
      </c>
      <c r="E51" s="2425"/>
      <c r="F51" s="2425"/>
      <c r="G51" s="2425"/>
      <c r="H51" s="2425"/>
      <c r="I51" s="2454"/>
      <c r="J51" s="2422"/>
      <c r="K51" s="1659"/>
      <c r="L51" s="1660"/>
      <c r="P51" s="2423"/>
      <c r="Q51" s="2423"/>
      <c r="R51" s="577"/>
      <c r="S51" s="1568"/>
      <c r="T51" s="497" t="s">
        <v>1531</v>
      </c>
      <c r="U51" s="592"/>
      <c r="V51" s="592"/>
      <c r="W51" s="592"/>
      <c r="X51" s="592"/>
      <c r="Y51" s="592"/>
      <c r="Z51" s="592"/>
      <c r="AA51" s="592"/>
      <c r="AB51" s="592"/>
      <c r="AC51" s="592"/>
      <c r="AD51" s="592"/>
      <c r="AE51" s="592"/>
      <c r="AF51" s="592"/>
      <c r="AG51" s="592"/>
      <c r="AH51" s="592"/>
      <c r="AI51" s="592"/>
      <c r="AJ51" s="592"/>
      <c r="AK51" s="592"/>
      <c r="AL51" s="544"/>
      <c r="AM51" s="2421"/>
      <c r="AO51" s="737"/>
      <c r="AP51" s="737" t="str">
        <f>IF(T51="","",T51)</f>
        <v>Добавить вид теплоносителя (параметры теплоносителя)</v>
      </c>
      <c r="AQ51" s="737"/>
      <c r="AR51" s="737"/>
    </row>
    <row customHeight="1" ht="11.25">
      <c r="A52" s="1659" t="s">
        <v>241</v>
      </c>
      <c r="B52" s="1659" t="s">
        <v>242</v>
      </c>
      <c r="C52" s="1659" t="s">
        <v>243</v>
      </c>
      <c r="D52" s="1659" t="s">
        <v>244</v>
      </c>
      <c r="E52" s="2425"/>
      <c r="F52" s="2425"/>
      <c r="G52" s="2425"/>
      <c r="H52" s="2425"/>
      <c r="I52" s="2453"/>
      <c r="J52" s="1659"/>
      <c r="K52" s="1659"/>
      <c r="L52" s="1660"/>
      <c r="P52" s="2423"/>
      <c r="Q52" s="1626"/>
      <c r="R52" s="577"/>
      <c r="S52" s="1568"/>
      <c r="T52" s="589" t="s">
        <v>1532</v>
      </c>
      <c r="U52" s="592"/>
      <c r="V52" s="592"/>
      <c r="W52" s="592"/>
      <c r="X52" s="592"/>
      <c r="Y52" s="592"/>
      <c r="Z52" s="592"/>
      <c r="AA52" s="592"/>
      <c r="AB52" s="592"/>
      <c r="AC52" s="591"/>
      <c r="AD52" s="592"/>
      <c r="AE52" s="592"/>
      <c r="AF52" s="592"/>
      <c r="AG52" s="592"/>
      <c r="AH52" s="592"/>
      <c r="AI52" s="592"/>
      <c r="AJ52" s="592"/>
      <c r="AK52" s="591"/>
      <c r="AL52" s="592"/>
      <c r="AM52" s="513"/>
      <c r="AO52" s="737"/>
      <c r="AP52" s="737" t="str">
        <f>IF(T52="","",T52)</f>
        <v>Добавить группу потребителей</v>
      </c>
      <c r="AQ52" s="737"/>
      <c r="AR52" s="737"/>
    </row>
    <row customHeight="1" ht="0">
      <c r="A53" s="1659" t="s">
        <v>241</v>
      </c>
      <c r="B53" s="1659" t="s">
        <v>242</v>
      </c>
      <c r="C53" s="1659" t="s">
        <v>243</v>
      </c>
      <c r="D53" s="1659" t="s">
        <v>244</v>
      </c>
      <c r="E53" s="2425"/>
      <c r="F53" s="2425"/>
      <c r="G53" s="2425"/>
      <c r="H53" s="2424"/>
      <c r="I53" s="1659"/>
      <c r="J53" s="1659"/>
      <c r="K53" s="1659"/>
      <c r="L53" s="1660"/>
      <c r="M53" s="1661"/>
      <c r="N53" s="1661"/>
      <c r="O53" s="774"/>
      <c r="P53" s="581"/>
      <c r="Q53" s="601"/>
      <c r="R53" s="576"/>
      <c r="S53" s="1682"/>
      <c r="T53" s="1683"/>
      <c r="U53" s="1684"/>
      <c r="V53" s="1684"/>
      <c r="W53" s="1684"/>
      <c r="X53" s="1684"/>
      <c r="Y53" s="1684"/>
      <c r="Z53" s="1684"/>
      <c r="AA53" s="1684"/>
      <c r="AB53" s="1684"/>
      <c r="AC53" s="1684"/>
      <c r="AD53" s="1684"/>
      <c r="AE53" s="1684"/>
      <c r="AF53" s="1684"/>
      <c r="AG53" s="1684"/>
      <c r="AH53" s="1684"/>
      <c r="AI53" s="1684"/>
      <c r="AJ53" s="1684"/>
      <c r="AK53" s="1684"/>
      <c r="AL53" s="1684"/>
      <c r="AM53" s="1685"/>
      <c r="AO53" s="737"/>
      <c r="AP53" s="737" t="str">
        <f>IF(T53="","",T53)</f>
        <v/>
      </c>
      <c r="AQ53" s="737"/>
      <c r="AR53" s="737"/>
    </row>
    <row s="10863" customFormat="1" customHeight="1" ht="0.75">
      <c r="A54" s="1638" t="s">
        <v>241</v>
      </c>
      <c r="B54" s="1638" t="s">
        <v>242</v>
      </c>
      <c r="C54" s="1638" t="s">
        <v>243</v>
      </c>
      <c r="D54" s="1609"/>
      <c r="E54" s="2425"/>
      <c r="F54" s="2425"/>
      <c r="G54" s="2424"/>
      <c r="H54" s="1609"/>
      <c r="I54" s="1609"/>
      <c r="J54" s="1609"/>
      <c r="K54" s="1609"/>
      <c r="L54" s="1634"/>
      <c r="M54" s="1610"/>
      <c r="N54" s="1610"/>
      <c r="P54" s="1611"/>
      <c r="Q54" s="1612"/>
      <c r="R54" s="1611"/>
      <c r="S54" s="1617"/>
      <c r="T54" s="1620" t="s">
        <v>1492</v>
      </c>
      <c r="U54" s="1619"/>
      <c r="V54" s="1619"/>
      <c r="W54" s="1619"/>
      <c r="X54" s="1619"/>
      <c r="Y54" s="1619"/>
      <c r="Z54" s="1619"/>
      <c r="AA54" s="1619"/>
      <c r="AB54" s="1619"/>
      <c r="AC54" s="1619"/>
      <c r="AD54" s="1619"/>
      <c r="AE54" s="1619"/>
      <c r="AF54" s="1619"/>
      <c r="AG54" s="1619"/>
      <c r="AH54" s="1619"/>
      <c r="AI54" s="1619"/>
      <c r="AJ54" s="1619"/>
      <c r="AK54" s="1619"/>
      <c r="AL54" s="1619"/>
      <c r="AM54" s="1619"/>
      <c r="AO54" s="1029"/>
      <c r="AP54" s="1029" t="str">
        <f>IF(T54="","",T54)</f>
        <v>Добавить источник для дифференциации</v>
      </c>
      <c r="AQ54" s="1029"/>
      <c r="AR54" s="1029"/>
    </row>
    <row s="10863" customFormat="1" customHeight="1" ht="0.75">
      <c r="A55" s="1638" t="s">
        <v>241</v>
      </c>
      <c r="B55" s="1638" t="s">
        <v>242</v>
      </c>
      <c r="C55" s="1609"/>
      <c r="D55" s="1609"/>
      <c r="E55" s="2425"/>
      <c r="F55" s="2424"/>
      <c r="G55" s="1609"/>
      <c r="H55" s="1609"/>
      <c r="I55" s="1609"/>
      <c r="J55" s="1609"/>
      <c r="K55" s="1609"/>
      <c r="L55" s="1634"/>
      <c r="M55" s="1616"/>
      <c r="N55" s="1616"/>
      <c r="P55" s="1611"/>
      <c r="Q55" s="1612"/>
      <c r="R55" s="1611"/>
      <c r="S55" s="1617"/>
      <c r="T55" s="1620" t="s">
        <v>1493</v>
      </c>
      <c r="U55" s="1619"/>
      <c r="V55" s="1619"/>
      <c r="W55" s="1619"/>
      <c r="X55" s="1619"/>
      <c r="Y55" s="1619"/>
      <c r="Z55" s="1619"/>
      <c r="AA55" s="1619"/>
      <c r="AB55" s="1619"/>
      <c r="AC55" s="1619"/>
      <c r="AD55" s="1619"/>
      <c r="AE55" s="1619"/>
      <c r="AF55" s="1619"/>
      <c r="AG55" s="1619"/>
      <c r="AH55" s="1619"/>
      <c r="AI55" s="1619"/>
      <c r="AJ55" s="1619"/>
      <c r="AK55" s="1619"/>
      <c r="AL55" s="1619"/>
      <c r="AM55" s="1619"/>
      <c r="AO55" s="1029"/>
      <c r="AP55" s="1029" t="str">
        <f>IF(T55="","",T55)</f>
        <v>Добавить централизованную систему для дифференциации</v>
      </c>
      <c r="AQ55" s="1029"/>
      <c r="AR55" s="1029"/>
    </row>
    <row s="10863" customFormat="1" customHeight="1" ht="0.75">
      <c r="A56" s="1638" t="s">
        <v>241</v>
      </c>
      <c r="B56" s="1638"/>
      <c r="C56" s="1638"/>
      <c r="D56" s="1638"/>
      <c r="E56" s="2424"/>
      <c r="F56" s="1638"/>
      <c r="G56" s="1638"/>
      <c r="H56" s="1638"/>
      <c r="I56" s="1638"/>
      <c r="J56" s="1638"/>
      <c r="K56" s="1638"/>
      <c r="L56" s="1641"/>
      <c r="M56" s="1616"/>
      <c r="N56" s="1616"/>
      <c r="O56" s="755"/>
      <c r="P56" s="610"/>
      <c r="Q56" s="1639"/>
      <c r="R56" s="610"/>
      <c r="S56" s="1617"/>
      <c r="T56" s="1620" t="s">
        <v>1494</v>
      </c>
      <c r="U56" s="1619"/>
      <c r="V56" s="1619"/>
      <c r="W56" s="1619"/>
      <c r="X56" s="1619"/>
      <c r="Y56" s="1619"/>
      <c r="Z56" s="1619"/>
      <c r="AA56" s="1619"/>
      <c r="AB56" s="1619"/>
      <c r="AC56" s="1619"/>
      <c r="AD56" s="1619"/>
      <c r="AE56" s="1619"/>
      <c r="AF56" s="1619"/>
      <c r="AG56" s="1619"/>
      <c r="AH56" s="1619"/>
      <c r="AI56" s="1619"/>
      <c r="AJ56" s="1619"/>
      <c r="AK56" s="1619"/>
      <c r="AL56" s="1619"/>
      <c r="AM56" s="1619"/>
      <c r="AO56" s="737"/>
      <c r="AP56" s="737" t="str">
        <f>IF(T56="","",T56)</f>
        <v>Добавить территорию для дифференциации</v>
      </c>
      <c r="AQ56" s="737"/>
      <c r="AR56" s="737"/>
    </row>
    <row s="10863" customFormat="1" customHeight="1" ht="0.75">
      <c r="A57" s="1609"/>
      <c r="B57" s="1609"/>
      <c r="C57" s="1609"/>
      <c r="D57" s="1609"/>
      <c r="E57" s="1638"/>
      <c r="F57" s="1609"/>
      <c r="G57" s="1609"/>
      <c r="H57" s="1609"/>
      <c r="I57" s="1609"/>
      <c r="J57" s="1609"/>
      <c r="K57" s="1609"/>
      <c r="L57" s="1634"/>
      <c r="M57" s="1616"/>
      <c r="N57" s="1616"/>
      <c r="P57" s="1611"/>
      <c r="Q57" s="1612"/>
      <c r="R57" s="1611"/>
      <c r="S57" s="1617"/>
      <c r="T57" s="1620" t="s">
        <v>1495</v>
      </c>
      <c r="U57" s="1619"/>
      <c r="V57" s="1619"/>
      <c r="W57" s="1619"/>
      <c r="X57" s="1619"/>
      <c r="Y57" s="1619"/>
      <c r="Z57" s="1619"/>
      <c r="AA57" s="1619"/>
      <c r="AB57" s="1619"/>
      <c r="AC57" s="1619"/>
      <c r="AD57" s="1619"/>
      <c r="AE57" s="1619"/>
      <c r="AF57" s="1619"/>
      <c r="AG57" s="1619"/>
      <c r="AH57" s="1619"/>
      <c r="AI57" s="1619"/>
      <c r="AJ57" s="1619"/>
      <c r="AK57" s="1619"/>
      <c r="AL57" s="1619"/>
      <c r="AM57" s="1619"/>
      <c r="AO57" s="1029"/>
      <c r="AP57" s="1029" t="str">
        <f>IF(T57="","",T57)</f>
        <v>Добавить наименование тарифа</v>
      </c>
      <c r="AQ57" s="1029"/>
      <c r="AR57" s="1029"/>
    </row>
    <row customHeight="1" ht="11.25" hidden="1">
      <c r="M58" s="1421"/>
      <c r="N58" s="1421"/>
      <c r="O58" s="774"/>
      <c r="P58" s="1416"/>
      <c r="Q58" s="1416"/>
      <c r="R58" s="1416"/>
      <c r="S58" s="1416"/>
      <c r="AN58" s="1416"/>
      <c r="AO58" s="1416"/>
      <c r="AP58" s="1416"/>
      <c r="AQ58" s="1416"/>
      <c r="AR58" s="1416"/>
    </row>
    <row customHeight="1" ht="18.75" hidden="1">
      <c r="O59" s="774"/>
      <c r="S59" s="1533" t="s">
        <v>1565</v>
      </c>
      <c r="T59" s="2452" t="s">
        <v>1574</v>
      </c>
      <c r="U59" s="2452"/>
      <c r="V59" s="2452"/>
      <c r="W59" s="2452"/>
      <c r="X59" s="2452"/>
      <c r="Y59" s="2452"/>
      <c r="Z59" s="2452"/>
      <c r="AA59" s="2452"/>
      <c r="AB59" s="2452"/>
      <c r="AC59" s="2452"/>
      <c r="AD59" s="2452"/>
      <c r="AE59" s="2452"/>
      <c r="AF59" s="2452"/>
      <c r="AG59" s="2452"/>
      <c r="AH59" s="2452"/>
      <c r="AI59" s="2452"/>
      <c r="AJ59" s="2452"/>
      <c r="AK59" s="2452"/>
      <c r="AL59" s="2452"/>
      <c r="AM59" s="2452"/>
    </row>
    <row customHeight="1" ht="27.75" hidden="1">
      <c r="O60" s="774"/>
      <c r="T60" s="2452" t="s">
        <v>1575</v>
      </c>
      <c r="U60" s="2452"/>
      <c r="V60" s="2452"/>
      <c r="W60" s="2452"/>
      <c r="X60" s="2452"/>
      <c r="Y60" s="2452"/>
      <c r="Z60" s="2452"/>
      <c r="AA60" s="2452"/>
      <c r="AB60" s="2452"/>
      <c r="AC60" s="2452"/>
      <c r="AD60" s="2452"/>
      <c r="AE60" s="2452"/>
      <c r="AF60" s="2452"/>
      <c r="AG60" s="2452"/>
      <c r="AH60" s="2452"/>
      <c r="AI60" s="2452"/>
      <c r="AJ60" s="2452"/>
      <c r="AK60" s="2452"/>
      <c r="AL60" s="2452"/>
      <c r="AM60" s="2452"/>
    </row>
    <row customHeight="1" ht="39.75" hidden="1">
      <c r="O61" s="774"/>
      <c r="T61" s="2452" t="s">
        <v>1576</v>
      </c>
      <c r="U61" s="2452"/>
      <c r="V61" s="2452"/>
      <c r="W61" s="2452"/>
      <c r="X61" s="2452"/>
      <c r="Y61" s="2452"/>
      <c r="Z61" s="2452"/>
      <c r="AA61" s="2452"/>
      <c r="AB61" s="2452"/>
      <c r="AC61" s="2452"/>
      <c r="AD61" s="2452"/>
      <c r="AE61" s="2452"/>
      <c r="AF61" s="2452"/>
      <c r="AG61" s="2452"/>
      <c r="AH61" s="2452"/>
      <c r="AI61" s="2452"/>
      <c r="AJ61" s="2452"/>
      <c r="AK61" s="2452"/>
      <c r="AL61" s="2452"/>
      <c r="AM61" s="2452"/>
    </row>
    <row customHeight="1" ht="14.25" hidden="1">
      <c r="O62" s="774"/>
    </row>
    <row customHeight="1" ht="19.5" hidden="1">
      <c r="O63" s="774"/>
      <c r="S63" s="1533" t="s">
        <v>1565</v>
      </c>
      <c r="T63" s="2466" t="s">
        <v>1568</v>
      </c>
      <c r="U63" s="2452"/>
      <c r="V63" s="2452"/>
      <c r="W63" s="2452"/>
      <c r="X63" s="2452"/>
      <c r="Y63" s="2452"/>
      <c r="Z63" s="2452"/>
      <c r="AA63" s="2452"/>
      <c r="AB63" s="2452"/>
      <c r="AC63" s="2452"/>
      <c r="AD63" s="2452"/>
      <c r="AE63" s="2452"/>
      <c r="AF63" s="2452"/>
      <c r="AG63" s="2452"/>
      <c r="AH63" s="2452"/>
      <c r="AI63" s="2452"/>
      <c r="AJ63" s="2452"/>
      <c r="AK63" s="2452"/>
      <c r="AL63" s="2452"/>
      <c r="AM63" s="2452"/>
    </row>
    <row customHeight="1" ht="27.75" hidden="1">
      <c r="O64" s="774"/>
      <c r="T64" s="2452" t="s">
        <v>1577</v>
      </c>
      <c r="U64" s="2452"/>
      <c r="V64" s="2452"/>
      <c r="W64" s="2452"/>
      <c r="X64" s="2452"/>
      <c r="Y64" s="2452"/>
      <c r="Z64" s="2452"/>
      <c r="AA64" s="2452"/>
      <c r="AB64" s="2452"/>
      <c r="AC64" s="2452"/>
      <c r="AD64" s="2452"/>
      <c r="AE64" s="2452"/>
      <c r="AF64" s="2452"/>
      <c r="AG64" s="2452"/>
      <c r="AH64" s="2452"/>
      <c r="AI64" s="2452"/>
      <c r="AJ64" s="2452"/>
      <c r="AK64" s="2452"/>
      <c r="AL64" s="2452"/>
      <c r="AM64" s="2452"/>
    </row>
    <row customHeight="1" ht="33.75" hidden="1">
      <c r="T65" s="2452" t="s">
        <v>1578</v>
      </c>
      <c r="U65" s="2452"/>
      <c r="V65" s="2452"/>
      <c r="W65" s="2452"/>
      <c r="X65" s="2452"/>
      <c r="Y65" s="2452"/>
      <c r="Z65" s="2452"/>
      <c r="AA65" s="2452"/>
      <c r="AB65" s="2452"/>
      <c r="AC65" s="2452"/>
      <c r="AD65" s="2452"/>
      <c r="AE65" s="2452"/>
      <c r="AF65" s="2452"/>
      <c r="AG65" s="2452"/>
      <c r="AH65" s="2452"/>
      <c r="AI65" s="2452"/>
      <c r="AJ65" s="2452"/>
      <c r="AK65" s="2452"/>
      <c r="AL65" s="2452"/>
      <c r="AM65" s="2452"/>
    </row>
  </sheetData>
  <sheetProtection formatColumns="0" formatRows="0" autoFilter="0" sort="0" insertRows="0" insertColumns="1" deleteRows="0" deleteColumns="0"/>
  <mergeCells count="113">
    <mergeCell ref="T64:AM64"/>
    <mergeCell ref="T65:AM65"/>
    <mergeCell ref="S35:T35"/>
    <mergeCell ref="V35:AB35"/>
    <mergeCell ref="AD35:AJ35"/>
    <mergeCell ref="S34:T34"/>
    <mergeCell ref="V34:AB34"/>
    <mergeCell ref="AD34:AJ34"/>
    <mergeCell ref="V2:AC2"/>
    <mergeCell ref="AD2:AL2"/>
    <mergeCell ref="V3:AC3"/>
    <mergeCell ref="AD3:AL3"/>
    <mergeCell ref="V4:AC4"/>
    <mergeCell ref="AD4:AL4"/>
    <mergeCell ref="V5:AC5"/>
    <mergeCell ref="AD5:AL5"/>
    <mergeCell ref="V6:AC6"/>
    <mergeCell ref="AD6:AL6"/>
    <mergeCell ref="V7:AC7"/>
    <mergeCell ref="AD7:AL7"/>
    <mergeCell ref="T63:AM63"/>
    <mergeCell ref="T61:AM61"/>
    <mergeCell ref="AJ49:AJ50"/>
    <mergeCell ref="AK49:AK50"/>
    <mergeCell ref="AM49:AM51"/>
    <mergeCell ref="T59:AM59"/>
    <mergeCell ref="T60:AM60"/>
    <mergeCell ref="AA42:AB42"/>
    <mergeCell ref="AI42:AJ42"/>
    <mergeCell ref="E43:E56"/>
    <mergeCell ref="V43:AC43"/>
    <mergeCell ref="AD43:AL43"/>
    <mergeCell ref="F44:F55"/>
    <mergeCell ref="V44:AC44"/>
    <mergeCell ref="AD44:AL44"/>
    <mergeCell ref="G45:G54"/>
    <mergeCell ref="V45:AC45"/>
    <mergeCell ref="AD45:AL45"/>
    <mergeCell ref="H46:H53"/>
    <mergeCell ref="V46:AC46"/>
    <mergeCell ref="AD46:AL46"/>
    <mergeCell ref="P47:P52"/>
    <mergeCell ref="J48:J51"/>
    <mergeCell ref="Q48:Q51"/>
    <mergeCell ref="V48:AC48"/>
    <mergeCell ref="AD48:AL48"/>
    <mergeCell ref="K49:K50"/>
    <mergeCell ref="Z49:Z50"/>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M8:AM10"/>
    <mergeCell ref="AH17:AH18"/>
    <mergeCell ref="AI17:AI18"/>
    <mergeCell ref="AJ17:AJ18"/>
    <mergeCell ref="AK17:AK18"/>
    <mergeCell ref="Z8:Z9"/>
    <mergeCell ref="AA8:AA9"/>
    <mergeCell ref="S29:T29"/>
    <mergeCell ref="S30:T30"/>
    <mergeCell ref="V29:AB29"/>
    <mergeCell ref="AD29:AJ29"/>
    <mergeCell ref="V30:AB30"/>
    <mergeCell ref="AD30:AJ30"/>
    <mergeCell ref="AH8:AH9"/>
    <mergeCell ref="AI8:AI9"/>
    <mergeCell ref="AJ8:AJ9"/>
    <mergeCell ref="AK8:AK9"/>
    <mergeCell ref="AB8:AB9"/>
    <mergeCell ref="AC8:AC9"/>
    <mergeCell ref="I47:I52"/>
    <mergeCell ref="V32:AB32"/>
    <mergeCell ref="E2:E15"/>
    <mergeCell ref="F3:F14"/>
    <mergeCell ref="G4:G13"/>
    <mergeCell ref="H5:H12"/>
    <mergeCell ref="I6:I11"/>
    <mergeCell ref="P6:P11"/>
    <mergeCell ref="J7:J10"/>
    <mergeCell ref="Q7:Q10"/>
    <mergeCell ref="K8:K9"/>
    <mergeCell ref="S31:T31"/>
    <mergeCell ref="V31:AB31"/>
    <mergeCell ref="S32:T32"/>
    <mergeCell ref="AA41:AB41"/>
    <mergeCell ref="V37:AC37"/>
    <mergeCell ref="S38:AL38"/>
    <mergeCell ref="S26:AJ26"/>
    <mergeCell ref="S27:AJ27"/>
    <mergeCell ref="AC49:AC50"/>
    <mergeCell ref="AA49:AA50"/>
    <mergeCell ref="AB49:AB50"/>
    <mergeCell ref="AH49:AH50"/>
    <mergeCell ref="AI49:AI50"/>
    <mergeCell ref="V47:AC47"/>
    <mergeCell ref="AD47:AL47"/>
    <mergeCell ref="AD31:AJ31"/>
    <mergeCell ref="AD32:AJ32"/>
    <mergeCell ref="AE40:AE41"/>
    <mergeCell ref="AF40:AG40"/>
    <mergeCell ref="AH40:AJ40"/>
    <mergeCell ref="AI41:AJ41"/>
    <mergeCell ref="AD37:AK37"/>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BC0BD2F-82B2-3969-E54A-2F74A61B514D}" mc:Ignorable="x14ac xr xr2 xr3">
  <sheetPr>
    <tabColor theme="6" tint="0.4"/>
  </sheetPr>
  <dimension ref="A1:AR65"/>
  <sheetViews>
    <sheetView topLeftCell="Q25" showGridLines="0" zoomScale="90" workbookViewId="0">
      <selection activeCell="A1" sqref="A1"/>
    </sheetView>
  </sheetViews>
  <sheetFormatPr defaultColWidth="10.57421875" customHeight="1" defaultRowHeight="14.25"/>
  <cols>
    <col min="1" max="1" style="11074" width="10.57421875" hidden="1"/>
    <col min="2" max="2" style="11074" width="11.00390625" hidden="1" customWidth="1"/>
    <col min="3" max="3" style="11074" width="10.57421875" hidden="1"/>
    <col min="4" max="4" style="11074" width="11.8515625" hidden="1" customWidth="1"/>
    <col min="5" max="5" style="11074" width="10.00390625" hidden="1" customWidth="1"/>
    <col min="6" max="6" style="11074" width="8.7109375" hidden="1" customWidth="1"/>
    <col min="7" max="7" style="11074" width="7.57421875" hidden="1" customWidth="1"/>
    <col min="8" max="8" style="11074" width="11.421875" hidden="1" customWidth="1"/>
    <col min="9" max="9" style="11074" width="12.00390625" hidden="1" customWidth="1"/>
    <col min="10" max="10" style="11074" width="9.8515625" hidden="1" customWidth="1"/>
    <col min="11" max="11" style="11074" width="11.421875" hidden="1" customWidth="1"/>
    <col min="12" max="12" style="11240" width="19.140625" hidden="1" customWidth="1"/>
    <col min="13" max="14" style="9887" width="12.28125" hidden="1" customWidth="1"/>
    <col min="15" max="15" style="9887" width="23.421875" hidden="1" customWidth="1"/>
    <col min="16" max="16" style="11241" width="3.7109375" hidden="1" customWidth="1"/>
    <col min="17" max="18" style="10046" width="3.7109375" customWidth="1"/>
    <col min="19" max="19" style="11124" width="12.7109375" customWidth="1"/>
    <col min="20" max="20" style="11126" width="32.00390625" customWidth="1"/>
    <col min="21" max="21" style="11126" width="0.140625" customWidth="1"/>
    <col min="22" max="22" style="11126" width="24.7109375" hidden="1" customWidth="1"/>
    <col min="23" max="23" style="11126" width="0.140625" hidden="1" customWidth="1"/>
    <col min="24" max="25" style="11126" width="24.7109375" hidden="1" customWidth="1"/>
    <col min="26" max="26" style="11126" width="11.7109375" hidden="1" customWidth="1"/>
    <col min="27" max="27" style="11126" width="3.7109375" hidden="1" customWidth="1"/>
    <col min="28" max="28" style="11126" width="11.7109375" hidden="1" customWidth="1"/>
    <col min="29" max="29" style="11126" width="8.57421875" hidden="1" customWidth="1"/>
    <col min="30" max="30" style="11126" width="24.7109375" customWidth="1"/>
    <col min="31" max="31" style="11126" width="0.140625" customWidth="1"/>
    <col min="32" max="33" style="11126" width="24.7109375" customWidth="1"/>
    <col min="34" max="34" style="11126" width="11.7109375" customWidth="1"/>
    <col min="35" max="35" style="11126" width="3.7109375" customWidth="1"/>
    <col min="36" max="36" style="11126" width="11.7109375" customWidth="1"/>
    <col min="37" max="37" style="11126" width="8.57421875" hidden="1" customWidth="1"/>
    <col min="38" max="38" style="11126" width="4.7109375" customWidth="1"/>
    <col min="39" max="39" style="11126" width="115.7109375" customWidth="1"/>
    <col min="40" max="41" style="10863" width="10.57421875"/>
    <col min="42" max="42" style="10863" width="11.140625" customWidth="1"/>
    <col min="43" max="44" style="10863" width="10.57421875"/>
  </cols>
  <sheetData>
    <row customHeight="1" ht="14.25" hidden="1">
      <c r="Y1" s="548"/>
      <c r="Z1" s="548"/>
      <c r="AG1" s="548"/>
      <c r="AH1" s="548"/>
    </row>
    <row customHeight="1" ht="21" hidden="1">
      <c r="A2" s="1659"/>
      <c r="B2" s="1659"/>
      <c r="C2" s="1659"/>
      <c r="D2" s="1659"/>
      <c r="E2" s="2424">
        <v>1</v>
      </c>
      <c r="F2" s="1659"/>
      <c r="G2" s="1659"/>
      <c r="H2" s="1659"/>
      <c r="I2" s="1659"/>
      <c r="J2" s="1659"/>
      <c r="K2" s="1659"/>
      <c r="L2" s="1660"/>
      <c r="M2" s="1661"/>
      <c r="N2" s="1661"/>
      <c r="O2" s="1661"/>
      <c r="P2" s="582"/>
      <c r="Q2" s="581"/>
      <c r="R2" s="576"/>
      <c r="S2" s="1631">
        <f>INDEX(PT_DIFFERENTIATION_NUM_NTAR,MATCH(A2,PT_DIFFERENTIATION_NTAR_ID,0))</f>
      </c>
      <c r="T2" s="508" t="s">
        <v>200</v>
      </c>
      <c r="U2" s="510"/>
      <c r="V2" s="4037"/>
      <c r="W2" s="4038"/>
      <c r="X2" s="4038"/>
      <c r="Y2" s="4038"/>
      <c r="Z2" s="4038"/>
      <c r="AA2" s="4038"/>
      <c r="AB2" s="4038"/>
      <c r="AC2" s="4039"/>
      <c r="AD2" s="4037">
        <f>INDEX(PT_DIFFERENTIATION_NTAR,MATCH(A2,PT_DIFFERENTIATION_NTAR_ID,0))</f>
      </c>
      <c r="AE2" s="4038"/>
      <c r="AF2" s="4038"/>
      <c r="AG2" s="4038"/>
      <c r="AH2" s="4038"/>
      <c r="AI2" s="4038"/>
      <c r="AJ2" s="4038"/>
      <c r="AK2" s="4038"/>
      <c r="AL2" s="4039"/>
      <c r="AM2" s="1546" t="s">
        <v>1516</v>
      </c>
      <c r="AO2" s="737"/>
      <c r="AP2" s="737" t="str">
        <f>IF(T2="","",T2)</f>
        <v>Наименование тарифа</v>
      </c>
      <c r="AQ2" s="737"/>
      <c r="AR2" s="737"/>
    </row>
    <row customHeight="1" ht="21" hidden="1">
      <c r="A3" s="1659"/>
      <c r="B3" s="1659"/>
      <c r="C3" s="1659"/>
      <c r="D3" s="1659"/>
      <c r="E3" s="2425"/>
      <c r="F3" s="2424">
        <v>1</v>
      </c>
      <c r="G3" s="1659"/>
      <c r="H3" s="1659"/>
      <c r="I3" s="1659"/>
      <c r="J3" s="1659"/>
      <c r="K3" s="1659"/>
      <c r="L3" s="1660"/>
      <c r="M3" s="1661"/>
      <c r="N3" s="1661"/>
      <c r="O3" s="1661"/>
      <c r="P3" s="1627"/>
      <c r="Q3" s="573"/>
      <c r="R3" s="574"/>
      <c r="S3" s="1631">
        <f>INDEX(PT_DIFFERENTIATION_NUM_TER,MATCH(B3,PT_DIFFERENTIATION_TER_ID,0))</f>
      </c>
      <c r="T3" s="520" t="s">
        <v>1517</v>
      </c>
      <c r="U3" s="510"/>
      <c r="V3" s="4037"/>
      <c r="W3" s="4038"/>
      <c r="X3" s="4038"/>
      <c r="Y3" s="4038"/>
      <c r="Z3" s="4038"/>
      <c r="AA3" s="4038"/>
      <c r="AB3" s="4038"/>
      <c r="AC3" s="4039"/>
      <c r="AD3" s="4037">
        <f>INDEX(PT_DIFFERENTIATION_TER,MATCH(B3,PT_DIFFERENTIATION_TER_ID,0))</f>
      </c>
      <c r="AE3" s="4038"/>
      <c r="AF3" s="4038"/>
      <c r="AG3" s="4038"/>
      <c r="AH3" s="4038"/>
      <c r="AI3" s="4038"/>
      <c r="AJ3" s="4038"/>
      <c r="AK3" s="4038"/>
      <c r="AL3" s="4039"/>
      <c r="AM3" s="1546" t="s">
        <v>1518</v>
      </c>
      <c r="AO3" s="737"/>
      <c r="AP3" s="737" t="str">
        <f>IF(T3="","",T3)</f>
        <v>Территория действия тарифа</v>
      </c>
      <c r="AQ3" s="737"/>
      <c r="AR3" s="737"/>
    </row>
    <row customHeight="1" ht="23.25" hidden="1">
      <c r="A4" s="1659"/>
      <c r="B4" s="1659"/>
      <c r="C4" s="1659"/>
      <c r="D4" s="1659"/>
      <c r="E4" s="2425"/>
      <c r="F4" s="2425"/>
      <c r="G4" s="2424">
        <v>1</v>
      </c>
      <c r="H4" s="1659"/>
      <c r="I4" s="1659"/>
      <c r="J4" s="1659"/>
      <c r="K4" s="1659"/>
      <c r="L4" s="1660"/>
      <c r="M4" s="1661"/>
      <c r="N4" s="1661"/>
      <c r="O4" s="1661"/>
      <c r="P4" s="575"/>
      <c r="Q4" s="573"/>
      <c r="R4" s="574"/>
      <c r="S4" s="1631">
        <f>INDEX(PT_DIFFERENTIATION_NUM_CS,MATCH(C4,PT_DIFFERENTIATION_CS_ID,0))</f>
      </c>
      <c r="T4" s="521" t="s">
        <v>1519</v>
      </c>
      <c r="U4" s="510"/>
      <c r="V4" s="4037"/>
      <c r="W4" s="4038"/>
      <c r="X4" s="4038"/>
      <c r="Y4" s="4038"/>
      <c r="Z4" s="4038"/>
      <c r="AA4" s="4038"/>
      <c r="AB4" s="4038"/>
      <c r="AC4" s="4039"/>
      <c r="AD4" s="4037">
        <f>INDEX(PT_DIFFERENTIATION_CS,MATCH(C4,PT_DIFFERENTIATION_CS_ID,0))</f>
      </c>
      <c r="AE4" s="4038"/>
      <c r="AF4" s="4038"/>
      <c r="AG4" s="4038"/>
      <c r="AH4" s="4038"/>
      <c r="AI4" s="4038"/>
      <c r="AJ4" s="4038"/>
      <c r="AK4" s="4038"/>
      <c r="AL4" s="4039"/>
      <c r="AM4" s="1546" t="s">
        <v>1520</v>
      </c>
      <c r="AO4" s="737"/>
      <c r="AP4" s="737" t="str">
        <f>IF(T4="","",T4)</f>
        <v>Наименование системы теплоснабжения </v>
      </c>
      <c r="AQ4" s="737"/>
      <c r="AR4" s="737"/>
    </row>
    <row customHeight="1" ht="21" hidden="1">
      <c r="A5" s="1659"/>
      <c r="B5" s="1659"/>
      <c r="C5" s="1659"/>
      <c r="D5" s="1659"/>
      <c r="E5" s="2425"/>
      <c r="F5" s="2425"/>
      <c r="G5" s="2425"/>
      <c r="H5" s="2424">
        <v>1</v>
      </c>
      <c r="I5" s="1659"/>
      <c r="J5" s="1659"/>
      <c r="K5" s="1659"/>
      <c r="L5" s="1660"/>
      <c r="M5" s="1661"/>
      <c r="N5" s="1661"/>
      <c r="O5" s="1661"/>
      <c r="P5" s="575"/>
      <c r="Q5" s="573"/>
      <c r="R5" s="574"/>
      <c r="S5" s="1631">
        <f>INDEX(PT_DIFFERENTIATION_NUM_IST_TE,MATCH(D5,PT_DIFFERENTIATION_IST_TE_ID,0))</f>
      </c>
      <c r="T5" s="522" t="s">
        <v>1521</v>
      </c>
      <c r="U5" s="510"/>
      <c r="V5" s="4037"/>
      <c r="W5" s="4038"/>
      <c r="X5" s="4038"/>
      <c r="Y5" s="4038"/>
      <c r="Z5" s="4038"/>
      <c r="AA5" s="4038"/>
      <c r="AB5" s="4038"/>
      <c r="AC5" s="4039"/>
      <c r="AD5" s="4037">
        <f>INDEX(PT_DIFFERENTIATION_IST_TE,MATCH(D5,PT_DIFFERENTIATION_IST_TE_ID,0))</f>
      </c>
      <c r="AE5" s="4038"/>
      <c r="AF5" s="4038"/>
      <c r="AG5" s="4038"/>
      <c r="AH5" s="4038"/>
      <c r="AI5" s="4038"/>
      <c r="AJ5" s="4038"/>
      <c r="AK5" s="4038"/>
      <c r="AL5" s="4039"/>
      <c r="AM5" s="1546" t="s">
        <v>1522</v>
      </c>
      <c r="AO5" s="737"/>
      <c r="AP5" s="737" t="str">
        <f>IF(T5="","",T5)</f>
        <v>Источник тепловой энергии  </v>
      </c>
      <c r="AQ5" s="737"/>
      <c r="AR5" s="737"/>
    </row>
    <row customHeight="1" ht="14.25" hidden="1">
      <c r="A6" s="1659"/>
      <c r="B6" s="1659"/>
      <c r="C6" s="1659"/>
      <c r="D6" s="1659"/>
      <c r="E6" s="2425"/>
      <c r="F6" s="2425"/>
      <c r="G6" s="2425"/>
      <c r="H6" s="2425"/>
      <c r="I6" s="2453">
        <f>S5&amp;".1"</f>
      </c>
      <c r="J6" s="1659"/>
      <c r="K6" s="1659"/>
      <c r="L6" s="1660" t="s">
        <v>1523</v>
      </c>
      <c r="M6" s="774"/>
      <c r="P6" s="2423">
        <v>1</v>
      </c>
      <c r="Q6" s="1626"/>
      <c r="R6" s="577"/>
      <c r="S6" s="1300"/>
      <c r="T6" s="1679"/>
      <c r="U6" s="1680"/>
      <c r="V6" s="2463"/>
      <c r="W6" s="2464"/>
      <c r="X6" s="2464"/>
      <c r="Y6" s="2464"/>
      <c r="Z6" s="2464"/>
      <c r="AA6" s="2464"/>
      <c r="AB6" s="2464"/>
      <c r="AC6" s="2465"/>
      <c r="AD6" s="2463"/>
      <c r="AE6" s="2464"/>
      <c r="AF6" s="2464"/>
      <c r="AG6" s="2464"/>
      <c r="AH6" s="2464"/>
      <c r="AI6" s="2464"/>
      <c r="AJ6" s="2464"/>
      <c r="AK6" s="2464"/>
      <c r="AL6" s="2465"/>
      <c r="AM6" s="1681"/>
      <c r="AO6" s="737"/>
      <c r="AP6" s="737" t="str">
        <f>IF(T6="","",T6)</f>
        <v/>
      </c>
      <c r="AQ6" s="737"/>
      <c r="AR6" s="737"/>
    </row>
    <row customHeight="1" ht="21" hidden="1">
      <c r="A7" s="1659"/>
      <c r="B7" s="1659"/>
      <c r="C7" s="1659"/>
      <c r="D7" s="1659"/>
      <c r="E7" s="2425"/>
      <c r="F7" s="2425"/>
      <c r="G7" s="2425"/>
      <c r="H7" s="2425"/>
      <c r="I7" s="2454"/>
      <c r="J7" s="2422">
        <f>I6&amp;".1"</f>
      </c>
      <c r="K7" s="1659"/>
      <c r="L7" s="1660" t="s">
        <v>1526</v>
      </c>
      <c r="M7" s="774"/>
      <c r="N7" s="1662"/>
      <c r="P7" s="2423"/>
      <c r="Q7" s="2423">
        <v>1</v>
      </c>
      <c r="R7" s="578"/>
      <c r="S7" s="1631">
        <f>$J7</f>
      </c>
      <c r="T7" s="496" t="s">
        <v>1527</v>
      </c>
      <c r="U7" s="510"/>
      <c r="V7" s="2411"/>
      <c r="W7" s="2412"/>
      <c r="X7" s="2412"/>
      <c r="Y7" s="2412"/>
      <c r="Z7" s="2412"/>
      <c r="AA7" s="2412"/>
      <c r="AB7" s="2412"/>
      <c r="AC7" s="2413"/>
      <c r="AD7" s="2411"/>
      <c r="AE7" s="2412"/>
      <c r="AF7" s="2412"/>
      <c r="AG7" s="2412"/>
      <c r="AH7" s="2412"/>
      <c r="AI7" s="2412"/>
      <c r="AJ7" s="2412"/>
      <c r="AK7" s="2412"/>
      <c r="AL7" s="2413"/>
      <c r="AM7" s="1546" t="s">
        <v>1528</v>
      </c>
      <c r="AO7" s="737"/>
      <c r="AP7" s="737" t="str">
        <f>IF(T7="","",T7)</f>
        <v>Группа потребителей</v>
      </c>
      <c r="AQ7" s="737"/>
      <c r="AR7" s="737"/>
    </row>
    <row customHeight="1" ht="21" hidden="1">
      <c r="A8" s="1659"/>
      <c r="B8" s="1659"/>
      <c r="C8" s="1659"/>
      <c r="D8" s="1659"/>
      <c r="E8" s="2425"/>
      <c r="F8" s="2425"/>
      <c r="G8" s="2425"/>
      <c r="H8" s="2425"/>
      <c r="I8" s="2454"/>
      <c r="J8" s="2455"/>
      <c r="K8" s="2422">
        <f>J7&amp;".1"</f>
      </c>
      <c r="L8" s="1660" t="s">
        <v>1529</v>
      </c>
      <c r="M8" s="774"/>
      <c r="N8" s="1662"/>
      <c r="O8" s="1662"/>
      <c r="P8" s="2423"/>
      <c r="Q8" s="2423"/>
      <c r="R8" s="578">
        <v>1</v>
      </c>
      <c r="S8" s="1631">
        <f>$K8</f>
      </c>
      <c r="T8" s="1642"/>
      <c r="U8" s="510"/>
      <c r="V8" s="4065"/>
      <c r="W8" s="4066"/>
      <c r="X8" s="4065"/>
      <c r="Y8" s="4067"/>
      <c r="Z8" s="2430"/>
      <c r="AA8" s="2142" t="s">
        <v>67</v>
      </c>
      <c r="AB8" s="2430"/>
      <c r="AC8" s="2142" t="s">
        <v>67</v>
      </c>
      <c r="AD8" s="4065"/>
      <c r="AE8" s="4066"/>
      <c r="AF8" s="4065"/>
      <c r="AG8" s="4067"/>
      <c r="AH8" s="2430"/>
      <c r="AI8" s="2142" t="s">
        <v>67</v>
      </c>
      <c r="AJ8" s="2430"/>
      <c r="AK8" s="2142" t="s">
        <v>67</v>
      </c>
      <c r="AL8" s="4066"/>
      <c r="AM8" s="2419" t="s">
        <v>1530</v>
      </c>
      <c r="AN8" s="748">
        <f>STRCHECKDATE(V9:AL9)</f>
      </c>
      <c r="AO8" s="737"/>
      <c r="AP8" s="737" t="str">
        <f>IF(T8="","",T8)</f>
        <v/>
      </c>
      <c r="AQ8" s="737"/>
      <c r="AR8" s="737"/>
    </row>
    <row customHeight="1" ht="0.75" hidden="1">
      <c r="A9" s="1659"/>
      <c r="B9" s="1659"/>
      <c r="C9" s="1659"/>
      <c r="D9" s="1659"/>
      <c r="E9" s="2425"/>
      <c r="F9" s="2425"/>
      <c r="G9" s="2425"/>
      <c r="H9" s="2425"/>
      <c r="I9" s="2454"/>
      <c r="J9" s="2455"/>
      <c r="K9" s="2422"/>
      <c r="L9" s="1660"/>
      <c r="M9" s="774"/>
      <c r="N9" s="1662"/>
      <c r="O9" s="1662"/>
      <c r="P9" s="2423"/>
      <c r="Q9" s="2423"/>
      <c r="R9" s="578"/>
      <c r="S9" s="1637"/>
      <c r="T9" s="510"/>
      <c r="U9" s="510"/>
      <c r="V9" s="4066"/>
      <c r="W9" s="4066"/>
      <c r="X9" s="4066"/>
      <c r="Y9" s="4071" t="str">
        <f>Z8&amp;"-"&amp;AB8</f>
        <v>-</v>
      </c>
      <c r="Z9" s="2431"/>
      <c r="AA9" s="2142"/>
      <c r="AB9" s="2431"/>
      <c r="AC9" s="2142"/>
      <c r="AD9" s="4066"/>
      <c r="AE9" s="4066"/>
      <c r="AF9" s="4066"/>
      <c r="AG9" s="4071" t="str">
        <f>AH8&amp;"-"&amp;AJ8</f>
        <v>-</v>
      </c>
      <c r="AH9" s="2431"/>
      <c r="AI9" s="2142"/>
      <c r="AJ9" s="2431"/>
      <c r="AK9" s="2142"/>
      <c r="AL9" s="4066"/>
      <c r="AM9" s="2420"/>
      <c r="AO9" s="737"/>
      <c r="AP9" s="737" t="str">
        <f>IF(T9="","",T9)</f>
        <v/>
      </c>
      <c r="AQ9" s="737"/>
      <c r="AR9" s="737"/>
    </row>
    <row customHeight="1" ht="15" hidden="1">
      <c r="A10" s="1659"/>
      <c r="B10" s="1659"/>
      <c r="C10" s="1659"/>
      <c r="D10" s="1659"/>
      <c r="E10" s="2425"/>
      <c r="F10" s="2425"/>
      <c r="G10" s="2425"/>
      <c r="H10" s="2425"/>
      <c r="I10" s="2454"/>
      <c r="J10" s="2422"/>
      <c r="K10" s="1659"/>
      <c r="L10" s="1660"/>
      <c r="M10" s="774"/>
      <c r="N10" s="1662"/>
      <c r="P10" s="2423"/>
      <c r="Q10" s="2423"/>
      <c r="R10" s="577"/>
      <c r="S10" s="1568"/>
      <c r="T10" s="497" t="s">
        <v>1531</v>
      </c>
      <c r="U10" s="592"/>
      <c r="V10" s="592"/>
      <c r="W10" s="592"/>
      <c r="X10" s="592"/>
      <c r="Y10" s="592"/>
      <c r="Z10" s="592"/>
      <c r="AA10" s="592"/>
      <c r="AB10" s="592"/>
      <c r="AC10" s="592"/>
      <c r="AD10" s="592"/>
      <c r="AE10" s="592"/>
      <c r="AF10" s="592"/>
      <c r="AG10" s="592"/>
      <c r="AH10" s="592"/>
      <c r="AI10" s="592"/>
      <c r="AJ10" s="592"/>
      <c r="AK10" s="592"/>
      <c r="AL10" s="544"/>
      <c r="AM10" s="2421"/>
      <c r="AO10" s="737"/>
      <c r="AP10" s="737" t="str">
        <f>IF(T10="","",T10)</f>
        <v>Добавить вид теплоносителя (параметры теплоносителя)</v>
      </c>
      <c r="AQ10" s="737"/>
      <c r="AR10" s="737"/>
    </row>
    <row customHeight="1" ht="15" hidden="1">
      <c r="A11" s="1659"/>
      <c r="B11" s="1659"/>
      <c r="C11" s="1659"/>
      <c r="D11" s="1659"/>
      <c r="E11" s="2425"/>
      <c r="F11" s="2425"/>
      <c r="G11" s="2425"/>
      <c r="H11" s="2425"/>
      <c r="I11" s="2453"/>
      <c r="J11" s="1659"/>
      <c r="K11" s="1659"/>
      <c r="L11" s="1660"/>
      <c r="M11" s="774"/>
      <c r="P11" s="2423"/>
      <c r="Q11" s="1626"/>
      <c r="R11" s="577"/>
      <c r="S11" s="1568"/>
      <c r="T11" s="589" t="s">
        <v>1532</v>
      </c>
      <c r="U11" s="592"/>
      <c r="V11" s="592"/>
      <c r="W11" s="592"/>
      <c r="X11" s="592"/>
      <c r="Y11" s="592"/>
      <c r="Z11" s="592"/>
      <c r="AA11" s="592"/>
      <c r="AB11" s="592"/>
      <c r="AC11" s="591"/>
      <c r="AD11" s="592"/>
      <c r="AE11" s="592"/>
      <c r="AF11" s="592"/>
      <c r="AG11" s="592"/>
      <c r="AH11" s="592"/>
      <c r="AI11" s="592"/>
      <c r="AJ11" s="592"/>
      <c r="AK11" s="591"/>
      <c r="AL11" s="592"/>
      <c r="AM11" s="513"/>
      <c r="AO11" s="737"/>
      <c r="AP11" s="737" t="str">
        <f>IF(T11="","",T11)</f>
        <v>Добавить группу потребителей</v>
      </c>
      <c r="AQ11" s="737"/>
      <c r="AR11" s="737"/>
    </row>
    <row customHeight="1" ht="14.25" hidden="1">
      <c r="A12" s="1659"/>
      <c r="B12" s="1659"/>
      <c r="C12" s="1659"/>
      <c r="D12" s="1659"/>
      <c r="E12" s="2425"/>
      <c r="F12" s="2425"/>
      <c r="G12" s="2425"/>
      <c r="H12" s="2424"/>
      <c r="I12" s="1659"/>
      <c r="J12" s="1659"/>
      <c r="K12" s="1659"/>
      <c r="L12" s="1660"/>
      <c r="M12" s="1661"/>
      <c r="N12" s="1661"/>
      <c r="O12" s="774"/>
      <c r="P12" s="581"/>
      <c r="Q12" s="601"/>
      <c r="R12" s="576"/>
      <c r="S12" s="1682"/>
      <c r="T12" s="1683"/>
      <c r="U12" s="1684"/>
      <c r="V12" s="1684"/>
      <c r="W12" s="1684"/>
      <c r="X12" s="1684"/>
      <c r="Y12" s="1684"/>
      <c r="Z12" s="1684"/>
      <c r="AA12" s="1684"/>
      <c r="AB12" s="1684"/>
      <c r="AC12" s="1684"/>
      <c r="AD12" s="1684"/>
      <c r="AE12" s="1684"/>
      <c r="AF12" s="1684"/>
      <c r="AG12" s="1684"/>
      <c r="AH12" s="1684"/>
      <c r="AI12" s="1684"/>
      <c r="AJ12" s="1684"/>
      <c r="AK12" s="1684"/>
      <c r="AL12" s="1684"/>
      <c r="AM12" s="1685"/>
      <c r="AO12" s="737"/>
      <c r="AP12" s="737" t="str">
        <f>IF(T12="","",T12)</f>
        <v/>
      </c>
      <c r="AQ12" s="737"/>
      <c r="AR12" s="737"/>
    </row>
    <row s="10863" customFormat="1" customHeight="1" ht="0.75" hidden="1">
      <c r="A13" s="1609"/>
      <c r="B13" s="1609"/>
      <c r="C13" s="1609"/>
      <c r="D13" s="1609"/>
      <c r="E13" s="2425"/>
      <c r="F13" s="2425"/>
      <c r="G13" s="2424"/>
      <c r="H13" s="1609"/>
      <c r="I13" s="1609"/>
      <c r="J13" s="1609"/>
      <c r="K13" s="1609"/>
      <c r="L13" s="1634"/>
      <c r="M13" s="1610"/>
      <c r="N13" s="1610"/>
      <c r="P13" s="1611"/>
      <c r="Q13" s="1612"/>
      <c r="R13" s="1611"/>
      <c r="S13" s="1613"/>
      <c r="T13" s="1614" t="s">
        <v>1492</v>
      </c>
      <c r="U13" s="1615"/>
      <c r="V13" s="1615"/>
      <c r="W13" s="1615"/>
      <c r="X13" s="1615"/>
      <c r="Y13" s="1615"/>
      <c r="Z13" s="1615"/>
      <c r="AA13" s="1615"/>
      <c r="AB13" s="1615"/>
      <c r="AC13" s="1615"/>
      <c r="AD13" s="1615"/>
      <c r="AE13" s="1615"/>
      <c r="AF13" s="1615"/>
      <c r="AG13" s="1615"/>
      <c r="AH13" s="1615"/>
      <c r="AI13" s="1615"/>
      <c r="AJ13" s="1615"/>
      <c r="AK13" s="1615"/>
      <c r="AL13" s="1615"/>
      <c r="AM13" s="1615"/>
      <c r="AO13" s="1029"/>
      <c r="AP13" s="1029" t="str">
        <f>IF(T13="","",T13)</f>
        <v>Добавить источник для дифференциации</v>
      </c>
      <c r="AQ13" s="1029"/>
      <c r="AR13" s="1029"/>
    </row>
    <row s="10863" customFormat="1" customHeight="1" ht="0.75" hidden="1">
      <c r="A14" s="1609"/>
      <c r="B14" s="1609"/>
      <c r="C14" s="1609"/>
      <c r="D14" s="1609"/>
      <c r="E14" s="2425"/>
      <c r="F14" s="2424"/>
      <c r="G14" s="1609"/>
      <c r="H14" s="1609"/>
      <c r="I14" s="1609"/>
      <c r="J14" s="1609"/>
      <c r="K14" s="1609"/>
      <c r="L14" s="1634"/>
      <c r="M14" s="1616"/>
      <c r="N14" s="1616"/>
      <c r="P14" s="1611"/>
      <c r="Q14" s="1612"/>
      <c r="R14" s="1611"/>
      <c r="S14" s="1617"/>
      <c r="T14" s="1618" t="s">
        <v>1493</v>
      </c>
      <c r="U14" s="1619"/>
      <c r="V14" s="1619"/>
      <c r="W14" s="1619"/>
      <c r="X14" s="1619"/>
      <c r="Y14" s="1619"/>
      <c r="Z14" s="1619"/>
      <c r="AA14" s="1619"/>
      <c r="AB14" s="1619"/>
      <c r="AC14" s="1619"/>
      <c r="AD14" s="1619"/>
      <c r="AE14" s="1619"/>
      <c r="AF14" s="1619"/>
      <c r="AG14" s="1619"/>
      <c r="AH14" s="1619"/>
      <c r="AI14" s="1619"/>
      <c r="AJ14" s="1619"/>
      <c r="AK14" s="1619"/>
      <c r="AL14" s="1619"/>
      <c r="AM14" s="1619"/>
      <c r="AO14" s="1029"/>
      <c r="AP14" s="1029" t="str">
        <f>IF(T14="","",T14)</f>
        <v>Добавить централизованную систему для дифференциации</v>
      </c>
      <c r="AQ14" s="1029"/>
      <c r="AR14" s="1029"/>
    </row>
    <row s="10863" customFormat="1" customHeight="1" ht="0.75" hidden="1">
      <c r="A15" s="1609"/>
      <c r="B15" s="1609"/>
      <c r="C15" s="1609"/>
      <c r="D15" s="1609"/>
      <c r="E15" s="2424"/>
      <c r="F15" s="1609"/>
      <c r="G15" s="1609"/>
      <c r="H15" s="1609"/>
      <c r="I15" s="1609"/>
      <c r="J15" s="1609"/>
      <c r="K15" s="1609"/>
      <c r="L15" s="1634"/>
      <c r="M15" s="1616"/>
      <c r="N15" s="1616"/>
      <c r="P15" s="1611"/>
      <c r="Q15" s="1612"/>
      <c r="R15" s="1611"/>
      <c r="S15" s="1617"/>
      <c r="T15" s="1620" t="s">
        <v>1494</v>
      </c>
      <c r="U15" s="1619"/>
      <c r="V15" s="1619"/>
      <c r="W15" s="1619"/>
      <c r="X15" s="1619"/>
      <c r="Y15" s="1619"/>
      <c r="Z15" s="1619"/>
      <c r="AA15" s="1619"/>
      <c r="AB15" s="1619"/>
      <c r="AC15" s="1619"/>
      <c r="AD15" s="1619"/>
      <c r="AE15" s="1619"/>
      <c r="AF15" s="1619"/>
      <c r="AG15" s="1619"/>
      <c r="AH15" s="1619"/>
      <c r="AI15" s="1619"/>
      <c r="AJ15" s="1619"/>
      <c r="AK15" s="1619"/>
      <c r="AL15" s="1619"/>
      <c r="AM15" s="1619"/>
      <c r="AO15" s="1029"/>
      <c r="AP15" s="1029" t="str">
        <f>IF(T15="","",T15)</f>
        <v>Добавить территорию для дифференциации</v>
      </c>
      <c r="AQ15" s="1029"/>
      <c r="AR15" s="1029"/>
    </row>
    <row customHeight="1" ht="14.25" hidden="1">
      <c r="AC16" s="548"/>
      <c r="AK16" s="548"/>
    </row>
    <row customHeight="1" ht="14.25" hidden="1">
      <c r="AD17" s="4098"/>
      <c r="AE17" s="4098"/>
      <c r="AF17" s="4098"/>
      <c r="AG17" s="4099"/>
      <c r="AH17" s="2432"/>
      <c r="AI17" s="2433" t="s">
        <v>67</v>
      </c>
      <c r="AJ17" s="2432"/>
      <c r="AK17" s="2433" t="s">
        <v>67</v>
      </c>
    </row>
    <row customHeight="1" ht="14.25" hidden="1">
      <c r="AD18" s="4098"/>
      <c r="AE18" s="4098"/>
      <c r="AF18" s="4098"/>
      <c r="AG18" s="4071" t="str">
        <f>AH17&amp;"-"&amp;AJ17</f>
        <v>-</v>
      </c>
      <c r="AH18" s="2433"/>
      <c r="AI18" s="2433"/>
      <c r="AJ18" s="2433"/>
      <c r="AK18" s="2433"/>
    </row>
    <row customHeight="1" ht="14.25" hidden="1">
      <c r="AK19" s="548"/>
    </row>
    <row s="11074" customFormat="1" customHeight="1" ht="22.5" hidden="1">
      <c r="L20" s="1624"/>
      <c r="M20" s="1658"/>
      <c r="N20" s="1658"/>
      <c r="O20" s="1663" t="s">
        <v>1534</v>
      </c>
      <c r="P20" s="1658"/>
      <c r="Q20" s="1667"/>
      <c r="R20" s="1667"/>
      <c r="S20" s="967"/>
      <c r="Z20" s="1663"/>
      <c r="AB20" s="1663"/>
      <c r="AC20" s="1662"/>
      <c r="AH20" s="1663"/>
      <c r="AJ20" s="1663"/>
      <c r="AK20" s="1662"/>
      <c r="AN20" s="748"/>
      <c r="AO20" s="748"/>
      <c r="AP20" s="748"/>
      <c r="AQ20" s="748"/>
      <c r="AR20" s="748"/>
    </row>
    <row s="11074" customFormat="1" customHeight="1" ht="14.25" hidden="1">
      <c r="L21" s="1624"/>
      <c r="M21" s="1658"/>
      <c r="N21" s="1658"/>
      <c r="O21" s="1658"/>
      <c r="P21" s="1658"/>
      <c r="Q21" s="1667"/>
      <c r="R21" s="1667"/>
      <c r="S21" s="967"/>
      <c r="AC21" s="1662"/>
      <c r="AK21" s="1662"/>
      <c r="AN21" s="748"/>
      <c r="AO21" s="748"/>
      <c r="AP21" s="748"/>
      <c r="AQ21" s="748"/>
      <c r="AR21" s="748"/>
    </row>
    <row s="11074" customFormat="1" customHeight="1" ht="14.25" hidden="1">
      <c r="L22" s="1624"/>
      <c r="M22" s="1658"/>
      <c r="N22" s="1658"/>
      <c r="O22" s="1660" t="s">
        <v>1535</v>
      </c>
      <c r="P22" s="1658"/>
      <c r="Q22" s="1667"/>
      <c r="R22" s="1667"/>
      <c r="S22" s="967"/>
      <c r="T22" s="1421" t="s">
        <v>1536</v>
      </c>
      <c r="AA22" s="393" t="s">
        <v>1537</v>
      </c>
      <c r="AC22" s="393" t="s">
        <v>1538</v>
      </c>
      <c r="AD22" s="1421" t="s">
        <v>1536</v>
      </c>
      <c r="AI22" s="393" t="s">
        <v>1539</v>
      </c>
      <c r="AK22" s="393" t="s">
        <v>1538</v>
      </c>
      <c r="AN22" s="748"/>
      <c r="AO22" s="748"/>
      <c r="AP22" s="748"/>
      <c r="AQ22" s="748"/>
      <c r="AR22" s="748"/>
    </row>
    <row customHeight="1" ht="14.25" hidden="1">
      <c r="O23" s="1660"/>
    </row>
    <row customHeight="1" ht="14.25" hidden="1">
      <c r="O24" s="1660"/>
    </row>
    <row customHeight="1" ht="14.25">
      <c r="Q25" s="602"/>
      <c r="R25" s="602"/>
      <c r="S25" s="1565"/>
      <c r="T25" s="586"/>
      <c r="U25" s="586"/>
      <c r="V25" s="746"/>
      <c r="W25" s="746"/>
      <c r="X25" s="746"/>
      <c r="Y25" s="746"/>
      <c r="Z25" s="746"/>
      <c r="AA25" s="746"/>
      <c r="AB25" s="746"/>
      <c r="AC25" s="746"/>
      <c r="AD25" s="746"/>
      <c r="AE25" s="746"/>
      <c r="AF25" s="746"/>
      <c r="AG25" s="746"/>
      <c r="AH25" s="746"/>
      <c r="AI25" s="746"/>
      <c r="AJ25" s="746"/>
      <c r="AK25" s="746"/>
    </row>
    <row customHeight="1" ht="64.5">
      <c r="Q26" s="602"/>
      <c r="R26" s="602"/>
      <c r="S26" s="2414" t="str">
        <f>IF(TEMPLATE_GROUP="P",PT_P_FORM_HEAT_5_NAME_FORM,PT_R_FORM_HEAT_22_NAME_FORM)</f>
        <v>Форма 22. Информация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23.4 Федерального закона "О теплоснабжении" &lt;1&gt;</v>
      </c>
      <c r="T26" s="2414"/>
      <c r="U26" s="2414"/>
      <c r="V26" s="2414"/>
      <c r="W26" s="2414"/>
      <c r="X26" s="2414"/>
      <c r="Y26" s="2414"/>
      <c r="Z26" s="2414"/>
      <c r="AA26" s="2414"/>
      <c r="AB26" s="2414"/>
      <c r="AC26" s="2414"/>
      <c r="AD26" s="2414"/>
      <c r="AE26" s="2414"/>
      <c r="AF26" s="2414"/>
      <c r="AG26" s="2414"/>
      <c r="AH26" s="2414"/>
      <c r="AI26" s="2414"/>
      <c r="AJ26" s="2414"/>
      <c r="AK26" s="1521"/>
    </row>
    <row customHeight="1" ht="14.25">
      <c r="Q27" s="602"/>
      <c r="R27" s="602"/>
      <c r="S27" s="2415" t="str">
        <f>IF(org=0,"Не определено",org)</f>
        <v>ООО "СамРЭК-Тепло Жигулевск"</v>
      </c>
      <c r="T27" s="2415"/>
      <c r="U27" s="2415"/>
      <c r="V27" s="2415"/>
      <c r="W27" s="2415"/>
      <c r="X27" s="2415"/>
      <c r="Y27" s="2415"/>
      <c r="Z27" s="2415"/>
      <c r="AA27" s="2415"/>
      <c r="AB27" s="2415"/>
      <c r="AC27" s="2415"/>
      <c r="AD27" s="2415"/>
      <c r="AE27" s="2415"/>
      <c r="AF27" s="2415"/>
      <c r="AG27" s="2415"/>
      <c r="AH27" s="2415"/>
      <c r="AI27" s="2415"/>
      <c r="AJ27" s="2415"/>
      <c r="AK27" s="1521"/>
    </row>
    <row customHeight="1" ht="14.25" hidden="1">
      <c r="Q28" s="602"/>
      <c r="R28" s="602"/>
      <c r="S28" s="1565"/>
      <c r="T28" s="586"/>
      <c r="U28" s="586"/>
      <c r="V28" s="541"/>
      <c r="W28" s="541"/>
      <c r="X28" s="541"/>
      <c r="Y28" s="541"/>
      <c r="Z28" s="541"/>
      <c r="AA28" s="541"/>
      <c r="AB28" s="541"/>
      <c r="AC28" s="541"/>
      <c r="AD28" s="541"/>
      <c r="AE28" s="541"/>
      <c r="AF28" s="541"/>
      <c r="AG28" s="541"/>
      <c r="AH28" s="541"/>
      <c r="AI28" s="541"/>
      <c r="AJ28" s="541"/>
      <c r="AK28" s="541"/>
      <c r="AL28" s="746"/>
    </row>
    <row s="10859" customFormat="1" customHeight="1" ht="25.5" hidden="1">
      <c r="A29" s="1664"/>
      <c r="B29" s="1664"/>
      <c r="C29" s="1664"/>
      <c r="D29" s="1664"/>
      <c r="E29" s="1664"/>
      <c r="F29" s="1664"/>
      <c r="G29" s="1664"/>
      <c r="H29" s="1664"/>
      <c r="I29" s="1664"/>
      <c r="J29" s="1664"/>
      <c r="K29" s="1664"/>
      <c r="L29" s="1665"/>
      <c r="M29" s="1664"/>
      <c r="N29" s="1664"/>
      <c r="O29" s="1664"/>
      <c r="S29" s="2416" t="s">
        <v>39</v>
      </c>
      <c r="T29" s="2416"/>
      <c r="U29" s="1668"/>
      <c r="V29" s="2417" t="str">
        <f>IF(TITLE_NAME_OR_PR_CHANGE="",IF(TITLE_NAME_OR_PR="","",TITLE_NAME_OR_PR),TITLE_NAME_OR_PR_CHANGE)</f>
        <v/>
      </c>
      <c r="W29" s="2417"/>
      <c r="X29" s="2417"/>
      <c r="Y29" s="2417"/>
      <c r="Z29" s="2417"/>
      <c r="AA29" s="2417"/>
      <c r="AB29" s="2417"/>
      <c r="AC29" s="547"/>
      <c r="AD29" s="2417" t="str">
        <f>IF(TITLE_NAME_OR_PR_CHANGE="",IF(TITLE_NAME_OR_PR="","",TITLE_NAME_OR_PR),TITLE_NAME_OR_PR_CHANGE)</f>
        <v/>
      </c>
      <c r="AE29" s="2417"/>
      <c r="AF29" s="2417"/>
      <c r="AG29" s="2417"/>
      <c r="AH29" s="2417"/>
      <c r="AI29" s="2417"/>
      <c r="AJ29" s="2417"/>
      <c r="AK29" s="547"/>
      <c r="AL29" s="547"/>
      <c r="AM29" s="490"/>
      <c r="AN29" s="593"/>
      <c r="AO29" s="593"/>
      <c r="AP29" s="593"/>
      <c r="AQ29" s="593"/>
      <c r="AR29" s="593"/>
    </row>
    <row s="10859" customFormat="1" customHeight="1" ht="18.75" hidden="1">
      <c r="A30" s="1664"/>
      <c r="B30" s="1664"/>
      <c r="C30" s="1664"/>
      <c r="D30" s="1664"/>
      <c r="E30" s="1664"/>
      <c r="F30" s="1664"/>
      <c r="G30" s="1664"/>
      <c r="H30" s="1664"/>
      <c r="I30" s="1664"/>
      <c r="J30" s="1664"/>
      <c r="K30" s="1664"/>
      <c r="L30" s="1665"/>
      <c r="M30" s="1664"/>
      <c r="N30" s="1664"/>
      <c r="O30" s="1664"/>
      <c r="S30" s="2416" t="s">
        <v>1540</v>
      </c>
      <c r="T30" s="2416"/>
      <c r="U30" s="1668"/>
      <c r="V30" s="2417" t="str">
        <f>IF(TITLE_DATE_CHANGE_PERIOD="",IF(TITLE_DATE_PR="","",TITLE_DATE_PR),TITLE_DATE_CHANGE_PERIOD)</f>
        <v/>
      </c>
      <c r="W30" s="2417"/>
      <c r="X30" s="2417"/>
      <c r="Y30" s="2417"/>
      <c r="Z30" s="2417"/>
      <c r="AA30" s="2417"/>
      <c r="AB30" s="2417"/>
      <c r="AC30" s="547"/>
      <c r="AD30" s="2417" t="str">
        <f>IF(TITLE_DATE_CHANGE_PERIOD="",IF(TITLE_DATE_PR="","",TITLE_DATE_PR),TITLE_DATE_CHANGE_PERIOD)</f>
        <v/>
      </c>
      <c r="AE30" s="2417"/>
      <c r="AF30" s="2417"/>
      <c r="AG30" s="2417"/>
      <c r="AH30" s="2417"/>
      <c r="AI30" s="2417"/>
      <c r="AJ30" s="2417"/>
      <c r="AK30" s="547"/>
      <c r="AL30" s="547"/>
      <c r="AM30" s="490"/>
      <c r="AN30" s="593"/>
      <c r="AO30" s="593"/>
      <c r="AP30" s="593"/>
      <c r="AQ30" s="593"/>
      <c r="AR30" s="593"/>
    </row>
    <row s="10859" customFormat="1" customHeight="1" ht="18.75" hidden="1">
      <c r="A31" s="1664"/>
      <c r="B31" s="1664"/>
      <c r="C31" s="1664"/>
      <c r="D31" s="1664"/>
      <c r="E31" s="1664"/>
      <c r="F31" s="1664"/>
      <c r="G31" s="1664"/>
      <c r="H31" s="1664"/>
      <c r="I31" s="1664"/>
      <c r="J31" s="1664"/>
      <c r="K31" s="1664"/>
      <c r="L31" s="1665"/>
      <c r="M31" s="1664"/>
      <c r="N31" s="1664"/>
      <c r="O31" s="1664"/>
      <c r="S31" s="2416" t="s">
        <v>1541</v>
      </c>
      <c r="T31" s="2416"/>
      <c r="U31" s="1668"/>
      <c r="V31" s="2417" t="str">
        <f>IF(TITLE_NUMBER_PR_CHANGE="",IF(TITLE_NUMBER_PR="","",TITLE_NUMBER_PR),TITLE_NUMBER_PR_CHANGE)</f>
        <v/>
      </c>
      <c r="W31" s="2417"/>
      <c r="X31" s="2417"/>
      <c r="Y31" s="2417"/>
      <c r="Z31" s="2417"/>
      <c r="AA31" s="2417"/>
      <c r="AB31" s="2417"/>
      <c r="AC31" s="547"/>
      <c r="AD31" s="2417" t="str">
        <f>IF(TITLE_NUMBER_PR_CHANGE="",IF(TITLE_NUMBER_PR="","",TITLE_NUMBER_PR),TITLE_NUMBER_PR_CHANGE)</f>
        <v/>
      </c>
      <c r="AE31" s="2417"/>
      <c r="AF31" s="2417"/>
      <c r="AG31" s="2417"/>
      <c r="AH31" s="2417"/>
      <c r="AI31" s="2417"/>
      <c r="AJ31" s="2417"/>
      <c r="AK31" s="547"/>
      <c r="AL31" s="547"/>
      <c r="AM31" s="490"/>
      <c r="AN31" s="593"/>
      <c r="AO31" s="593"/>
      <c r="AP31" s="593"/>
      <c r="AQ31" s="593"/>
      <c r="AR31" s="593"/>
    </row>
    <row s="10859" customFormat="1" customHeight="1" ht="18.75" hidden="1">
      <c r="A32" s="1664"/>
      <c r="B32" s="1664"/>
      <c r="C32" s="1664"/>
      <c r="D32" s="1664"/>
      <c r="E32" s="1664"/>
      <c r="F32" s="1664"/>
      <c r="G32" s="1664"/>
      <c r="H32" s="1664"/>
      <c r="I32" s="1664"/>
      <c r="J32" s="1664"/>
      <c r="K32" s="1664"/>
      <c r="L32" s="1665"/>
      <c r="M32" s="1664"/>
      <c r="N32" s="1664"/>
      <c r="O32" s="1664"/>
      <c r="S32" s="2416" t="s">
        <v>40</v>
      </c>
      <c r="T32" s="2416"/>
      <c r="U32" s="1668"/>
      <c r="V32" s="2417" t="str">
        <f>IF(TITLE_IST_PUB_CHANGE="",IF(TITLE_IST_PUB="","",TITLE_IST_PUB),TITLE_IST_PUB_CHANGE)</f>
        <v/>
      </c>
      <c r="W32" s="2417"/>
      <c r="X32" s="2417"/>
      <c r="Y32" s="2417"/>
      <c r="Z32" s="2417"/>
      <c r="AA32" s="2417"/>
      <c r="AB32" s="2417"/>
      <c r="AC32" s="547"/>
      <c r="AD32" s="2417" t="str">
        <f>IF(TITLE_IST_PUB_CHANGE="",IF(TITLE_IST_PUB="","",TITLE_IST_PUB),TITLE_IST_PUB_CHANGE)</f>
        <v/>
      </c>
      <c r="AE32" s="2417"/>
      <c r="AF32" s="2417"/>
      <c r="AG32" s="2417"/>
      <c r="AH32" s="2417"/>
      <c r="AI32" s="2417"/>
      <c r="AJ32" s="2417"/>
      <c r="AK32" s="547"/>
      <c r="AL32" s="547"/>
      <c r="AM32" s="490"/>
      <c r="AN32" s="593"/>
      <c r="AO32" s="593"/>
      <c r="AP32" s="593"/>
      <c r="AQ32" s="593"/>
      <c r="AR32" s="593"/>
    </row>
    <row customHeight="1" ht="14.25" hidden="1">
      <c r="Q33" s="602"/>
      <c r="R33" s="602"/>
      <c r="S33" s="1565"/>
      <c r="T33" s="586"/>
      <c r="U33" s="586"/>
      <c r="V33" s="541"/>
      <c r="W33" s="541"/>
      <c r="X33" s="541"/>
      <c r="Y33" s="541"/>
      <c r="Z33" s="541"/>
      <c r="AA33" s="541"/>
      <c r="AB33" s="541"/>
      <c r="AC33" s="541"/>
      <c r="AD33" s="541"/>
      <c r="AE33" s="541"/>
      <c r="AF33" s="541"/>
      <c r="AG33" s="541"/>
      <c r="AH33" s="541"/>
      <c r="AI33" s="541"/>
      <c r="AJ33" s="541"/>
      <c r="AK33" s="541"/>
      <c r="AL33" s="746"/>
    </row>
    <row s="10859" customFormat="1" customHeight="1" ht="18.75" hidden="1">
      <c r="A34" s="1664"/>
      <c r="B34" s="1664"/>
      <c r="C34" s="1664"/>
      <c r="D34" s="1664"/>
      <c r="E34" s="1664"/>
      <c r="F34" s="1664"/>
      <c r="G34" s="1664"/>
      <c r="H34" s="1664"/>
      <c r="I34" s="1664"/>
      <c r="J34" s="1664"/>
      <c r="K34" s="1664"/>
      <c r="L34" s="1665"/>
      <c r="M34" s="1664"/>
      <c r="N34" s="1664"/>
      <c r="O34" s="1664"/>
      <c r="S34" s="2416" t="s">
        <v>1542</v>
      </c>
      <c r="T34" s="2416"/>
      <c r="U34" s="1668"/>
      <c r="V34" s="2417" t="str">
        <f>IF(TITLE_DATE_CHANGE_PERIOD="",IF(TITLE_DATE_PR="","",TITLE_DATE_PR),TITLE_DATE_CHANGE_PERIOD)</f>
        <v/>
      </c>
      <c r="W34" s="2417"/>
      <c r="X34" s="2417"/>
      <c r="Y34" s="2417"/>
      <c r="Z34" s="2417"/>
      <c r="AA34" s="2417"/>
      <c r="AB34" s="2417"/>
      <c r="AC34" s="547"/>
      <c r="AD34" s="2417" t="str">
        <f>IF(TITLE_DATE_CHANGE_PERIOD="",IF(TITLE_DATE_PR="","",TITLE_DATE_PR),TITLE_DATE_CHANGE_PERIOD)</f>
        <v/>
      </c>
      <c r="AE34" s="2417"/>
      <c r="AF34" s="2417"/>
      <c r="AG34" s="2417"/>
      <c r="AH34" s="2417"/>
      <c r="AI34" s="2417"/>
      <c r="AJ34" s="2417"/>
      <c r="AK34" s="547"/>
      <c r="AL34" s="547"/>
      <c r="AM34" s="490"/>
      <c r="AN34" s="593"/>
      <c r="AO34" s="593"/>
      <c r="AP34" s="593"/>
      <c r="AQ34" s="593"/>
      <c r="AR34" s="593"/>
    </row>
    <row s="10859" customFormat="1" customHeight="1" ht="18.75" hidden="1">
      <c r="A35" s="1664"/>
      <c r="B35" s="1664"/>
      <c r="C35" s="1664"/>
      <c r="D35" s="1664"/>
      <c r="E35" s="1664"/>
      <c r="F35" s="1664"/>
      <c r="G35" s="1664"/>
      <c r="H35" s="1664"/>
      <c r="I35" s="1664"/>
      <c r="J35" s="1664"/>
      <c r="K35" s="1664"/>
      <c r="L35" s="1665"/>
      <c r="M35" s="1664"/>
      <c r="N35" s="1664"/>
      <c r="O35" s="1664"/>
      <c r="S35" s="2416" t="s">
        <v>1543</v>
      </c>
      <c r="T35" s="2416"/>
      <c r="U35" s="1668"/>
      <c r="V35" s="2417" t="str">
        <f>IF(TITLE_NUMBER_PR_CHANGE="",IF(TITLE_NUMBER_PR="","",TITLE_NUMBER_PR),TITLE_NUMBER_PR_CHANGE)</f>
        <v/>
      </c>
      <c r="W35" s="2417"/>
      <c r="X35" s="2417"/>
      <c r="Y35" s="2417"/>
      <c r="Z35" s="2417"/>
      <c r="AA35" s="2417"/>
      <c r="AB35" s="2417"/>
      <c r="AC35" s="547"/>
      <c r="AD35" s="2417" t="str">
        <f>IF(TITLE_NUMBER_PR_CHANGE="",IF(TITLE_NUMBER_PR="","",TITLE_NUMBER_PR),TITLE_NUMBER_PR_CHANGE)</f>
        <v/>
      </c>
      <c r="AE35" s="2417"/>
      <c r="AF35" s="2417"/>
      <c r="AG35" s="2417"/>
      <c r="AH35" s="2417"/>
      <c r="AI35" s="2417"/>
      <c r="AJ35" s="2417"/>
      <c r="AK35" s="547"/>
      <c r="AL35" s="547"/>
      <c r="AM35" s="490"/>
      <c r="AN35" s="593"/>
      <c r="AO35" s="593"/>
      <c r="AP35" s="593"/>
      <c r="AQ35" s="593"/>
      <c r="AR35" s="593"/>
    </row>
    <row s="10859" customFormat="1" customHeight="1" ht="0">
      <c r="A36" s="1664"/>
      <c r="B36" s="1664"/>
      <c r="C36" s="1664"/>
      <c r="D36" s="1664"/>
      <c r="E36" s="1664"/>
      <c r="F36" s="1664"/>
      <c r="G36" s="1664"/>
      <c r="H36" s="1664"/>
      <c r="I36" s="1664"/>
      <c r="J36" s="1664"/>
      <c r="K36" s="1664"/>
      <c r="L36" s="1665"/>
      <c r="M36" s="1664"/>
      <c r="N36" s="1664"/>
      <c r="O36" s="1664"/>
      <c r="S36" s="543"/>
      <c r="T36" s="543"/>
      <c r="U36" s="1635"/>
      <c r="V36" s="547"/>
      <c r="W36" s="547"/>
      <c r="X36" s="547"/>
      <c r="Y36" s="547"/>
      <c r="Z36" s="547"/>
      <c r="AA36" s="547"/>
      <c r="AB36" s="547"/>
      <c r="AC36" s="488" t="s">
        <v>1544</v>
      </c>
      <c r="AD36" s="547"/>
      <c r="AE36" s="547"/>
      <c r="AF36" s="547"/>
      <c r="AG36" s="547"/>
      <c r="AH36" s="547"/>
      <c r="AI36" s="547"/>
      <c r="AJ36" s="547"/>
      <c r="AK36" s="488" t="s">
        <v>1544</v>
      </c>
      <c r="AN36" s="593"/>
      <c r="AO36" s="593"/>
      <c r="AP36" s="593"/>
      <c r="AQ36" s="593"/>
      <c r="AR36" s="593"/>
    </row>
    <row customHeight="1" ht="14.25">
      <c r="Q37" s="602"/>
      <c r="R37" s="602"/>
      <c r="S37" s="1565"/>
      <c r="T37" s="586"/>
      <c r="U37" s="1522"/>
      <c r="V37" s="2418"/>
      <c r="W37" s="2418"/>
      <c r="X37" s="2418"/>
      <c r="Y37" s="2418"/>
      <c r="Z37" s="2418"/>
      <c r="AA37" s="2418"/>
      <c r="AB37" s="2418"/>
      <c r="AC37" s="2418"/>
      <c r="AD37" s="2418"/>
      <c r="AE37" s="2418"/>
      <c r="AF37" s="2418"/>
      <c r="AG37" s="2418"/>
      <c r="AH37" s="2418"/>
      <c r="AI37" s="2418"/>
      <c r="AJ37" s="2418"/>
      <c r="AK37" s="2418"/>
    </row>
    <row customHeight="1" ht="14.25">
      <c r="Q38" s="602"/>
      <c r="R38" s="602"/>
      <c r="S38" s="2277" t="s">
        <v>362</v>
      </c>
      <c r="T38" s="2277"/>
      <c r="U38" s="2277"/>
      <c r="V38" s="2277"/>
      <c r="W38" s="2277"/>
      <c r="X38" s="2277"/>
      <c r="Y38" s="2277"/>
      <c r="Z38" s="2277"/>
      <c r="AA38" s="2277"/>
      <c r="AB38" s="2277"/>
      <c r="AC38" s="2277"/>
      <c r="AD38" s="2277"/>
      <c r="AE38" s="2277"/>
      <c r="AF38" s="2277"/>
      <c r="AG38" s="2277"/>
      <c r="AH38" s="2277"/>
      <c r="AI38" s="2277"/>
      <c r="AJ38" s="2277"/>
      <c r="AK38" s="2277"/>
      <c r="AL38" s="2277"/>
      <c r="AM38" s="2277" t="s">
        <v>363</v>
      </c>
    </row>
    <row customHeight="1" ht="14.25">
      <c r="Q39" s="602"/>
      <c r="R39" s="602"/>
      <c r="S39" s="2440" t="s">
        <v>88</v>
      </c>
      <c r="T39" s="2301" t="s">
        <v>1545</v>
      </c>
      <c r="U39" s="511"/>
      <c r="V39" s="2441" t="s">
        <v>1546</v>
      </c>
      <c r="W39" s="2442"/>
      <c r="X39" s="2442"/>
      <c r="Y39" s="2442"/>
      <c r="Z39" s="2442"/>
      <c r="AA39" s="2442"/>
      <c r="AB39" s="2443"/>
      <c r="AC39" s="2444" t="s">
        <v>1547</v>
      </c>
      <c r="AD39" s="2441" t="s">
        <v>1546</v>
      </c>
      <c r="AE39" s="2442"/>
      <c r="AF39" s="2442"/>
      <c r="AG39" s="2442"/>
      <c r="AH39" s="2442"/>
      <c r="AI39" s="2442"/>
      <c r="AJ39" s="2443"/>
      <c r="AK39" s="2444" t="s">
        <v>1548</v>
      </c>
      <c r="AL39" s="2447" t="s">
        <v>1549</v>
      </c>
      <c r="AM39" s="2277"/>
    </row>
    <row customHeight="1" ht="33.75">
      <c r="Q40" s="602"/>
      <c r="R40" s="602"/>
      <c r="S40" s="2440"/>
      <c r="T40" s="2301"/>
      <c r="U40" s="1289"/>
      <c r="V40" s="2426" t="s">
        <v>1550</v>
      </c>
      <c r="W40" s="2450"/>
      <c r="X40" s="2428" t="s">
        <v>1552</v>
      </c>
      <c r="Y40" s="2429"/>
      <c r="Z40" s="2434" t="s">
        <v>1553</v>
      </c>
      <c r="AA40" s="2435"/>
      <c r="AB40" s="2436"/>
      <c r="AC40" s="2445"/>
      <c r="AD40" s="2426" t="s">
        <v>1550</v>
      </c>
      <c r="AE40" s="2450"/>
      <c r="AF40" s="2428" t="s">
        <v>1552</v>
      </c>
      <c r="AG40" s="2429"/>
      <c r="AH40" s="2434" t="s">
        <v>1553</v>
      </c>
      <c r="AI40" s="2435"/>
      <c r="AJ40" s="2436"/>
      <c r="AK40" s="2445"/>
      <c r="AL40" s="2448"/>
      <c r="AM40" s="2277"/>
    </row>
    <row customHeight="1" ht="33.75">
      <c r="A41" s="1666"/>
      <c r="B41" s="1666" t="s">
        <v>212</v>
      </c>
      <c r="C41" s="1666" t="s">
        <v>213</v>
      </c>
      <c r="D41" s="1666" t="s">
        <v>214</v>
      </c>
      <c r="E41" s="1660" t="s">
        <v>1554</v>
      </c>
      <c r="F41" s="1660" t="s">
        <v>1555</v>
      </c>
      <c r="G41" s="1660" t="s">
        <v>1556</v>
      </c>
      <c r="H41" s="1660" t="s">
        <v>1557</v>
      </c>
      <c r="I41" s="1660" t="s">
        <v>1558</v>
      </c>
      <c r="J41" s="1660" t="s">
        <v>1559</v>
      </c>
      <c r="K41" s="1660" t="s">
        <v>1560</v>
      </c>
      <c r="L41" s="1660" t="s">
        <v>1535</v>
      </c>
      <c r="Q41" s="602"/>
      <c r="R41" s="602"/>
      <c r="S41" s="2440"/>
      <c r="T41" s="2301"/>
      <c r="U41" s="512"/>
      <c r="V41" s="2427"/>
      <c r="W41" s="2451"/>
      <c r="X41" s="1497" t="s">
        <v>1561</v>
      </c>
      <c r="Y41" s="1497" t="s">
        <v>1562</v>
      </c>
      <c r="Z41" s="1633" t="s">
        <v>1563</v>
      </c>
      <c r="AA41" s="2437" t="s">
        <v>1564</v>
      </c>
      <c r="AB41" s="2438"/>
      <c r="AC41" s="2446"/>
      <c r="AD41" s="2427"/>
      <c r="AE41" s="2451"/>
      <c r="AF41" s="1497" t="s">
        <v>1561</v>
      </c>
      <c r="AG41" s="1497" t="s">
        <v>1562</v>
      </c>
      <c r="AH41" s="1633" t="s">
        <v>1563</v>
      </c>
      <c r="AI41" s="2437" t="s">
        <v>1564</v>
      </c>
      <c r="AJ41" s="2438"/>
      <c r="AK41" s="2446"/>
      <c r="AL41" s="2449"/>
      <c r="AM41" s="2277"/>
    </row>
    <row s="10822" customFormat="1" customHeight="1" ht="11.25" hidden="1">
      <c r="A42" s="1666"/>
      <c r="B42" s="1666"/>
      <c r="C42" s="1666"/>
      <c r="D42" s="1666"/>
      <c r="E42" s="1666"/>
      <c r="F42" s="1666"/>
      <c r="G42" s="1666"/>
      <c r="H42" s="1666"/>
      <c r="I42" s="1666"/>
      <c r="J42" s="1666"/>
      <c r="K42" s="1666"/>
      <c r="L42" s="1660"/>
      <c r="M42" s="1658"/>
      <c r="N42" s="1658"/>
      <c r="O42" s="1658"/>
      <c r="P42" s="1524"/>
      <c r="Q42" s="1525"/>
      <c r="R42" s="1540">
        <v>1</v>
      </c>
      <c r="S42" s="1567" t="s">
        <v>109</v>
      </c>
      <c r="T42" s="1541" t="s">
        <v>110</v>
      </c>
      <c r="U42" s="1523" t="str">
        <f>OFFSET(U42,0,-1)</f>
        <v>2</v>
      </c>
      <c r="V42" s="1630">
        <f>OFFSET(V42,0,-1)+1</f>
        <v>3</v>
      </c>
      <c r="W42" s="1630"/>
      <c r="X42" s="1630">
        <f>OFFSET(X42,0,-1)+1</f>
        <v>1</v>
      </c>
      <c r="Y42" s="1630">
        <f>OFFSET(Y42,0,-1)+1</f>
        <v>2</v>
      </c>
      <c r="Z42" s="1630">
        <f>OFFSET(Z42,0,-1)+1</f>
        <v>3</v>
      </c>
      <c r="AA42" s="2439">
        <f>OFFSET(AA42,0,-1)+1</f>
        <v>4</v>
      </c>
      <c r="AB42" s="2439"/>
      <c r="AC42" s="1630">
        <f>OFFSET(AC42,0,-2)+1</f>
        <v>5</v>
      </c>
      <c r="AD42" s="1630">
        <f>OFFSET(AD42,0,-1)+1</f>
        <v>6</v>
      </c>
      <c r="AE42" s="1630"/>
      <c r="AF42" s="1630">
        <f>OFFSET(AF42,0,-1)+1</f>
        <v>1</v>
      </c>
      <c r="AG42" s="1630">
        <f>OFFSET(AG42,0,-1)+1</f>
        <v>2</v>
      </c>
      <c r="AH42" s="1630">
        <f>OFFSET(AH42,0,-1)+1</f>
        <v>3</v>
      </c>
      <c r="AI42" s="2439">
        <f>OFFSET(AI42,0,-1)+1</f>
        <v>4</v>
      </c>
      <c r="AJ42" s="2439"/>
      <c r="AK42" s="1630">
        <f>OFFSET(AK42,0,-2)+1</f>
        <v>5</v>
      </c>
      <c r="AL42" s="1523">
        <f>OFFSET(AL42,0,-1)</f>
        <v>5</v>
      </c>
      <c r="AM42" s="1630">
        <f>OFFSET(AM42,0,-1)+1</f>
        <v>6</v>
      </c>
      <c r="AN42" s="748"/>
      <c r="AO42" s="748"/>
      <c r="AP42" s="748"/>
      <c r="AQ42" s="748"/>
      <c r="AR42" s="748"/>
    </row>
    <row customHeight="1" ht="21">
      <c r="A43" s="1659" t="s">
        <v>253</v>
      </c>
      <c r="B43" s="1659"/>
      <c r="C43" s="1659"/>
      <c r="D43" s="1659"/>
      <c r="E43" s="2424">
        <v>1</v>
      </c>
      <c r="F43" s="1659"/>
      <c r="G43" s="1659"/>
      <c r="H43" s="1659"/>
      <c r="I43" s="1659"/>
      <c r="J43" s="1659"/>
      <c r="K43" s="1659"/>
      <c r="L43" s="1660"/>
      <c r="M43" s="1661"/>
      <c r="N43" s="1661"/>
      <c r="O43" s="1661"/>
      <c r="P43" s="582"/>
      <c r="Q43" s="581"/>
      <c r="R43" s="576"/>
      <c r="S43" s="1631">
        <f>INDEX(PT_DIFFERENTIATION_NUM_NTAR,MATCH(A43,PT_DIFFERENTIATION_NTAR_ID,0))</f>
        <v>0</v>
      </c>
      <c r="T43" s="508" t="s">
        <v>200</v>
      </c>
      <c r="U43" s="510"/>
      <c r="V43" s="4037"/>
      <c r="W43" s="4038"/>
      <c r="X43" s="4038"/>
      <c r="Y43" s="4038"/>
      <c r="Z43" s="4038"/>
      <c r="AA43" s="4038"/>
      <c r="AB43" s="4038"/>
      <c r="AC43" s="4039"/>
      <c r="AD43" s="4037" t="str">
        <f>INDEX(PT_DIFFERENTIATION_NTAR,MATCH(A43,PT_DIFFERENTIATION_NTAR_ID,0))</f>
        <v/>
      </c>
      <c r="AE43" s="4038"/>
      <c r="AF43" s="4038"/>
      <c r="AG43" s="4038"/>
      <c r="AH43" s="4038"/>
      <c r="AI43" s="4038"/>
      <c r="AJ43" s="4038"/>
      <c r="AK43" s="4038"/>
      <c r="AL43" s="4039"/>
      <c r="AM43" s="1546" t="s">
        <v>1516</v>
      </c>
      <c r="AO43" s="737"/>
      <c r="AP43" s="737" t="str">
        <f>IF(T43="","",T43)</f>
        <v>Наименование тарифа</v>
      </c>
      <c r="AQ43" s="737"/>
      <c r="AR43" s="737"/>
    </row>
    <row customHeight="1" ht="21">
      <c r="A44" s="1659" t="s">
        <v>253</v>
      </c>
      <c r="B44" s="1659" t="s">
        <v>254</v>
      </c>
      <c r="C44" s="1659"/>
      <c r="D44" s="1659"/>
      <c r="E44" s="2425"/>
      <c r="F44" s="2424">
        <v>1</v>
      </c>
      <c r="G44" s="1659"/>
      <c r="H44" s="1659"/>
      <c r="I44" s="1659"/>
      <c r="J44" s="1659"/>
      <c r="K44" s="1659"/>
      <c r="L44" s="1660"/>
      <c r="M44" s="1661"/>
      <c r="N44" s="1661"/>
      <c r="O44" s="1661"/>
      <c r="P44" s="1627"/>
      <c r="Q44" s="573"/>
      <c r="R44" s="574"/>
      <c r="S44" s="1631" t="str">
        <f>INDEX(PT_DIFFERENTIATION_NUM_TER,MATCH(B44,PT_DIFFERENTIATION_TER_ID,0))</f>
        <v>.</v>
      </c>
      <c r="T44" s="520" t="s">
        <v>1517</v>
      </c>
      <c r="U44" s="510"/>
      <c r="V44" s="4037"/>
      <c r="W44" s="4038"/>
      <c r="X44" s="4038"/>
      <c r="Y44" s="4038"/>
      <c r="Z44" s="4038"/>
      <c r="AA44" s="4038"/>
      <c r="AB44" s="4038"/>
      <c r="AC44" s="4039"/>
      <c r="AD44" s="4037" t="str">
        <f>INDEX(PT_DIFFERENTIATION_TER,MATCH(B44,PT_DIFFERENTIATION_TER_ID,0))</f>
        <v/>
      </c>
      <c r="AE44" s="4038"/>
      <c r="AF44" s="4038"/>
      <c r="AG44" s="4038"/>
      <c r="AH44" s="4038"/>
      <c r="AI44" s="4038"/>
      <c r="AJ44" s="4038"/>
      <c r="AK44" s="4038"/>
      <c r="AL44" s="4039"/>
      <c r="AM44" s="1546" t="s">
        <v>1518</v>
      </c>
      <c r="AO44" s="737"/>
      <c r="AP44" s="737" t="str">
        <f>IF(T44="","",T44)</f>
        <v>Территория действия тарифа</v>
      </c>
      <c r="AQ44" s="737"/>
      <c r="AR44" s="737"/>
    </row>
    <row customHeight="1" ht="23.25">
      <c r="A45" s="1659" t="s">
        <v>253</v>
      </c>
      <c r="B45" s="1659" t="s">
        <v>254</v>
      </c>
      <c r="C45" s="1659" t="s">
        <v>255</v>
      </c>
      <c r="D45" s="1659"/>
      <c r="E45" s="2425"/>
      <c r="F45" s="2425"/>
      <c r="G45" s="2424">
        <v>1</v>
      </c>
      <c r="H45" s="1659"/>
      <c r="I45" s="1659"/>
      <c r="J45" s="1659"/>
      <c r="K45" s="1659"/>
      <c r="L45" s="1660"/>
      <c r="M45" s="1661"/>
      <c r="N45" s="1661"/>
      <c r="O45" s="1661"/>
      <c r="P45" s="575"/>
      <c r="Q45" s="573"/>
      <c r="R45" s="574"/>
      <c r="S45" s="1631" t="str">
        <f>INDEX(PT_DIFFERENTIATION_NUM_CS,MATCH(C45,PT_DIFFERENTIATION_CS_ID,0))</f>
        <v>..</v>
      </c>
      <c r="T45" s="521" t="s">
        <v>1519</v>
      </c>
      <c r="U45" s="510"/>
      <c r="V45" s="4037"/>
      <c r="W45" s="4038"/>
      <c r="X45" s="4038"/>
      <c r="Y45" s="4038"/>
      <c r="Z45" s="4038"/>
      <c r="AA45" s="4038"/>
      <c r="AB45" s="4038"/>
      <c r="AC45" s="4039"/>
      <c r="AD45" s="4037" t="str">
        <f>INDEX(PT_DIFFERENTIATION_CS,MATCH(C45,PT_DIFFERENTIATION_CS_ID,0))</f>
        <v/>
      </c>
      <c r="AE45" s="4038"/>
      <c r="AF45" s="4038"/>
      <c r="AG45" s="4038"/>
      <c r="AH45" s="4038"/>
      <c r="AI45" s="4038"/>
      <c r="AJ45" s="4038"/>
      <c r="AK45" s="4038"/>
      <c r="AL45" s="4039"/>
      <c r="AM45" s="1546" t="s">
        <v>1520</v>
      </c>
      <c r="AO45" s="737"/>
      <c r="AP45" s="737" t="str">
        <f>IF(T45="","",T45)</f>
        <v>Наименование системы теплоснабжения </v>
      </c>
      <c r="AQ45" s="737"/>
      <c r="AR45" s="737"/>
    </row>
    <row customHeight="1" ht="21">
      <c r="A46" s="1659" t="s">
        <v>253</v>
      </c>
      <c r="B46" s="1659" t="s">
        <v>254</v>
      </c>
      <c r="C46" s="1659" t="s">
        <v>255</v>
      </c>
      <c r="D46" s="1659" t="s">
        <v>256</v>
      </c>
      <c r="E46" s="2425"/>
      <c r="F46" s="2425"/>
      <c r="G46" s="2425"/>
      <c r="H46" s="2424">
        <v>1</v>
      </c>
      <c r="I46" s="1659"/>
      <c r="J46" s="1659"/>
      <c r="K46" s="1659"/>
      <c r="L46" s="1660"/>
      <c r="M46" s="1661"/>
      <c r="N46" s="1661"/>
      <c r="O46" s="1661"/>
      <c r="P46" s="575"/>
      <c r="Q46" s="573"/>
      <c r="R46" s="574"/>
      <c r="S46" s="1631" t="str">
        <f>INDEX(PT_DIFFERENTIATION_NUM_IST_TE,MATCH(D46,PT_DIFFERENTIATION_IST_TE_ID,0))</f>
        <v>...</v>
      </c>
      <c r="T46" s="522" t="s">
        <v>1521</v>
      </c>
      <c r="U46" s="510"/>
      <c r="V46" s="4037"/>
      <c r="W46" s="4038"/>
      <c r="X46" s="4038"/>
      <c r="Y46" s="4038"/>
      <c r="Z46" s="4038"/>
      <c r="AA46" s="4038"/>
      <c r="AB46" s="4038"/>
      <c r="AC46" s="4039"/>
      <c r="AD46" s="4037" t="str">
        <f>INDEX(PT_DIFFERENTIATION_IST_TE,MATCH(D46,PT_DIFFERENTIATION_IST_TE_ID,0))</f>
        <v/>
      </c>
      <c r="AE46" s="4038"/>
      <c r="AF46" s="4038"/>
      <c r="AG46" s="4038"/>
      <c r="AH46" s="4038"/>
      <c r="AI46" s="4038"/>
      <c r="AJ46" s="4038"/>
      <c r="AK46" s="4038"/>
      <c r="AL46" s="4039"/>
      <c r="AM46" s="1546" t="s">
        <v>1522</v>
      </c>
      <c r="AO46" s="737"/>
      <c r="AP46" s="737" t="str">
        <f>IF(T46="","",T46)</f>
        <v>Источник тепловой энергии  </v>
      </c>
      <c r="AQ46" s="737"/>
      <c r="AR46" s="737"/>
    </row>
    <row s="10863" customFormat="1" customHeight="1" ht="0">
      <c r="A47" s="1638" t="s">
        <v>253</v>
      </c>
      <c r="B47" s="1638" t="s">
        <v>254</v>
      </c>
      <c r="C47" s="1638" t="s">
        <v>255</v>
      </c>
      <c r="D47" s="1638" t="s">
        <v>256</v>
      </c>
      <c r="E47" s="2425"/>
      <c r="F47" s="2425"/>
      <c r="G47" s="2425"/>
      <c r="H47" s="2425"/>
      <c r="I47" s="2453" t="str">
        <f>S46&amp;".1"</f>
        <v>....1</v>
      </c>
      <c r="J47" s="1638"/>
      <c r="K47" s="1638"/>
      <c r="L47" s="1641" t="s">
        <v>1523</v>
      </c>
      <c r="M47" s="747"/>
      <c r="N47" s="747"/>
      <c r="O47" s="747"/>
      <c r="P47" s="2423">
        <v>1</v>
      </c>
      <c r="Q47" s="1626"/>
      <c r="R47" s="577"/>
      <c r="S47" s="1300"/>
      <c r="T47" s="1679"/>
      <c r="U47" s="1680"/>
      <c r="V47" s="2463"/>
      <c r="W47" s="2464"/>
      <c r="X47" s="2464"/>
      <c r="Y47" s="2464"/>
      <c r="Z47" s="2464"/>
      <c r="AA47" s="2464"/>
      <c r="AB47" s="2464"/>
      <c r="AC47" s="2465"/>
      <c r="AD47" s="2463"/>
      <c r="AE47" s="2464"/>
      <c r="AF47" s="2464"/>
      <c r="AG47" s="2464"/>
      <c r="AH47" s="2464"/>
      <c r="AI47" s="2464"/>
      <c r="AJ47" s="2464"/>
      <c r="AK47" s="2464"/>
      <c r="AL47" s="2465"/>
      <c r="AM47" s="1681"/>
      <c r="AO47" s="737"/>
      <c r="AP47" s="737" t="str">
        <f>IF(T47="","",T47)</f>
        <v/>
      </c>
      <c r="AQ47" s="737"/>
      <c r="AR47" s="737"/>
    </row>
    <row customHeight="1" ht="21">
      <c r="A48" s="1659" t="s">
        <v>253</v>
      </c>
      <c r="B48" s="1659" t="s">
        <v>254</v>
      </c>
      <c r="C48" s="1659" t="s">
        <v>255</v>
      </c>
      <c r="D48" s="1659" t="s">
        <v>256</v>
      </c>
      <c r="E48" s="2425"/>
      <c r="F48" s="2425"/>
      <c r="G48" s="2425"/>
      <c r="H48" s="2425"/>
      <c r="I48" s="2454"/>
      <c r="J48" s="2422" t="str">
        <f>S46&amp;".1"</f>
        <v>....1</v>
      </c>
      <c r="K48" s="1659"/>
      <c r="L48" s="1660" t="s">
        <v>1526</v>
      </c>
      <c r="P48" s="2423"/>
      <c r="Q48" s="2423">
        <v>1</v>
      </c>
      <c r="R48" s="578"/>
      <c r="S48" s="1631" t="str">
        <f>$J48</f>
        <v>....1</v>
      </c>
      <c r="T48" s="496" t="s">
        <v>1527</v>
      </c>
      <c r="U48" s="510"/>
      <c r="V48" s="2411"/>
      <c r="W48" s="2412"/>
      <c r="X48" s="2412"/>
      <c r="Y48" s="2412"/>
      <c r="Z48" s="2412"/>
      <c r="AA48" s="2412"/>
      <c r="AB48" s="2412"/>
      <c r="AC48" s="2413"/>
      <c r="AD48" s="2411"/>
      <c r="AE48" s="2412"/>
      <c r="AF48" s="2412"/>
      <c r="AG48" s="2412"/>
      <c r="AH48" s="2412"/>
      <c r="AI48" s="2412"/>
      <c r="AJ48" s="2412"/>
      <c r="AK48" s="2412"/>
      <c r="AL48" s="2413"/>
      <c r="AM48" s="1546" t="s">
        <v>1528</v>
      </c>
      <c r="AO48" s="737"/>
      <c r="AP48" s="737" t="str">
        <f>IF(T48="","",T48)</f>
        <v>Группа потребителей</v>
      </c>
      <c r="AQ48" s="737"/>
      <c r="AR48" s="737"/>
    </row>
    <row customHeight="1" ht="21">
      <c r="A49" s="1659" t="s">
        <v>253</v>
      </c>
      <c r="B49" s="1659" t="s">
        <v>254</v>
      </c>
      <c r="C49" s="1659" t="s">
        <v>255</v>
      </c>
      <c r="D49" s="1659" t="s">
        <v>256</v>
      </c>
      <c r="E49" s="2425"/>
      <c r="F49" s="2425"/>
      <c r="G49" s="2425"/>
      <c r="H49" s="2425"/>
      <c r="I49" s="2454"/>
      <c r="J49" s="2455"/>
      <c r="K49" s="2422" t="str">
        <f>J48&amp;".1"</f>
        <v>....1.1</v>
      </c>
      <c r="L49" s="1660" t="s">
        <v>1529</v>
      </c>
      <c r="P49" s="2423"/>
      <c r="Q49" s="2423"/>
      <c r="R49" s="578">
        <v>1</v>
      </c>
      <c r="S49" s="1631" t="str">
        <f>$K49</f>
        <v>....1.1</v>
      </c>
      <c r="T49" s="1642"/>
      <c r="U49" s="510"/>
      <c r="V49" s="4065"/>
      <c r="W49" s="4066"/>
      <c r="X49" s="4065"/>
      <c r="Y49" s="4067"/>
      <c r="Z49" s="2430"/>
      <c r="AA49" s="2142" t="s">
        <v>67</v>
      </c>
      <c r="AB49" s="2430"/>
      <c r="AC49" s="2142" t="s">
        <v>67</v>
      </c>
      <c r="AD49" s="4065"/>
      <c r="AE49" s="4066"/>
      <c r="AF49" s="4065"/>
      <c r="AG49" s="4067"/>
      <c r="AH49" s="2430"/>
      <c r="AI49" s="2142" t="s">
        <v>67</v>
      </c>
      <c r="AJ49" s="2456"/>
      <c r="AK49" s="2142" t="s">
        <v>67</v>
      </c>
      <c r="AL49" s="4166"/>
      <c r="AM49" s="2419" t="s">
        <v>1573</v>
      </c>
      <c r="AN49" s="748">
        <f>STRCHECKDATE(V50:AL50)</f>
      </c>
      <c r="AO49" s="737"/>
      <c r="AP49" s="737" t="str">
        <f>IF(T49="","",T49)</f>
        <v/>
      </c>
      <c r="AQ49" s="737"/>
      <c r="AR49" s="737"/>
    </row>
    <row customHeight="1" ht="0.75">
      <c r="A50" s="1659" t="s">
        <v>253</v>
      </c>
      <c r="B50" s="1659" t="s">
        <v>254</v>
      </c>
      <c r="C50" s="1659" t="s">
        <v>255</v>
      </c>
      <c r="D50" s="1659" t="s">
        <v>256</v>
      </c>
      <c r="E50" s="2425"/>
      <c r="F50" s="2425"/>
      <c r="G50" s="2425"/>
      <c r="H50" s="2425"/>
      <c r="I50" s="2454"/>
      <c r="J50" s="2455"/>
      <c r="K50" s="2422"/>
      <c r="L50" s="1660"/>
      <c r="P50" s="2423"/>
      <c r="Q50" s="2423"/>
      <c r="R50" s="578"/>
      <c r="S50" s="1637"/>
      <c r="T50" s="510"/>
      <c r="U50" s="510"/>
      <c r="V50" s="4066"/>
      <c r="W50" s="4066"/>
      <c r="X50" s="4066"/>
      <c r="Y50" s="4071" t="str">
        <f>Z49&amp;"-"&amp;AB49</f>
        <v>-</v>
      </c>
      <c r="Z50" s="2431"/>
      <c r="AA50" s="2142"/>
      <c r="AB50" s="2431"/>
      <c r="AC50" s="2142"/>
      <c r="AD50" s="4066"/>
      <c r="AE50" s="4066"/>
      <c r="AF50" s="4066"/>
      <c r="AG50" s="4071" t="str">
        <f>AH49&amp;"-"&amp;AJ49</f>
        <v>-</v>
      </c>
      <c r="AH50" s="2431"/>
      <c r="AI50" s="2142"/>
      <c r="AJ50" s="2457"/>
      <c r="AK50" s="2142"/>
      <c r="AL50" s="4169"/>
      <c r="AM50" s="2420"/>
      <c r="AO50" s="737"/>
      <c r="AP50" s="737" t="str">
        <f>IF(T50="","",T50)</f>
        <v/>
      </c>
      <c r="AQ50" s="737"/>
      <c r="AR50" s="737"/>
    </row>
    <row customHeight="1" ht="11.25">
      <c r="A51" s="1659" t="s">
        <v>253</v>
      </c>
      <c r="B51" s="1659" t="s">
        <v>254</v>
      </c>
      <c r="C51" s="1659" t="s">
        <v>255</v>
      </c>
      <c r="D51" s="1659" t="s">
        <v>256</v>
      </c>
      <c r="E51" s="2425"/>
      <c r="F51" s="2425"/>
      <c r="G51" s="2425"/>
      <c r="H51" s="2425"/>
      <c r="I51" s="2454"/>
      <c r="J51" s="2422"/>
      <c r="K51" s="1659"/>
      <c r="L51" s="1660"/>
      <c r="P51" s="2423"/>
      <c r="Q51" s="2423"/>
      <c r="R51" s="577"/>
      <c r="S51" s="1568"/>
      <c r="T51" s="497" t="s">
        <v>1531</v>
      </c>
      <c r="U51" s="592"/>
      <c r="V51" s="592"/>
      <c r="W51" s="592"/>
      <c r="X51" s="592"/>
      <c r="Y51" s="592"/>
      <c r="Z51" s="592"/>
      <c r="AA51" s="592"/>
      <c r="AB51" s="592"/>
      <c r="AC51" s="592"/>
      <c r="AD51" s="592"/>
      <c r="AE51" s="592"/>
      <c r="AF51" s="592"/>
      <c r="AG51" s="592"/>
      <c r="AH51" s="592"/>
      <c r="AI51" s="592"/>
      <c r="AJ51" s="592"/>
      <c r="AK51" s="592"/>
      <c r="AL51" s="544"/>
      <c r="AM51" s="2421"/>
      <c r="AO51" s="737"/>
      <c r="AP51" s="737" t="str">
        <f>IF(T51="","",T51)</f>
        <v>Добавить вид теплоносителя (параметры теплоносителя)</v>
      </c>
      <c r="AQ51" s="737"/>
      <c r="AR51" s="737"/>
    </row>
    <row customHeight="1" ht="11.25">
      <c r="A52" s="1659" t="s">
        <v>253</v>
      </c>
      <c r="B52" s="1659" t="s">
        <v>254</v>
      </c>
      <c r="C52" s="1659" t="s">
        <v>255</v>
      </c>
      <c r="D52" s="1659" t="s">
        <v>256</v>
      </c>
      <c r="E52" s="2425"/>
      <c r="F52" s="2425"/>
      <c r="G52" s="2425"/>
      <c r="H52" s="2425"/>
      <c r="I52" s="2453"/>
      <c r="J52" s="1659"/>
      <c r="K52" s="1659"/>
      <c r="L52" s="1660"/>
      <c r="P52" s="2423"/>
      <c r="Q52" s="1626"/>
      <c r="R52" s="577"/>
      <c r="S52" s="1568"/>
      <c r="T52" s="589" t="s">
        <v>1532</v>
      </c>
      <c r="U52" s="592"/>
      <c r="V52" s="592"/>
      <c r="W52" s="592"/>
      <c r="X52" s="592"/>
      <c r="Y52" s="592"/>
      <c r="Z52" s="592"/>
      <c r="AA52" s="592"/>
      <c r="AB52" s="592"/>
      <c r="AC52" s="591"/>
      <c r="AD52" s="592"/>
      <c r="AE52" s="592"/>
      <c r="AF52" s="592"/>
      <c r="AG52" s="592"/>
      <c r="AH52" s="592"/>
      <c r="AI52" s="592"/>
      <c r="AJ52" s="592"/>
      <c r="AK52" s="591"/>
      <c r="AL52" s="592"/>
      <c r="AM52" s="513"/>
      <c r="AO52" s="737"/>
      <c r="AP52" s="737" t="str">
        <f>IF(T52="","",T52)</f>
        <v>Добавить группу потребителей</v>
      </c>
      <c r="AQ52" s="737"/>
      <c r="AR52" s="737"/>
    </row>
    <row customHeight="1" ht="0">
      <c r="A53" s="1659" t="s">
        <v>253</v>
      </c>
      <c r="B53" s="1659" t="s">
        <v>254</v>
      </c>
      <c r="C53" s="1659" t="s">
        <v>255</v>
      </c>
      <c r="D53" s="1659" t="s">
        <v>256</v>
      </c>
      <c r="E53" s="2425"/>
      <c r="F53" s="2425"/>
      <c r="G53" s="2425"/>
      <c r="H53" s="2424"/>
      <c r="I53" s="1659"/>
      <c r="J53" s="1659"/>
      <c r="K53" s="1659"/>
      <c r="L53" s="1660"/>
      <c r="M53" s="1661"/>
      <c r="N53" s="1661"/>
      <c r="O53" s="774"/>
      <c r="P53" s="581"/>
      <c r="Q53" s="601"/>
      <c r="R53" s="576"/>
      <c r="S53" s="1682"/>
      <c r="T53" s="1683"/>
      <c r="U53" s="1684"/>
      <c r="V53" s="1684"/>
      <c r="W53" s="1684"/>
      <c r="X53" s="1684"/>
      <c r="Y53" s="1684"/>
      <c r="Z53" s="1684"/>
      <c r="AA53" s="1684"/>
      <c r="AB53" s="1684"/>
      <c r="AC53" s="1684"/>
      <c r="AD53" s="1684"/>
      <c r="AE53" s="1684"/>
      <c r="AF53" s="1684"/>
      <c r="AG53" s="1684"/>
      <c r="AH53" s="1684"/>
      <c r="AI53" s="1684"/>
      <c r="AJ53" s="1684"/>
      <c r="AK53" s="1684"/>
      <c r="AL53" s="1684"/>
      <c r="AM53" s="1685"/>
      <c r="AO53" s="737"/>
      <c r="AP53" s="737" t="str">
        <f>IF(T53="","",T53)</f>
        <v/>
      </c>
      <c r="AQ53" s="737"/>
      <c r="AR53" s="737"/>
    </row>
    <row s="10863" customFormat="1" customHeight="1" ht="0.75">
      <c r="A54" s="1638" t="s">
        <v>253</v>
      </c>
      <c r="B54" s="1638" t="s">
        <v>254</v>
      </c>
      <c r="C54" s="1638" t="s">
        <v>255</v>
      </c>
      <c r="D54" s="1609"/>
      <c r="E54" s="2425"/>
      <c r="F54" s="2425"/>
      <c r="G54" s="2424"/>
      <c r="H54" s="1609"/>
      <c r="I54" s="1609"/>
      <c r="J54" s="1609"/>
      <c r="K54" s="1609"/>
      <c r="L54" s="1634"/>
      <c r="M54" s="1610"/>
      <c r="N54" s="1610"/>
      <c r="P54" s="1611"/>
      <c r="Q54" s="1612"/>
      <c r="R54" s="1611"/>
      <c r="S54" s="1617"/>
      <c r="T54" s="1620" t="s">
        <v>1492</v>
      </c>
      <c r="U54" s="1619"/>
      <c r="V54" s="1619"/>
      <c r="W54" s="1619"/>
      <c r="X54" s="1619"/>
      <c r="Y54" s="1619"/>
      <c r="Z54" s="1619"/>
      <c r="AA54" s="1619"/>
      <c r="AB54" s="1619"/>
      <c r="AC54" s="1619"/>
      <c r="AD54" s="1619"/>
      <c r="AE54" s="1619"/>
      <c r="AF54" s="1619"/>
      <c r="AG54" s="1619"/>
      <c r="AH54" s="1619"/>
      <c r="AI54" s="1619"/>
      <c r="AJ54" s="1619"/>
      <c r="AK54" s="1619"/>
      <c r="AL54" s="1619"/>
      <c r="AM54" s="1619"/>
      <c r="AO54" s="1029"/>
      <c r="AP54" s="1029" t="str">
        <f>IF(T54="","",T54)</f>
        <v>Добавить источник для дифференциации</v>
      </c>
      <c r="AQ54" s="1029"/>
      <c r="AR54" s="1029"/>
    </row>
    <row s="10863" customFormat="1" customHeight="1" ht="0.75">
      <c r="A55" s="1638" t="s">
        <v>253</v>
      </c>
      <c r="B55" s="1638" t="s">
        <v>254</v>
      </c>
      <c r="C55" s="1609"/>
      <c r="D55" s="1609"/>
      <c r="E55" s="2425"/>
      <c r="F55" s="2424"/>
      <c r="G55" s="1609"/>
      <c r="H55" s="1609"/>
      <c r="I55" s="1609"/>
      <c r="J55" s="1609"/>
      <c r="K55" s="1609"/>
      <c r="L55" s="1634"/>
      <c r="M55" s="1616"/>
      <c r="N55" s="1616"/>
      <c r="P55" s="1611"/>
      <c r="Q55" s="1612"/>
      <c r="R55" s="1611"/>
      <c r="S55" s="1617"/>
      <c r="T55" s="1620" t="s">
        <v>1493</v>
      </c>
      <c r="U55" s="1619"/>
      <c r="V55" s="1619"/>
      <c r="W55" s="1619"/>
      <c r="X55" s="1619"/>
      <c r="Y55" s="1619"/>
      <c r="Z55" s="1619"/>
      <c r="AA55" s="1619"/>
      <c r="AB55" s="1619"/>
      <c r="AC55" s="1619"/>
      <c r="AD55" s="1619"/>
      <c r="AE55" s="1619"/>
      <c r="AF55" s="1619"/>
      <c r="AG55" s="1619"/>
      <c r="AH55" s="1619"/>
      <c r="AI55" s="1619"/>
      <c r="AJ55" s="1619"/>
      <c r="AK55" s="1619"/>
      <c r="AL55" s="1619"/>
      <c r="AM55" s="1619"/>
      <c r="AO55" s="1029"/>
      <c r="AP55" s="1029" t="str">
        <f>IF(T55="","",T55)</f>
        <v>Добавить централизованную систему для дифференциации</v>
      </c>
      <c r="AQ55" s="1029"/>
      <c r="AR55" s="1029"/>
    </row>
    <row s="10863" customFormat="1" customHeight="1" ht="0.75">
      <c r="A56" s="1638" t="s">
        <v>253</v>
      </c>
      <c r="B56" s="1638"/>
      <c r="C56" s="1638"/>
      <c r="D56" s="1638"/>
      <c r="E56" s="2424"/>
      <c r="F56" s="1638"/>
      <c r="G56" s="1638"/>
      <c r="H56" s="1638"/>
      <c r="I56" s="1638"/>
      <c r="J56" s="1638"/>
      <c r="K56" s="1638"/>
      <c r="L56" s="1641"/>
      <c r="M56" s="1616"/>
      <c r="N56" s="1616"/>
      <c r="O56" s="755"/>
      <c r="P56" s="610"/>
      <c r="Q56" s="1639"/>
      <c r="R56" s="610"/>
      <c r="S56" s="1617"/>
      <c r="T56" s="1620" t="s">
        <v>1494</v>
      </c>
      <c r="U56" s="1619"/>
      <c r="V56" s="1619"/>
      <c r="W56" s="1619"/>
      <c r="X56" s="1619"/>
      <c r="Y56" s="1619"/>
      <c r="Z56" s="1619"/>
      <c r="AA56" s="1619"/>
      <c r="AB56" s="1619"/>
      <c r="AC56" s="1619"/>
      <c r="AD56" s="1619"/>
      <c r="AE56" s="1619"/>
      <c r="AF56" s="1619"/>
      <c r="AG56" s="1619"/>
      <c r="AH56" s="1619"/>
      <c r="AI56" s="1619"/>
      <c r="AJ56" s="1619"/>
      <c r="AK56" s="1619"/>
      <c r="AL56" s="1619"/>
      <c r="AM56" s="1619"/>
      <c r="AO56" s="737"/>
      <c r="AP56" s="737" t="str">
        <f>IF(T56="","",T56)</f>
        <v>Добавить территорию для дифференциации</v>
      </c>
      <c r="AQ56" s="737"/>
      <c r="AR56" s="737"/>
    </row>
    <row s="10863" customFormat="1" customHeight="1" ht="0.75">
      <c r="A57" s="1609"/>
      <c r="B57" s="1609"/>
      <c r="C57" s="1609"/>
      <c r="D57" s="1609"/>
      <c r="E57" s="1638"/>
      <c r="F57" s="1609"/>
      <c r="G57" s="1609"/>
      <c r="H57" s="1609"/>
      <c r="I57" s="1609"/>
      <c r="J57" s="1609"/>
      <c r="K57" s="1609"/>
      <c r="L57" s="1634"/>
      <c r="M57" s="1616"/>
      <c r="N57" s="1616"/>
      <c r="P57" s="1611"/>
      <c r="Q57" s="1612"/>
      <c r="R57" s="1611"/>
      <c r="S57" s="1617"/>
      <c r="T57" s="1620" t="s">
        <v>1495</v>
      </c>
      <c r="U57" s="1619"/>
      <c r="V57" s="1619"/>
      <c r="W57" s="1619"/>
      <c r="X57" s="1619"/>
      <c r="Y57" s="1619"/>
      <c r="Z57" s="1619"/>
      <c r="AA57" s="1619"/>
      <c r="AB57" s="1619"/>
      <c r="AC57" s="1619"/>
      <c r="AD57" s="1619"/>
      <c r="AE57" s="1619"/>
      <c r="AF57" s="1619"/>
      <c r="AG57" s="1619"/>
      <c r="AH57" s="1619"/>
      <c r="AI57" s="1619"/>
      <c r="AJ57" s="1619"/>
      <c r="AK57" s="1619"/>
      <c r="AL57" s="1619"/>
      <c r="AM57" s="1619"/>
      <c r="AO57" s="1029"/>
      <c r="AP57" s="1029" t="str">
        <f>IF(T57="","",T57)</f>
        <v>Добавить наименование тарифа</v>
      </c>
      <c r="AQ57" s="1029"/>
      <c r="AR57" s="1029"/>
    </row>
    <row customHeight="1" ht="11.25" hidden="1">
      <c r="M58" s="1421"/>
      <c r="N58" s="1421"/>
      <c r="O58" s="774"/>
      <c r="P58" s="1416"/>
      <c r="Q58" s="1416"/>
      <c r="R58" s="1416"/>
      <c r="S58" s="1416"/>
      <c r="AN58" s="1416"/>
      <c r="AO58" s="1416"/>
      <c r="AP58" s="1416"/>
      <c r="AQ58" s="1416"/>
      <c r="AR58" s="1416"/>
    </row>
    <row customHeight="1" ht="21.75" hidden="1">
      <c r="O59" s="774"/>
      <c r="S59" s="1533" t="s">
        <v>1565</v>
      </c>
      <c r="T59" s="2452" t="s">
        <v>1574</v>
      </c>
      <c r="U59" s="2452"/>
      <c r="V59" s="2452"/>
      <c r="W59" s="2452"/>
      <c r="X59" s="2452"/>
      <c r="Y59" s="2452"/>
      <c r="Z59" s="2452"/>
      <c r="AA59" s="2452"/>
      <c r="AB59" s="2452"/>
      <c r="AC59" s="2452"/>
      <c r="AD59" s="2452"/>
      <c r="AE59" s="2452"/>
      <c r="AF59" s="2452"/>
      <c r="AG59" s="2452"/>
      <c r="AH59" s="2452"/>
      <c r="AI59" s="2452"/>
      <c r="AJ59" s="2452"/>
      <c r="AK59" s="2452"/>
      <c r="AL59" s="2452"/>
      <c r="AM59" s="2452"/>
    </row>
    <row customHeight="1" ht="29.25" hidden="1">
      <c r="O60" s="774"/>
      <c r="T60" s="2452" t="s">
        <v>1575</v>
      </c>
      <c r="U60" s="2452"/>
      <c r="V60" s="2452"/>
      <c r="W60" s="2452"/>
      <c r="X60" s="2452"/>
      <c r="Y60" s="2452"/>
      <c r="Z60" s="2452"/>
      <c r="AA60" s="2452"/>
      <c r="AB60" s="2452"/>
      <c r="AC60" s="2452"/>
      <c r="AD60" s="2452"/>
      <c r="AE60" s="2452"/>
      <c r="AF60" s="2452"/>
      <c r="AG60" s="2452"/>
      <c r="AH60" s="2452"/>
      <c r="AI60" s="2452"/>
      <c r="AJ60" s="2452"/>
      <c r="AK60" s="2452"/>
      <c r="AL60" s="2452"/>
      <c r="AM60" s="2452"/>
    </row>
    <row customHeight="1" ht="39.75" hidden="1">
      <c r="O61" s="774"/>
      <c r="T61" s="2452" t="s">
        <v>1576</v>
      </c>
      <c r="U61" s="2452"/>
      <c r="V61" s="2452"/>
      <c r="W61" s="2452"/>
      <c r="X61" s="2452"/>
      <c r="Y61" s="2452"/>
      <c r="Z61" s="2452"/>
      <c r="AA61" s="2452"/>
      <c r="AB61" s="2452"/>
      <c r="AC61" s="2452"/>
      <c r="AD61" s="2452"/>
      <c r="AE61" s="2452"/>
      <c r="AF61" s="2452"/>
      <c r="AG61" s="2452"/>
      <c r="AH61" s="2452"/>
      <c r="AI61" s="2452"/>
      <c r="AJ61" s="2452"/>
      <c r="AK61" s="2452"/>
      <c r="AL61" s="2452"/>
      <c r="AM61" s="2452"/>
    </row>
    <row customHeight="1" ht="14.25" hidden="1">
      <c r="O62" s="774"/>
    </row>
    <row customHeight="1" ht="19.5" hidden="1">
      <c r="O63" s="774"/>
      <c r="S63" s="1533" t="s">
        <v>1565</v>
      </c>
      <c r="T63" s="2466" t="s">
        <v>1568</v>
      </c>
      <c r="U63" s="2452"/>
      <c r="V63" s="2452"/>
      <c r="W63" s="2452"/>
      <c r="X63" s="2452"/>
      <c r="Y63" s="2452"/>
      <c r="Z63" s="2452"/>
      <c r="AA63" s="2452"/>
      <c r="AB63" s="2452"/>
      <c r="AC63" s="2452"/>
      <c r="AD63" s="2452"/>
      <c r="AE63" s="2452"/>
      <c r="AF63" s="2452"/>
      <c r="AG63" s="2452"/>
      <c r="AH63" s="2452"/>
      <c r="AI63" s="2452"/>
      <c r="AJ63" s="2452"/>
      <c r="AK63" s="2452"/>
      <c r="AL63" s="2452"/>
      <c r="AM63" s="2452"/>
    </row>
    <row customHeight="1" ht="27.75" hidden="1">
      <c r="O64" s="774"/>
      <c r="T64" s="2452" t="s">
        <v>1577</v>
      </c>
      <c r="U64" s="2452"/>
      <c r="V64" s="2452"/>
      <c r="W64" s="2452"/>
      <c r="X64" s="2452"/>
      <c r="Y64" s="2452"/>
      <c r="Z64" s="2452"/>
      <c r="AA64" s="2452"/>
      <c r="AB64" s="2452"/>
      <c r="AC64" s="2452"/>
      <c r="AD64" s="2452"/>
      <c r="AE64" s="2452"/>
      <c r="AF64" s="2452"/>
      <c r="AG64" s="2452"/>
      <c r="AH64" s="2452"/>
      <c r="AI64" s="2452"/>
      <c r="AJ64" s="2452"/>
      <c r="AK64" s="2452"/>
      <c r="AL64" s="2452"/>
      <c r="AM64" s="2452"/>
    </row>
    <row customHeight="1" ht="33.75" hidden="1">
      <c r="T65" s="2452" t="s">
        <v>1578</v>
      </c>
      <c r="U65" s="2452"/>
      <c r="V65" s="2452"/>
      <c r="W65" s="2452"/>
      <c r="X65" s="2452"/>
      <c r="Y65" s="2452"/>
      <c r="Z65" s="2452"/>
      <c r="AA65" s="2452"/>
      <c r="AB65" s="2452"/>
      <c r="AC65" s="2452"/>
      <c r="AD65" s="2452"/>
      <c r="AE65" s="2452"/>
      <c r="AF65" s="2452"/>
      <c r="AG65" s="2452"/>
      <c r="AH65" s="2452"/>
      <c r="AI65" s="2452"/>
      <c r="AJ65" s="2452"/>
      <c r="AK65" s="2452"/>
      <c r="AL65" s="2452"/>
      <c r="AM65" s="2452"/>
    </row>
  </sheetData>
  <sheetProtection formatColumns="0" formatRows="0" autoFilter="0" sort="0" insertRows="0" insertColumns="1" deleteRows="0" deleteColumns="0"/>
  <mergeCells count="113">
    <mergeCell ref="T63:AM63"/>
    <mergeCell ref="T64:AM64"/>
    <mergeCell ref="T65:AM65"/>
    <mergeCell ref="AM49:AM51"/>
    <mergeCell ref="T59:AM59"/>
    <mergeCell ref="T60:AM60"/>
    <mergeCell ref="T61:AM61"/>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S30:T30"/>
    <mergeCell ref="V30:AB30"/>
    <mergeCell ref="AD30:AJ30"/>
    <mergeCell ref="S31:T31"/>
    <mergeCell ref="V31:AB31"/>
    <mergeCell ref="AD31:AJ31"/>
    <mergeCell ref="S26:AJ26"/>
    <mergeCell ref="S27:AJ27"/>
    <mergeCell ref="S29:T29"/>
    <mergeCell ref="V29:AB29"/>
    <mergeCell ref="AD29:AJ29"/>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49 AK524337 AK8 AK589873 AK655409 AK17 AK720945 AK786481 AK852017 AK917553 AK983089 AK65585 AK131121 AK458801 AK196657 AI49 AK262193 AI8 AC8 AA8 AI17 AK327729 AA49 AC49 AK393265"/>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79BF41B-B291-E59B-FA19-63A625635A6D}" mc:Ignorable="x14ac xr xr2 xr3">
  <sheetPr>
    <tabColor theme="6" tint="0.4"/>
  </sheetPr>
  <dimension ref="A1:AR65"/>
  <sheetViews>
    <sheetView topLeftCell="Q25" showGridLines="0" zoomScale="90" workbookViewId="0">
      <selection activeCell="A1" sqref="A1"/>
    </sheetView>
  </sheetViews>
  <sheetFormatPr defaultColWidth="10.57421875" customHeight="1" defaultRowHeight="14.25"/>
  <cols>
    <col min="1" max="1" style="11074" width="10.57421875" hidden="1"/>
    <col min="2" max="2" style="11074" width="11.00390625" hidden="1" customWidth="1"/>
    <col min="3" max="3" style="11074" width="10.57421875" hidden="1"/>
    <col min="4" max="4" style="11074" width="11.8515625" hidden="1" customWidth="1"/>
    <col min="5" max="5" style="11074" width="10.00390625" hidden="1" customWidth="1"/>
    <col min="6" max="6" style="11074" width="8.7109375" hidden="1" customWidth="1"/>
    <col min="7" max="7" style="11074" width="7.57421875" hidden="1" customWidth="1"/>
    <col min="8" max="8" style="11074" width="11.421875" hidden="1" customWidth="1"/>
    <col min="9" max="9" style="11074" width="12.00390625" hidden="1" customWidth="1"/>
    <col min="10" max="10" style="11074" width="9.8515625" hidden="1" customWidth="1"/>
    <col min="11" max="11" style="11074" width="11.421875" hidden="1" customWidth="1"/>
    <col min="12" max="12" style="11240" width="19.140625" hidden="1" customWidth="1"/>
    <col min="13" max="14" style="9887" width="12.28125" hidden="1" customWidth="1"/>
    <col min="15" max="15" style="9887" width="23.421875" hidden="1" customWidth="1"/>
    <col min="16" max="16" style="11241" width="3.7109375" hidden="1" customWidth="1"/>
    <col min="17" max="18" style="10046" width="3.7109375" customWidth="1"/>
    <col min="19" max="19" style="11124" width="12.7109375" customWidth="1"/>
    <col min="20" max="20" style="11126" width="32.00390625" customWidth="1"/>
    <col min="21" max="21" style="11126" width="0.140625" customWidth="1"/>
    <col min="22" max="22" style="11126" width="24.7109375" hidden="1" customWidth="1"/>
    <col min="23" max="23" style="11126" width="0.140625" hidden="1" customWidth="1"/>
    <col min="24" max="25" style="11126" width="24.7109375" hidden="1" customWidth="1"/>
    <col min="26" max="26" style="11126" width="11.7109375" hidden="1" customWidth="1"/>
    <col min="27" max="27" style="11126" width="3.7109375" hidden="1" customWidth="1"/>
    <col min="28" max="28" style="11126" width="11.7109375" hidden="1" customWidth="1"/>
    <col min="29" max="29" style="11126" width="8.57421875" hidden="1" customWidth="1"/>
    <col min="30" max="30" style="11126" width="24.7109375" customWidth="1"/>
    <col min="31" max="31" style="11126" width="0.140625" customWidth="1"/>
    <col min="32" max="33" style="11126" width="24.7109375" customWidth="1"/>
    <col min="34" max="34" style="11126" width="11.7109375" customWidth="1"/>
    <col min="35" max="35" style="11126" width="3.7109375" customWidth="1"/>
    <col min="36" max="36" style="11126" width="11.7109375" customWidth="1"/>
    <col min="37" max="37" style="11126" width="8.57421875" hidden="1" customWidth="1"/>
    <col min="38" max="38" style="11126" width="4.7109375" customWidth="1"/>
    <col min="39" max="39" style="11126" width="115.7109375" customWidth="1"/>
    <col min="40" max="41" style="10863" width="10.57421875"/>
    <col min="42" max="42" style="10863" width="11.140625" customWidth="1"/>
    <col min="43" max="44" style="10863" width="10.57421875"/>
  </cols>
  <sheetData>
    <row customHeight="1" ht="14.25" hidden="1">
      <c r="Y1" s="548"/>
      <c r="Z1" s="548"/>
      <c r="AG1" s="548"/>
      <c r="AH1" s="548"/>
    </row>
    <row customHeight="1" ht="21" hidden="1">
      <c r="A2" s="1659"/>
      <c r="B2" s="1659"/>
      <c r="C2" s="1659"/>
      <c r="D2" s="1659"/>
      <c r="E2" s="2424">
        <v>1</v>
      </c>
      <c r="F2" s="1659"/>
      <c r="G2" s="1659"/>
      <c r="H2" s="1659"/>
      <c r="I2" s="1659"/>
      <c r="J2" s="1659"/>
      <c r="K2" s="1659"/>
      <c r="L2" s="1660"/>
      <c r="M2" s="1661"/>
      <c r="N2" s="1661"/>
      <c r="O2" s="1661"/>
      <c r="P2" s="582"/>
      <c r="Q2" s="581"/>
      <c r="R2" s="576"/>
      <c r="S2" s="1631">
        <f>INDEX(PT_DIFFERENTIATION_NUM_NTAR,MATCH(A2,PT_DIFFERENTIATION_NTAR_ID,0))</f>
      </c>
      <c r="T2" s="508" t="s">
        <v>200</v>
      </c>
      <c r="U2" s="510"/>
      <c r="V2" s="4037"/>
      <c r="W2" s="4038"/>
      <c r="X2" s="4038"/>
      <c r="Y2" s="4038"/>
      <c r="Z2" s="4038"/>
      <c r="AA2" s="4038"/>
      <c r="AB2" s="4038"/>
      <c r="AC2" s="4039"/>
      <c r="AD2" s="4037">
        <f>INDEX(PT_DIFFERENTIATION_NTAR,MATCH(A2,PT_DIFFERENTIATION_NTAR_ID,0))</f>
      </c>
      <c r="AE2" s="4038"/>
      <c r="AF2" s="4038"/>
      <c r="AG2" s="4038"/>
      <c r="AH2" s="4038"/>
      <c r="AI2" s="4038"/>
      <c r="AJ2" s="4038"/>
      <c r="AK2" s="4038"/>
      <c r="AL2" s="4039"/>
      <c r="AM2" s="1546" t="s">
        <v>1516</v>
      </c>
      <c r="AO2" s="737"/>
      <c r="AP2" s="737" t="str">
        <f>IF(T2="","",T2)</f>
        <v>Наименование тарифа</v>
      </c>
      <c r="AQ2" s="737"/>
      <c r="AR2" s="737"/>
    </row>
    <row customHeight="1" ht="21" hidden="1">
      <c r="A3" s="1659"/>
      <c r="B3" s="1659"/>
      <c r="C3" s="1659"/>
      <c r="D3" s="1659"/>
      <c r="E3" s="2425"/>
      <c r="F3" s="2424">
        <v>1</v>
      </c>
      <c r="G3" s="1659"/>
      <c r="H3" s="1659"/>
      <c r="I3" s="1659"/>
      <c r="J3" s="1659"/>
      <c r="K3" s="1659"/>
      <c r="L3" s="1660"/>
      <c r="M3" s="1661"/>
      <c r="N3" s="1661"/>
      <c r="O3" s="1661"/>
      <c r="P3" s="1627"/>
      <c r="Q3" s="573"/>
      <c r="R3" s="574"/>
      <c r="S3" s="1631">
        <f>INDEX(PT_DIFFERENTIATION_NUM_TER,MATCH(B3,PT_DIFFERENTIATION_TER_ID,0))</f>
      </c>
      <c r="T3" s="520" t="s">
        <v>1517</v>
      </c>
      <c r="U3" s="510"/>
      <c r="V3" s="4037"/>
      <c r="W3" s="4038"/>
      <c r="X3" s="4038"/>
      <c r="Y3" s="4038"/>
      <c r="Z3" s="4038"/>
      <c r="AA3" s="4038"/>
      <c r="AB3" s="4038"/>
      <c r="AC3" s="4039"/>
      <c r="AD3" s="4037">
        <f>INDEX(PT_DIFFERENTIATION_TER,MATCH(B3,PT_DIFFERENTIATION_TER_ID,0))</f>
      </c>
      <c r="AE3" s="4038"/>
      <c r="AF3" s="4038"/>
      <c r="AG3" s="4038"/>
      <c r="AH3" s="4038"/>
      <c r="AI3" s="4038"/>
      <c r="AJ3" s="4038"/>
      <c r="AK3" s="4038"/>
      <c r="AL3" s="4039"/>
      <c r="AM3" s="1546" t="s">
        <v>1518</v>
      </c>
      <c r="AO3" s="737"/>
      <c r="AP3" s="737" t="str">
        <f>IF(T3="","",T3)</f>
        <v>Территория действия тарифа</v>
      </c>
      <c r="AQ3" s="737"/>
      <c r="AR3" s="737"/>
    </row>
    <row customHeight="1" ht="23.25" hidden="1">
      <c r="A4" s="1659"/>
      <c r="B4" s="1659"/>
      <c r="C4" s="1659"/>
      <c r="D4" s="1659"/>
      <c r="E4" s="2425"/>
      <c r="F4" s="2425"/>
      <c r="G4" s="2424">
        <v>1</v>
      </c>
      <c r="H4" s="1659"/>
      <c r="I4" s="1659"/>
      <c r="J4" s="1659"/>
      <c r="K4" s="1659"/>
      <c r="L4" s="1660"/>
      <c r="M4" s="1661"/>
      <c r="N4" s="1661"/>
      <c r="O4" s="1661"/>
      <c r="P4" s="575"/>
      <c r="Q4" s="573"/>
      <c r="R4" s="574"/>
      <c r="S4" s="1631">
        <f>INDEX(PT_DIFFERENTIATION_NUM_CS,MATCH(C4,PT_DIFFERENTIATION_CS_ID,0))</f>
      </c>
      <c r="T4" s="521" t="s">
        <v>1519</v>
      </c>
      <c r="U4" s="510"/>
      <c r="V4" s="4037"/>
      <c r="W4" s="4038"/>
      <c r="X4" s="4038"/>
      <c r="Y4" s="4038"/>
      <c r="Z4" s="4038"/>
      <c r="AA4" s="4038"/>
      <c r="AB4" s="4038"/>
      <c r="AC4" s="4039"/>
      <c r="AD4" s="4037">
        <f>INDEX(PT_DIFFERENTIATION_CS,MATCH(C4,PT_DIFFERENTIATION_CS_ID,0))</f>
      </c>
      <c r="AE4" s="4038"/>
      <c r="AF4" s="4038"/>
      <c r="AG4" s="4038"/>
      <c r="AH4" s="4038"/>
      <c r="AI4" s="4038"/>
      <c r="AJ4" s="4038"/>
      <c r="AK4" s="4038"/>
      <c r="AL4" s="4039"/>
      <c r="AM4" s="1546" t="s">
        <v>1520</v>
      </c>
      <c r="AO4" s="737"/>
      <c r="AP4" s="737" t="str">
        <f>IF(T4="","",T4)</f>
        <v>Наименование системы теплоснабжения </v>
      </c>
      <c r="AQ4" s="737"/>
      <c r="AR4" s="737"/>
    </row>
    <row customHeight="1" ht="21" hidden="1">
      <c r="A5" s="1659"/>
      <c r="B5" s="1659"/>
      <c r="C5" s="1659"/>
      <c r="D5" s="1659"/>
      <c r="E5" s="2425"/>
      <c r="F5" s="2425"/>
      <c r="G5" s="2425"/>
      <c r="H5" s="2424">
        <v>1</v>
      </c>
      <c r="I5" s="1659"/>
      <c r="J5" s="1659"/>
      <c r="K5" s="1659"/>
      <c r="L5" s="1660"/>
      <c r="M5" s="1661"/>
      <c r="N5" s="1661"/>
      <c r="O5" s="1661"/>
      <c r="P5" s="575"/>
      <c r="Q5" s="573"/>
      <c r="R5" s="574"/>
      <c r="S5" s="1631">
        <f>INDEX(PT_DIFFERENTIATION_NUM_IST_TE,MATCH(D5,PT_DIFFERENTIATION_IST_TE_ID,0))</f>
      </c>
      <c r="T5" s="522" t="s">
        <v>1521</v>
      </c>
      <c r="U5" s="510"/>
      <c r="V5" s="4037"/>
      <c r="W5" s="4038"/>
      <c r="X5" s="4038"/>
      <c r="Y5" s="4038"/>
      <c r="Z5" s="4038"/>
      <c r="AA5" s="4038"/>
      <c r="AB5" s="4038"/>
      <c r="AC5" s="4039"/>
      <c r="AD5" s="4037">
        <f>INDEX(PT_DIFFERENTIATION_IST_TE,MATCH(D5,PT_DIFFERENTIATION_IST_TE_ID,0))</f>
      </c>
      <c r="AE5" s="4038"/>
      <c r="AF5" s="4038"/>
      <c r="AG5" s="4038"/>
      <c r="AH5" s="4038"/>
      <c r="AI5" s="4038"/>
      <c r="AJ5" s="4038"/>
      <c r="AK5" s="4038"/>
      <c r="AL5" s="4039"/>
      <c r="AM5" s="1546" t="s">
        <v>1522</v>
      </c>
      <c r="AO5" s="737"/>
      <c r="AP5" s="737" t="str">
        <f>IF(T5="","",T5)</f>
        <v>Источник тепловой энергии  </v>
      </c>
      <c r="AQ5" s="737"/>
      <c r="AR5" s="737"/>
    </row>
    <row customHeight="1" ht="14.25" hidden="1">
      <c r="A6" s="1659"/>
      <c r="B6" s="1659"/>
      <c r="C6" s="1659"/>
      <c r="D6" s="1659"/>
      <c r="E6" s="2425"/>
      <c r="F6" s="2425"/>
      <c r="G6" s="2425"/>
      <c r="H6" s="2425"/>
      <c r="I6" s="2453">
        <f>S5&amp;".1"</f>
      </c>
      <c r="J6" s="1659"/>
      <c r="K6" s="1659"/>
      <c r="L6" s="1660" t="s">
        <v>1523</v>
      </c>
      <c r="M6" s="774"/>
      <c r="P6" s="2423">
        <v>1</v>
      </c>
      <c r="Q6" s="1626"/>
      <c r="R6" s="577"/>
      <c r="S6" s="1300"/>
      <c r="T6" s="1679"/>
      <c r="U6" s="1680"/>
      <c r="V6" s="2463"/>
      <c r="W6" s="2464"/>
      <c r="X6" s="2464"/>
      <c r="Y6" s="2464"/>
      <c r="Z6" s="2464"/>
      <c r="AA6" s="2464"/>
      <c r="AB6" s="2464"/>
      <c r="AC6" s="2465"/>
      <c r="AD6" s="2463"/>
      <c r="AE6" s="2464"/>
      <c r="AF6" s="2464"/>
      <c r="AG6" s="2464"/>
      <c r="AH6" s="2464"/>
      <c r="AI6" s="2464"/>
      <c r="AJ6" s="2464"/>
      <c r="AK6" s="2464"/>
      <c r="AL6" s="2465"/>
      <c r="AM6" s="1681"/>
      <c r="AO6" s="737"/>
      <c r="AP6" s="737" t="str">
        <f>IF(T6="","",T6)</f>
        <v/>
      </c>
      <c r="AQ6" s="737"/>
      <c r="AR6" s="737"/>
    </row>
    <row customHeight="1" ht="21" hidden="1">
      <c r="A7" s="1659"/>
      <c r="B7" s="1659"/>
      <c r="C7" s="1659"/>
      <c r="D7" s="1659"/>
      <c r="E7" s="2425"/>
      <c r="F7" s="2425"/>
      <c r="G7" s="2425"/>
      <c r="H7" s="2425"/>
      <c r="I7" s="2454"/>
      <c r="J7" s="2422">
        <f>I6&amp;".1"</f>
      </c>
      <c r="K7" s="1659"/>
      <c r="L7" s="1660" t="s">
        <v>1526</v>
      </c>
      <c r="M7" s="774"/>
      <c r="N7" s="1662"/>
      <c r="P7" s="2423"/>
      <c r="Q7" s="2423">
        <v>1</v>
      </c>
      <c r="R7" s="578"/>
      <c r="S7" s="1631">
        <f>$J7</f>
      </c>
      <c r="T7" s="496" t="s">
        <v>1527</v>
      </c>
      <c r="U7" s="510"/>
      <c r="V7" s="2411"/>
      <c r="W7" s="2412"/>
      <c r="X7" s="2412"/>
      <c r="Y7" s="2412"/>
      <c r="Z7" s="2412"/>
      <c r="AA7" s="2412"/>
      <c r="AB7" s="2412"/>
      <c r="AC7" s="2413"/>
      <c r="AD7" s="2411"/>
      <c r="AE7" s="2412"/>
      <c r="AF7" s="2412"/>
      <c r="AG7" s="2412"/>
      <c r="AH7" s="2412"/>
      <c r="AI7" s="2412"/>
      <c r="AJ7" s="2412"/>
      <c r="AK7" s="2412"/>
      <c r="AL7" s="2413"/>
      <c r="AM7" s="1546" t="s">
        <v>1528</v>
      </c>
      <c r="AO7" s="737"/>
      <c r="AP7" s="737" t="str">
        <f>IF(T7="","",T7)</f>
        <v>Группа потребителей</v>
      </c>
      <c r="AQ7" s="737"/>
      <c r="AR7" s="737"/>
    </row>
    <row customHeight="1" ht="21" hidden="1">
      <c r="A8" s="1659"/>
      <c r="B8" s="1659"/>
      <c r="C8" s="1659"/>
      <c r="D8" s="1659"/>
      <c r="E8" s="2425"/>
      <c r="F8" s="2425"/>
      <c r="G8" s="2425"/>
      <c r="H8" s="2425"/>
      <c r="I8" s="2454"/>
      <c r="J8" s="2455"/>
      <c r="K8" s="2422">
        <f>J7&amp;".1"</f>
      </c>
      <c r="L8" s="1660" t="s">
        <v>1529</v>
      </c>
      <c r="M8" s="774"/>
      <c r="N8" s="1662"/>
      <c r="O8" s="1662"/>
      <c r="P8" s="2423"/>
      <c r="Q8" s="2423"/>
      <c r="R8" s="578">
        <v>1</v>
      </c>
      <c r="S8" s="1631">
        <f>$K8</f>
      </c>
      <c r="T8" s="1642"/>
      <c r="U8" s="510"/>
      <c r="V8" s="4065"/>
      <c r="W8" s="4066"/>
      <c r="X8" s="4065"/>
      <c r="Y8" s="4067"/>
      <c r="Z8" s="2430"/>
      <c r="AA8" s="2142" t="s">
        <v>67</v>
      </c>
      <c r="AB8" s="2430"/>
      <c r="AC8" s="2142" t="s">
        <v>67</v>
      </c>
      <c r="AD8" s="4065"/>
      <c r="AE8" s="4066"/>
      <c r="AF8" s="4065"/>
      <c r="AG8" s="4067"/>
      <c r="AH8" s="2430"/>
      <c r="AI8" s="2142" t="s">
        <v>67</v>
      </c>
      <c r="AJ8" s="2430"/>
      <c r="AK8" s="2142" t="s">
        <v>67</v>
      </c>
      <c r="AL8" s="4066"/>
      <c r="AM8" s="2419" t="s">
        <v>1530</v>
      </c>
      <c r="AN8" s="748">
        <f>STRCHECKDATE(V9:AL9)</f>
      </c>
      <c r="AO8" s="737"/>
      <c r="AP8" s="737" t="str">
        <f>IF(T8="","",T8)</f>
        <v/>
      </c>
      <c r="AQ8" s="737"/>
      <c r="AR8" s="737"/>
    </row>
    <row customHeight="1" ht="0.75" hidden="1">
      <c r="A9" s="1659"/>
      <c r="B9" s="1659"/>
      <c r="C9" s="1659"/>
      <c r="D9" s="1659"/>
      <c r="E9" s="2425"/>
      <c r="F9" s="2425"/>
      <c r="G9" s="2425"/>
      <c r="H9" s="2425"/>
      <c r="I9" s="2454"/>
      <c r="J9" s="2455"/>
      <c r="K9" s="2422"/>
      <c r="L9" s="1660"/>
      <c r="M9" s="774"/>
      <c r="N9" s="1662"/>
      <c r="O9" s="1662"/>
      <c r="P9" s="2423"/>
      <c r="Q9" s="2423"/>
      <c r="R9" s="578"/>
      <c r="S9" s="1637"/>
      <c r="T9" s="510"/>
      <c r="U9" s="510"/>
      <c r="V9" s="4066"/>
      <c r="W9" s="4066"/>
      <c r="X9" s="4066"/>
      <c r="Y9" s="4071" t="str">
        <f>Z8&amp;"-"&amp;AB8</f>
        <v>-</v>
      </c>
      <c r="Z9" s="2431"/>
      <c r="AA9" s="2142"/>
      <c r="AB9" s="2431"/>
      <c r="AC9" s="2142"/>
      <c r="AD9" s="4066"/>
      <c r="AE9" s="4066"/>
      <c r="AF9" s="4066"/>
      <c r="AG9" s="4071" t="str">
        <f>AH8&amp;"-"&amp;AJ8</f>
        <v>-</v>
      </c>
      <c r="AH9" s="2431"/>
      <c r="AI9" s="2142"/>
      <c r="AJ9" s="2431"/>
      <c r="AK9" s="2142"/>
      <c r="AL9" s="4066"/>
      <c r="AM9" s="2420"/>
      <c r="AO9" s="737"/>
      <c r="AP9" s="737" t="str">
        <f>IF(T9="","",T9)</f>
        <v/>
      </c>
      <c r="AQ9" s="737"/>
      <c r="AR9" s="737"/>
    </row>
    <row customHeight="1" ht="15" hidden="1">
      <c r="A10" s="1659"/>
      <c r="B10" s="1659"/>
      <c r="C10" s="1659"/>
      <c r="D10" s="1659"/>
      <c r="E10" s="2425"/>
      <c r="F10" s="2425"/>
      <c r="G10" s="2425"/>
      <c r="H10" s="2425"/>
      <c r="I10" s="2454"/>
      <c r="J10" s="2422"/>
      <c r="K10" s="1659"/>
      <c r="L10" s="1660"/>
      <c r="M10" s="774"/>
      <c r="N10" s="1662"/>
      <c r="P10" s="2423"/>
      <c r="Q10" s="2423"/>
      <c r="R10" s="577"/>
      <c r="S10" s="1568"/>
      <c r="T10" s="497" t="s">
        <v>1531</v>
      </c>
      <c r="U10" s="592"/>
      <c r="V10" s="592"/>
      <c r="W10" s="592"/>
      <c r="X10" s="592"/>
      <c r="Y10" s="592"/>
      <c r="Z10" s="592"/>
      <c r="AA10" s="592"/>
      <c r="AB10" s="592"/>
      <c r="AC10" s="592"/>
      <c r="AD10" s="592"/>
      <c r="AE10" s="592"/>
      <c r="AF10" s="592"/>
      <c r="AG10" s="592"/>
      <c r="AH10" s="592"/>
      <c r="AI10" s="592"/>
      <c r="AJ10" s="592"/>
      <c r="AK10" s="592"/>
      <c r="AL10" s="544"/>
      <c r="AM10" s="2421"/>
      <c r="AO10" s="737"/>
      <c r="AP10" s="737" t="str">
        <f>IF(T10="","",T10)</f>
        <v>Добавить вид теплоносителя (параметры теплоносителя)</v>
      </c>
      <c r="AQ10" s="737"/>
      <c r="AR10" s="737"/>
    </row>
    <row customHeight="1" ht="15" hidden="1">
      <c r="A11" s="1659"/>
      <c r="B11" s="1659"/>
      <c r="C11" s="1659"/>
      <c r="D11" s="1659"/>
      <c r="E11" s="2425"/>
      <c r="F11" s="2425"/>
      <c r="G11" s="2425"/>
      <c r="H11" s="2425"/>
      <c r="I11" s="2453"/>
      <c r="J11" s="1659"/>
      <c r="K11" s="1659"/>
      <c r="L11" s="1660"/>
      <c r="M11" s="774"/>
      <c r="P11" s="2423"/>
      <c r="Q11" s="1626"/>
      <c r="R11" s="577"/>
      <c r="S11" s="1568"/>
      <c r="T11" s="589" t="s">
        <v>1532</v>
      </c>
      <c r="U11" s="592"/>
      <c r="V11" s="592"/>
      <c r="W11" s="592"/>
      <c r="X11" s="592"/>
      <c r="Y11" s="592"/>
      <c r="Z11" s="592"/>
      <c r="AA11" s="592"/>
      <c r="AB11" s="592"/>
      <c r="AC11" s="591"/>
      <c r="AD11" s="592"/>
      <c r="AE11" s="592"/>
      <c r="AF11" s="592"/>
      <c r="AG11" s="592"/>
      <c r="AH11" s="592"/>
      <c r="AI11" s="592"/>
      <c r="AJ11" s="592"/>
      <c r="AK11" s="591"/>
      <c r="AL11" s="592"/>
      <c r="AM11" s="513"/>
      <c r="AO11" s="737"/>
      <c r="AP11" s="737" t="str">
        <f>IF(T11="","",T11)</f>
        <v>Добавить группу потребителей</v>
      </c>
      <c r="AQ11" s="737"/>
      <c r="AR11" s="737"/>
    </row>
    <row customHeight="1" ht="14.25" hidden="1">
      <c r="A12" s="1659"/>
      <c r="B12" s="1659"/>
      <c r="C12" s="1659"/>
      <c r="D12" s="1659"/>
      <c r="E12" s="2425"/>
      <c r="F12" s="2425"/>
      <c r="G12" s="2425"/>
      <c r="H12" s="2424"/>
      <c r="I12" s="1659"/>
      <c r="J12" s="1659"/>
      <c r="K12" s="1659"/>
      <c r="L12" s="1660"/>
      <c r="M12" s="1661"/>
      <c r="N12" s="1661"/>
      <c r="O12" s="774"/>
      <c r="P12" s="581"/>
      <c r="Q12" s="601"/>
      <c r="R12" s="576"/>
      <c r="S12" s="1682"/>
      <c r="T12" s="1683"/>
      <c r="U12" s="1684"/>
      <c r="V12" s="1684"/>
      <c r="W12" s="1684"/>
      <c r="X12" s="1684"/>
      <c r="Y12" s="1684"/>
      <c r="Z12" s="1684"/>
      <c r="AA12" s="1684"/>
      <c r="AB12" s="1684"/>
      <c r="AC12" s="1684"/>
      <c r="AD12" s="1684"/>
      <c r="AE12" s="1684"/>
      <c r="AF12" s="1684"/>
      <c r="AG12" s="1684"/>
      <c r="AH12" s="1684"/>
      <c r="AI12" s="1684"/>
      <c r="AJ12" s="1684"/>
      <c r="AK12" s="1684"/>
      <c r="AL12" s="1684"/>
      <c r="AM12" s="1685"/>
      <c r="AO12" s="737"/>
      <c r="AP12" s="737" t="str">
        <f>IF(T12="","",T12)</f>
        <v/>
      </c>
      <c r="AQ12" s="737"/>
      <c r="AR12" s="737"/>
    </row>
    <row s="10863" customFormat="1" customHeight="1" ht="0.75" hidden="1">
      <c r="A13" s="1609"/>
      <c r="B13" s="1609"/>
      <c r="C13" s="1609"/>
      <c r="D13" s="1609"/>
      <c r="E13" s="2425"/>
      <c r="F13" s="2425"/>
      <c r="G13" s="2424"/>
      <c r="H13" s="1609"/>
      <c r="I13" s="1609"/>
      <c r="J13" s="1609"/>
      <c r="K13" s="1609"/>
      <c r="L13" s="1634"/>
      <c r="M13" s="1610"/>
      <c r="N13" s="1610"/>
      <c r="P13" s="1611"/>
      <c r="Q13" s="1612"/>
      <c r="R13" s="1611"/>
      <c r="S13" s="1613"/>
      <c r="T13" s="1614" t="s">
        <v>1492</v>
      </c>
      <c r="U13" s="1615"/>
      <c r="V13" s="1615"/>
      <c r="W13" s="1615"/>
      <c r="X13" s="1615"/>
      <c r="Y13" s="1615"/>
      <c r="Z13" s="1615"/>
      <c r="AA13" s="1615"/>
      <c r="AB13" s="1615"/>
      <c r="AC13" s="1615"/>
      <c r="AD13" s="1615"/>
      <c r="AE13" s="1615"/>
      <c r="AF13" s="1615"/>
      <c r="AG13" s="1615"/>
      <c r="AH13" s="1615"/>
      <c r="AI13" s="1615"/>
      <c r="AJ13" s="1615"/>
      <c r="AK13" s="1615"/>
      <c r="AL13" s="1615"/>
      <c r="AM13" s="1615"/>
      <c r="AO13" s="1029"/>
      <c r="AP13" s="1029" t="str">
        <f>IF(T13="","",T13)</f>
        <v>Добавить источник для дифференциации</v>
      </c>
      <c r="AQ13" s="1029"/>
      <c r="AR13" s="1029"/>
    </row>
    <row s="10863" customFormat="1" customHeight="1" ht="0.75" hidden="1">
      <c r="A14" s="1609"/>
      <c r="B14" s="1609"/>
      <c r="C14" s="1609"/>
      <c r="D14" s="1609"/>
      <c r="E14" s="2425"/>
      <c r="F14" s="2424"/>
      <c r="G14" s="1609"/>
      <c r="H14" s="1609"/>
      <c r="I14" s="1609"/>
      <c r="J14" s="1609"/>
      <c r="K14" s="1609"/>
      <c r="L14" s="1634"/>
      <c r="M14" s="1616"/>
      <c r="N14" s="1616"/>
      <c r="P14" s="1611"/>
      <c r="Q14" s="1612"/>
      <c r="R14" s="1611"/>
      <c r="S14" s="1617"/>
      <c r="T14" s="1618" t="s">
        <v>1493</v>
      </c>
      <c r="U14" s="1619"/>
      <c r="V14" s="1619"/>
      <c r="W14" s="1619"/>
      <c r="X14" s="1619"/>
      <c r="Y14" s="1619"/>
      <c r="Z14" s="1619"/>
      <c r="AA14" s="1619"/>
      <c r="AB14" s="1619"/>
      <c r="AC14" s="1619"/>
      <c r="AD14" s="1619"/>
      <c r="AE14" s="1619"/>
      <c r="AF14" s="1619"/>
      <c r="AG14" s="1619"/>
      <c r="AH14" s="1619"/>
      <c r="AI14" s="1619"/>
      <c r="AJ14" s="1619"/>
      <c r="AK14" s="1619"/>
      <c r="AL14" s="1619"/>
      <c r="AM14" s="1619"/>
      <c r="AO14" s="1029"/>
      <c r="AP14" s="1029" t="str">
        <f>IF(T14="","",T14)</f>
        <v>Добавить централизованную систему для дифференциации</v>
      </c>
      <c r="AQ14" s="1029"/>
      <c r="AR14" s="1029"/>
    </row>
    <row s="10863" customFormat="1" customHeight="1" ht="0.75" hidden="1">
      <c r="A15" s="1609"/>
      <c r="B15" s="1609"/>
      <c r="C15" s="1609"/>
      <c r="D15" s="1609"/>
      <c r="E15" s="2424"/>
      <c r="F15" s="1609"/>
      <c r="G15" s="1609"/>
      <c r="H15" s="1609"/>
      <c r="I15" s="1609"/>
      <c r="J15" s="1609"/>
      <c r="K15" s="1609"/>
      <c r="L15" s="1634"/>
      <c r="M15" s="1616"/>
      <c r="N15" s="1616"/>
      <c r="P15" s="1611"/>
      <c r="Q15" s="1612"/>
      <c r="R15" s="1611"/>
      <c r="S15" s="1617"/>
      <c r="T15" s="1620" t="s">
        <v>1494</v>
      </c>
      <c r="U15" s="1619"/>
      <c r="V15" s="1619"/>
      <c r="W15" s="1619"/>
      <c r="X15" s="1619"/>
      <c r="Y15" s="1619"/>
      <c r="Z15" s="1619"/>
      <c r="AA15" s="1619"/>
      <c r="AB15" s="1619"/>
      <c r="AC15" s="1619"/>
      <c r="AD15" s="1619"/>
      <c r="AE15" s="1619"/>
      <c r="AF15" s="1619"/>
      <c r="AG15" s="1619"/>
      <c r="AH15" s="1619"/>
      <c r="AI15" s="1619"/>
      <c r="AJ15" s="1619"/>
      <c r="AK15" s="1619"/>
      <c r="AL15" s="1619"/>
      <c r="AM15" s="1619"/>
      <c r="AO15" s="1029"/>
      <c r="AP15" s="1029" t="str">
        <f>IF(T15="","",T15)</f>
        <v>Добавить территорию для дифференциации</v>
      </c>
      <c r="AQ15" s="1029"/>
      <c r="AR15" s="1029"/>
    </row>
    <row customHeight="1" ht="14.25" hidden="1">
      <c r="AC16" s="548"/>
      <c r="AK16" s="548"/>
    </row>
    <row customHeight="1" ht="14.25" hidden="1">
      <c r="AD17" s="4098"/>
      <c r="AE17" s="4098"/>
      <c r="AF17" s="4098"/>
      <c r="AG17" s="4099"/>
      <c r="AH17" s="2432"/>
      <c r="AI17" s="2433" t="s">
        <v>67</v>
      </c>
      <c r="AJ17" s="2432"/>
      <c r="AK17" s="2433" t="s">
        <v>67</v>
      </c>
    </row>
    <row customHeight="1" ht="14.25" hidden="1">
      <c r="AD18" s="4098"/>
      <c r="AE18" s="4098"/>
      <c r="AF18" s="4098"/>
      <c r="AG18" s="4071" t="str">
        <f>AH17&amp;"-"&amp;AJ17</f>
        <v>-</v>
      </c>
      <c r="AH18" s="2433"/>
      <c r="AI18" s="2433"/>
      <c r="AJ18" s="2433"/>
      <c r="AK18" s="2433"/>
    </row>
    <row customHeight="1" ht="14.25" hidden="1">
      <c r="AK19" s="548"/>
    </row>
    <row s="11074" customFormat="1" customHeight="1" ht="22.5" hidden="1">
      <c r="L20" s="1624"/>
      <c r="M20" s="1658"/>
      <c r="N20" s="1658"/>
      <c r="O20" s="1663" t="s">
        <v>1534</v>
      </c>
      <c r="P20" s="1658"/>
      <c r="Q20" s="1667"/>
      <c r="R20" s="1667"/>
      <c r="S20" s="967"/>
      <c r="Z20" s="1663"/>
      <c r="AB20" s="1663"/>
      <c r="AC20" s="1662"/>
      <c r="AH20" s="1663"/>
      <c r="AJ20" s="1663"/>
      <c r="AK20" s="1662"/>
      <c r="AN20" s="748"/>
      <c r="AO20" s="748"/>
      <c r="AP20" s="748"/>
      <c r="AQ20" s="748"/>
      <c r="AR20" s="748"/>
    </row>
    <row s="11074" customFormat="1" customHeight="1" ht="14.25" hidden="1">
      <c r="L21" s="1624"/>
      <c r="M21" s="1658"/>
      <c r="N21" s="1658"/>
      <c r="O21" s="1658"/>
      <c r="P21" s="1658"/>
      <c r="Q21" s="1667"/>
      <c r="R21" s="1667"/>
      <c r="S21" s="967"/>
      <c r="AC21" s="1662"/>
      <c r="AK21" s="1662"/>
      <c r="AN21" s="748"/>
      <c r="AO21" s="748"/>
      <c r="AP21" s="748"/>
      <c r="AQ21" s="748"/>
      <c r="AR21" s="748"/>
    </row>
    <row s="11074" customFormat="1" customHeight="1" ht="14.25" hidden="1">
      <c r="L22" s="1624"/>
      <c r="M22" s="1658"/>
      <c r="N22" s="1658"/>
      <c r="O22" s="1660" t="s">
        <v>1535</v>
      </c>
      <c r="P22" s="1658"/>
      <c r="Q22" s="1667"/>
      <c r="R22" s="1667"/>
      <c r="S22" s="967"/>
      <c r="T22" s="1421" t="s">
        <v>1536</v>
      </c>
      <c r="AA22" s="393" t="s">
        <v>1537</v>
      </c>
      <c r="AC22" s="393" t="s">
        <v>1538</v>
      </c>
      <c r="AD22" s="1421" t="s">
        <v>1536</v>
      </c>
      <c r="AI22" s="393" t="s">
        <v>1539</v>
      </c>
      <c r="AK22" s="393" t="s">
        <v>1538</v>
      </c>
      <c r="AN22" s="748"/>
      <c r="AO22" s="748"/>
      <c r="AP22" s="748"/>
      <c r="AQ22" s="748"/>
      <c r="AR22" s="748"/>
    </row>
    <row customHeight="1" ht="14.25" hidden="1">
      <c r="O23" s="1660"/>
    </row>
    <row customHeight="1" ht="14.25" hidden="1">
      <c r="O24" s="1660"/>
    </row>
    <row customHeight="1" ht="14.25">
      <c r="Q25" s="602"/>
      <c r="R25" s="602"/>
      <c r="S25" s="1565"/>
      <c r="T25" s="586"/>
      <c r="U25" s="586"/>
      <c r="V25" s="746"/>
      <c r="W25" s="746"/>
      <c r="X25" s="746"/>
      <c r="Y25" s="746"/>
      <c r="Z25" s="746"/>
      <c r="AA25" s="746"/>
      <c r="AB25" s="746"/>
      <c r="AC25" s="746"/>
      <c r="AD25" s="746"/>
      <c r="AE25" s="746"/>
      <c r="AF25" s="746"/>
      <c r="AG25" s="746"/>
      <c r="AH25" s="746"/>
      <c r="AI25" s="746"/>
      <c r="AJ25" s="746"/>
      <c r="AK25" s="746"/>
    </row>
    <row customHeight="1" ht="64.5">
      <c r="Q26" s="602"/>
      <c r="R26" s="602"/>
      <c r="S26" s="2414" t="str">
        <f>IF(TEMPLATE_GROUP="P",PT_P_FORM_HEAT_5_NAME_FORM,PT_R_FORM_HEAT_22_NAME_FORM)</f>
        <v>Форма 22. Информация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23.4 Федерального закона "О теплоснабжении" &lt;1&gt;</v>
      </c>
      <c r="T26" s="2414"/>
      <c r="U26" s="2414"/>
      <c r="V26" s="2414"/>
      <c r="W26" s="2414"/>
      <c r="X26" s="2414"/>
      <c r="Y26" s="2414"/>
      <c r="Z26" s="2414"/>
      <c r="AA26" s="2414"/>
      <c r="AB26" s="2414"/>
      <c r="AC26" s="2414"/>
      <c r="AD26" s="2414"/>
      <c r="AE26" s="2414"/>
      <c r="AF26" s="2414"/>
      <c r="AG26" s="2414"/>
      <c r="AH26" s="2414"/>
      <c r="AI26" s="2414"/>
      <c r="AJ26" s="2414"/>
      <c r="AK26" s="1521"/>
    </row>
    <row customHeight="1" ht="14.25">
      <c r="Q27" s="602"/>
      <c r="R27" s="602"/>
      <c r="S27" s="2415" t="str">
        <f>IF(org=0,"Не определено",org)</f>
        <v>ООО "СамРЭК-Тепло Жигулевск"</v>
      </c>
      <c r="T27" s="2415"/>
      <c r="U27" s="2415"/>
      <c r="V27" s="2415"/>
      <c r="W27" s="2415"/>
      <c r="X27" s="2415"/>
      <c r="Y27" s="2415"/>
      <c r="Z27" s="2415"/>
      <c r="AA27" s="2415"/>
      <c r="AB27" s="2415"/>
      <c r="AC27" s="2415"/>
      <c r="AD27" s="2415"/>
      <c r="AE27" s="2415"/>
      <c r="AF27" s="2415"/>
      <c r="AG27" s="2415"/>
      <c r="AH27" s="2415"/>
      <c r="AI27" s="2415"/>
      <c r="AJ27" s="2415"/>
      <c r="AK27" s="1521"/>
    </row>
    <row customHeight="1" ht="14.25" hidden="1">
      <c r="Q28" s="602"/>
      <c r="R28" s="602"/>
      <c r="S28" s="1565"/>
      <c r="T28" s="586"/>
      <c r="U28" s="586"/>
      <c r="V28" s="541"/>
      <c r="W28" s="541"/>
      <c r="X28" s="541"/>
      <c r="Y28" s="541"/>
      <c r="Z28" s="541"/>
      <c r="AA28" s="541"/>
      <c r="AB28" s="541"/>
      <c r="AC28" s="541"/>
      <c r="AD28" s="541"/>
      <c r="AE28" s="541"/>
      <c r="AF28" s="541"/>
      <c r="AG28" s="541"/>
      <c r="AH28" s="541"/>
      <c r="AI28" s="541"/>
      <c r="AJ28" s="541"/>
      <c r="AK28" s="541"/>
      <c r="AL28" s="746"/>
    </row>
    <row s="10859" customFormat="1" customHeight="1" ht="25.5" hidden="1">
      <c r="A29" s="1664"/>
      <c r="B29" s="1664"/>
      <c r="C29" s="1664"/>
      <c r="D29" s="1664"/>
      <c r="E29" s="1664"/>
      <c r="F29" s="1664"/>
      <c r="G29" s="1664"/>
      <c r="H29" s="1664"/>
      <c r="I29" s="1664"/>
      <c r="J29" s="1664"/>
      <c r="K29" s="1664"/>
      <c r="L29" s="1665"/>
      <c r="M29" s="1664"/>
      <c r="N29" s="1664"/>
      <c r="O29" s="1664"/>
      <c r="S29" s="2416" t="s">
        <v>39</v>
      </c>
      <c r="T29" s="2416"/>
      <c r="U29" s="1668"/>
      <c r="V29" s="2417" t="str">
        <f>IF(TITLE_NAME_OR_PR_CHANGE="",IF(TITLE_NAME_OR_PR="","",TITLE_NAME_OR_PR),TITLE_NAME_OR_PR_CHANGE)</f>
        <v/>
      </c>
      <c r="W29" s="2417"/>
      <c r="X29" s="2417"/>
      <c r="Y29" s="2417"/>
      <c r="Z29" s="2417"/>
      <c r="AA29" s="2417"/>
      <c r="AB29" s="2417"/>
      <c r="AC29" s="547"/>
      <c r="AD29" s="2417" t="str">
        <f>IF(TITLE_NAME_OR_PR_CHANGE="",IF(TITLE_NAME_OR_PR="","",TITLE_NAME_OR_PR),TITLE_NAME_OR_PR_CHANGE)</f>
        <v/>
      </c>
      <c r="AE29" s="2417"/>
      <c r="AF29" s="2417"/>
      <c r="AG29" s="2417"/>
      <c r="AH29" s="2417"/>
      <c r="AI29" s="2417"/>
      <c r="AJ29" s="2417"/>
      <c r="AK29" s="547"/>
      <c r="AL29" s="547"/>
      <c r="AM29" s="490"/>
      <c r="AN29" s="593"/>
      <c r="AO29" s="593"/>
      <c r="AP29" s="593"/>
      <c r="AQ29" s="593"/>
      <c r="AR29" s="593"/>
    </row>
    <row s="10859" customFormat="1" customHeight="1" ht="18.75" hidden="1">
      <c r="A30" s="1664"/>
      <c r="B30" s="1664"/>
      <c r="C30" s="1664"/>
      <c r="D30" s="1664"/>
      <c r="E30" s="1664"/>
      <c r="F30" s="1664"/>
      <c r="G30" s="1664"/>
      <c r="H30" s="1664"/>
      <c r="I30" s="1664"/>
      <c r="J30" s="1664"/>
      <c r="K30" s="1664"/>
      <c r="L30" s="1665"/>
      <c r="M30" s="1664"/>
      <c r="N30" s="1664"/>
      <c r="O30" s="1664"/>
      <c r="S30" s="2416" t="s">
        <v>1540</v>
      </c>
      <c r="T30" s="2416"/>
      <c r="U30" s="1668"/>
      <c r="V30" s="2417" t="str">
        <f>IF(TITLE_DATE_CHANGE_PERIOD="",IF(TITLE_DATE_PR="","",TITLE_DATE_PR),TITLE_DATE_CHANGE_PERIOD)</f>
        <v/>
      </c>
      <c r="W30" s="2417"/>
      <c r="X30" s="2417"/>
      <c r="Y30" s="2417"/>
      <c r="Z30" s="2417"/>
      <c r="AA30" s="2417"/>
      <c r="AB30" s="2417"/>
      <c r="AC30" s="547"/>
      <c r="AD30" s="2417" t="str">
        <f>IF(TITLE_DATE_CHANGE_PERIOD="",IF(TITLE_DATE_PR="","",TITLE_DATE_PR),TITLE_DATE_CHANGE_PERIOD)</f>
        <v/>
      </c>
      <c r="AE30" s="2417"/>
      <c r="AF30" s="2417"/>
      <c r="AG30" s="2417"/>
      <c r="AH30" s="2417"/>
      <c r="AI30" s="2417"/>
      <c r="AJ30" s="2417"/>
      <c r="AK30" s="547"/>
      <c r="AL30" s="547"/>
      <c r="AM30" s="490"/>
      <c r="AN30" s="593"/>
      <c r="AO30" s="593"/>
      <c r="AP30" s="593"/>
      <c r="AQ30" s="593"/>
      <c r="AR30" s="593"/>
    </row>
    <row s="10859" customFormat="1" customHeight="1" ht="18.75" hidden="1">
      <c r="A31" s="1664"/>
      <c r="B31" s="1664"/>
      <c r="C31" s="1664"/>
      <c r="D31" s="1664"/>
      <c r="E31" s="1664"/>
      <c r="F31" s="1664"/>
      <c r="G31" s="1664"/>
      <c r="H31" s="1664"/>
      <c r="I31" s="1664"/>
      <c r="J31" s="1664"/>
      <c r="K31" s="1664"/>
      <c r="L31" s="1665"/>
      <c r="M31" s="1664"/>
      <c r="N31" s="1664"/>
      <c r="O31" s="1664"/>
      <c r="S31" s="2416" t="s">
        <v>1541</v>
      </c>
      <c r="T31" s="2416"/>
      <c r="U31" s="1668"/>
      <c r="V31" s="2417" t="str">
        <f>IF(TITLE_NUMBER_PR_CHANGE="",IF(TITLE_NUMBER_PR="","",TITLE_NUMBER_PR),TITLE_NUMBER_PR_CHANGE)</f>
        <v/>
      </c>
      <c r="W31" s="2417"/>
      <c r="X31" s="2417"/>
      <c r="Y31" s="2417"/>
      <c r="Z31" s="2417"/>
      <c r="AA31" s="2417"/>
      <c r="AB31" s="2417"/>
      <c r="AC31" s="547"/>
      <c r="AD31" s="2417" t="str">
        <f>IF(TITLE_NUMBER_PR_CHANGE="",IF(TITLE_NUMBER_PR="","",TITLE_NUMBER_PR),TITLE_NUMBER_PR_CHANGE)</f>
        <v/>
      </c>
      <c r="AE31" s="2417"/>
      <c r="AF31" s="2417"/>
      <c r="AG31" s="2417"/>
      <c r="AH31" s="2417"/>
      <c r="AI31" s="2417"/>
      <c r="AJ31" s="2417"/>
      <c r="AK31" s="547"/>
      <c r="AL31" s="547"/>
      <c r="AM31" s="490"/>
      <c r="AN31" s="593"/>
      <c r="AO31" s="593"/>
      <c r="AP31" s="593"/>
      <c r="AQ31" s="593"/>
      <c r="AR31" s="593"/>
    </row>
    <row s="10859" customFormat="1" customHeight="1" ht="18.75" hidden="1">
      <c r="A32" s="1664"/>
      <c r="B32" s="1664"/>
      <c r="C32" s="1664"/>
      <c r="D32" s="1664"/>
      <c r="E32" s="1664"/>
      <c r="F32" s="1664"/>
      <c r="G32" s="1664"/>
      <c r="H32" s="1664"/>
      <c r="I32" s="1664"/>
      <c r="J32" s="1664"/>
      <c r="K32" s="1664"/>
      <c r="L32" s="1665"/>
      <c r="M32" s="1664"/>
      <c r="N32" s="1664"/>
      <c r="O32" s="1664"/>
      <c r="S32" s="2416" t="s">
        <v>40</v>
      </c>
      <c r="T32" s="2416"/>
      <c r="U32" s="1668"/>
      <c r="V32" s="2417" t="str">
        <f>IF(TITLE_IST_PUB_CHANGE="",IF(TITLE_IST_PUB="","",TITLE_IST_PUB),TITLE_IST_PUB_CHANGE)</f>
        <v/>
      </c>
      <c r="W32" s="2417"/>
      <c r="X32" s="2417"/>
      <c r="Y32" s="2417"/>
      <c r="Z32" s="2417"/>
      <c r="AA32" s="2417"/>
      <c r="AB32" s="2417"/>
      <c r="AC32" s="547"/>
      <c r="AD32" s="2417" t="str">
        <f>IF(TITLE_IST_PUB_CHANGE="",IF(TITLE_IST_PUB="","",TITLE_IST_PUB),TITLE_IST_PUB_CHANGE)</f>
        <v/>
      </c>
      <c r="AE32" s="2417"/>
      <c r="AF32" s="2417"/>
      <c r="AG32" s="2417"/>
      <c r="AH32" s="2417"/>
      <c r="AI32" s="2417"/>
      <c r="AJ32" s="2417"/>
      <c r="AK32" s="547"/>
      <c r="AL32" s="547"/>
      <c r="AM32" s="490"/>
      <c r="AN32" s="593"/>
      <c r="AO32" s="593"/>
      <c r="AP32" s="593"/>
      <c r="AQ32" s="593"/>
      <c r="AR32" s="593"/>
    </row>
    <row customHeight="1" ht="14.25" hidden="1">
      <c r="Q33" s="602"/>
      <c r="R33" s="602"/>
      <c r="S33" s="1565"/>
      <c r="T33" s="586"/>
      <c r="U33" s="586"/>
      <c r="V33" s="541"/>
      <c r="W33" s="541"/>
      <c r="X33" s="541"/>
      <c r="Y33" s="541"/>
      <c r="Z33" s="541"/>
      <c r="AA33" s="541"/>
      <c r="AB33" s="541"/>
      <c r="AC33" s="541"/>
      <c r="AD33" s="541"/>
      <c r="AE33" s="541"/>
      <c r="AF33" s="541"/>
      <c r="AG33" s="541"/>
      <c r="AH33" s="541"/>
      <c r="AI33" s="541"/>
      <c r="AJ33" s="541"/>
      <c r="AK33" s="541"/>
      <c r="AL33" s="746"/>
    </row>
    <row s="10859" customFormat="1" customHeight="1" ht="18.75" hidden="1">
      <c r="A34" s="1664"/>
      <c r="B34" s="1664"/>
      <c r="C34" s="1664"/>
      <c r="D34" s="1664"/>
      <c r="E34" s="1664"/>
      <c r="F34" s="1664"/>
      <c r="G34" s="1664"/>
      <c r="H34" s="1664"/>
      <c r="I34" s="1664"/>
      <c r="J34" s="1664"/>
      <c r="K34" s="1664"/>
      <c r="L34" s="1665"/>
      <c r="M34" s="1664"/>
      <c r="N34" s="1664"/>
      <c r="O34" s="1664"/>
      <c r="S34" s="2416" t="s">
        <v>1542</v>
      </c>
      <c r="T34" s="2416"/>
      <c r="U34" s="1668"/>
      <c r="V34" s="2417" t="str">
        <f>IF(TITLE_DATE_CHANGE_PERIOD="",IF(TITLE_DATE_PR="","",TITLE_DATE_PR),TITLE_DATE_CHANGE_PERIOD)</f>
        <v/>
      </c>
      <c r="W34" s="2417"/>
      <c r="X34" s="2417"/>
      <c r="Y34" s="2417"/>
      <c r="Z34" s="2417"/>
      <c r="AA34" s="2417"/>
      <c r="AB34" s="2417"/>
      <c r="AC34" s="547"/>
      <c r="AD34" s="2417" t="str">
        <f>IF(TITLE_DATE_CHANGE_PERIOD="",IF(TITLE_DATE_PR="","",TITLE_DATE_PR),TITLE_DATE_CHANGE_PERIOD)</f>
        <v/>
      </c>
      <c r="AE34" s="2417"/>
      <c r="AF34" s="2417"/>
      <c r="AG34" s="2417"/>
      <c r="AH34" s="2417"/>
      <c r="AI34" s="2417"/>
      <c r="AJ34" s="2417"/>
      <c r="AK34" s="547"/>
      <c r="AL34" s="547"/>
      <c r="AM34" s="490"/>
      <c r="AN34" s="593"/>
      <c r="AO34" s="593"/>
      <c r="AP34" s="593"/>
      <c r="AQ34" s="593"/>
      <c r="AR34" s="593"/>
    </row>
    <row s="10859" customFormat="1" customHeight="1" ht="25.5" hidden="1">
      <c r="A35" s="1664"/>
      <c r="B35" s="1664"/>
      <c r="C35" s="1664"/>
      <c r="D35" s="1664"/>
      <c r="E35" s="1664"/>
      <c r="F35" s="1664"/>
      <c r="G35" s="1664"/>
      <c r="H35" s="1664"/>
      <c r="I35" s="1664"/>
      <c r="J35" s="1664"/>
      <c r="K35" s="1664"/>
      <c r="L35" s="1665"/>
      <c r="M35" s="1664"/>
      <c r="N35" s="1664"/>
      <c r="O35" s="1664"/>
      <c r="S35" s="2416" t="s">
        <v>1543</v>
      </c>
      <c r="T35" s="2416"/>
      <c r="U35" s="1668"/>
      <c r="V35" s="2417" t="str">
        <f>IF(TITLE_NUMBER_PR_CHANGE="",IF(TITLE_NUMBER_PR="","",TITLE_NUMBER_PR),TITLE_NUMBER_PR_CHANGE)</f>
        <v/>
      </c>
      <c r="W35" s="2417"/>
      <c r="X35" s="2417"/>
      <c r="Y35" s="2417"/>
      <c r="Z35" s="2417"/>
      <c r="AA35" s="2417"/>
      <c r="AB35" s="2417"/>
      <c r="AC35" s="547"/>
      <c r="AD35" s="2417" t="str">
        <f>IF(TITLE_NUMBER_PR_CHANGE="",IF(TITLE_NUMBER_PR="","",TITLE_NUMBER_PR),TITLE_NUMBER_PR_CHANGE)</f>
        <v/>
      </c>
      <c r="AE35" s="2417"/>
      <c r="AF35" s="2417"/>
      <c r="AG35" s="2417"/>
      <c r="AH35" s="2417"/>
      <c r="AI35" s="2417"/>
      <c r="AJ35" s="2417"/>
      <c r="AK35" s="547"/>
      <c r="AL35" s="547"/>
      <c r="AM35" s="490"/>
      <c r="AN35" s="593"/>
      <c r="AO35" s="593"/>
      <c r="AP35" s="593"/>
      <c r="AQ35" s="593"/>
      <c r="AR35" s="593"/>
    </row>
    <row s="10859" customFormat="1" customHeight="1" ht="0">
      <c r="A36" s="1664"/>
      <c r="B36" s="1664"/>
      <c r="C36" s="1664"/>
      <c r="D36" s="1664"/>
      <c r="E36" s="1664"/>
      <c r="F36" s="1664"/>
      <c r="G36" s="1664"/>
      <c r="H36" s="1664"/>
      <c r="I36" s="1664"/>
      <c r="J36" s="1664"/>
      <c r="K36" s="1664"/>
      <c r="L36" s="1665"/>
      <c r="M36" s="1664"/>
      <c r="N36" s="1664"/>
      <c r="O36" s="1664"/>
      <c r="S36" s="543"/>
      <c r="T36" s="543"/>
      <c r="U36" s="1635"/>
      <c r="V36" s="547"/>
      <c r="W36" s="547"/>
      <c r="X36" s="547"/>
      <c r="Y36" s="547"/>
      <c r="Z36" s="547"/>
      <c r="AA36" s="547"/>
      <c r="AB36" s="547"/>
      <c r="AC36" s="488" t="s">
        <v>1544</v>
      </c>
      <c r="AD36" s="547"/>
      <c r="AE36" s="547"/>
      <c r="AF36" s="547"/>
      <c r="AG36" s="547"/>
      <c r="AH36" s="547"/>
      <c r="AI36" s="547"/>
      <c r="AJ36" s="547"/>
      <c r="AK36" s="488" t="s">
        <v>1544</v>
      </c>
      <c r="AN36" s="593"/>
      <c r="AO36" s="593"/>
      <c r="AP36" s="593"/>
      <c r="AQ36" s="593"/>
      <c r="AR36" s="593"/>
    </row>
    <row customHeight="1" ht="14.25">
      <c r="Q37" s="602"/>
      <c r="R37" s="602"/>
      <c r="S37" s="1565"/>
      <c r="T37" s="586"/>
      <c r="U37" s="1522"/>
      <c r="V37" s="2418"/>
      <c r="W37" s="2418"/>
      <c r="X37" s="2418"/>
      <c r="Y37" s="2418"/>
      <c r="Z37" s="2418"/>
      <c r="AA37" s="2418"/>
      <c r="AB37" s="2418"/>
      <c r="AC37" s="2418"/>
      <c r="AD37" s="2418"/>
      <c r="AE37" s="2418"/>
      <c r="AF37" s="2418"/>
      <c r="AG37" s="2418"/>
      <c r="AH37" s="2418"/>
      <c r="AI37" s="2418"/>
      <c r="AJ37" s="2418"/>
      <c r="AK37" s="2418"/>
    </row>
    <row customHeight="1" ht="14.25">
      <c r="Q38" s="602"/>
      <c r="R38" s="602"/>
      <c r="S38" s="2277" t="s">
        <v>362</v>
      </c>
      <c r="T38" s="2277"/>
      <c r="U38" s="2277"/>
      <c r="V38" s="2277"/>
      <c r="W38" s="2277"/>
      <c r="X38" s="2277"/>
      <c r="Y38" s="2277"/>
      <c r="Z38" s="2277"/>
      <c r="AA38" s="2277"/>
      <c r="AB38" s="2277"/>
      <c r="AC38" s="2277"/>
      <c r="AD38" s="2277"/>
      <c r="AE38" s="2277"/>
      <c r="AF38" s="2277"/>
      <c r="AG38" s="2277"/>
      <c r="AH38" s="2277"/>
      <c r="AI38" s="2277"/>
      <c r="AJ38" s="2277"/>
      <c r="AK38" s="2277"/>
      <c r="AL38" s="2277"/>
      <c r="AM38" s="2277" t="s">
        <v>363</v>
      </c>
    </row>
    <row customHeight="1" ht="14.25">
      <c r="Q39" s="602"/>
      <c r="R39" s="602"/>
      <c r="S39" s="2440" t="s">
        <v>88</v>
      </c>
      <c r="T39" s="2301" t="s">
        <v>1545</v>
      </c>
      <c r="U39" s="511"/>
      <c r="V39" s="2441" t="s">
        <v>1546</v>
      </c>
      <c r="W39" s="2442"/>
      <c r="X39" s="2442"/>
      <c r="Y39" s="2442"/>
      <c r="Z39" s="2442"/>
      <c r="AA39" s="2442"/>
      <c r="AB39" s="2443"/>
      <c r="AC39" s="2444" t="s">
        <v>1547</v>
      </c>
      <c r="AD39" s="2441" t="s">
        <v>1546</v>
      </c>
      <c r="AE39" s="2442"/>
      <c r="AF39" s="2442"/>
      <c r="AG39" s="2442"/>
      <c r="AH39" s="2442"/>
      <c r="AI39" s="2442"/>
      <c r="AJ39" s="2443"/>
      <c r="AK39" s="2444" t="s">
        <v>1548</v>
      </c>
      <c r="AL39" s="2447" t="s">
        <v>1549</v>
      </c>
      <c r="AM39" s="2277"/>
    </row>
    <row customHeight="1" ht="33.75">
      <c r="Q40" s="602"/>
      <c r="R40" s="602"/>
      <c r="S40" s="2440"/>
      <c r="T40" s="2301"/>
      <c r="U40" s="1289"/>
      <c r="V40" s="2426" t="s">
        <v>1550</v>
      </c>
      <c r="W40" s="2450"/>
      <c r="X40" s="2428" t="s">
        <v>1552</v>
      </c>
      <c r="Y40" s="2429"/>
      <c r="Z40" s="2434" t="s">
        <v>1553</v>
      </c>
      <c r="AA40" s="2435"/>
      <c r="AB40" s="2436"/>
      <c r="AC40" s="2445"/>
      <c r="AD40" s="2426" t="s">
        <v>1550</v>
      </c>
      <c r="AE40" s="2450"/>
      <c r="AF40" s="2428" t="s">
        <v>1552</v>
      </c>
      <c r="AG40" s="2429"/>
      <c r="AH40" s="2434" t="s">
        <v>1553</v>
      </c>
      <c r="AI40" s="2435"/>
      <c r="AJ40" s="2436"/>
      <c r="AK40" s="2445"/>
      <c r="AL40" s="2448"/>
      <c r="AM40" s="2277"/>
    </row>
    <row customHeight="1" ht="33.75">
      <c r="A41" s="1666"/>
      <c r="B41" s="1666" t="s">
        <v>212</v>
      </c>
      <c r="C41" s="1666" t="s">
        <v>213</v>
      </c>
      <c r="D41" s="1666" t="s">
        <v>214</v>
      </c>
      <c r="E41" s="1660" t="s">
        <v>1554</v>
      </c>
      <c r="F41" s="1660" t="s">
        <v>1555</v>
      </c>
      <c r="G41" s="1660" t="s">
        <v>1556</v>
      </c>
      <c r="H41" s="1660" t="s">
        <v>1557</v>
      </c>
      <c r="I41" s="1660" t="s">
        <v>1558</v>
      </c>
      <c r="J41" s="1660" t="s">
        <v>1559</v>
      </c>
      <c r="K41" s="1660" t="s">
        <v>1560</v>
      </c>
      <c r="L41" s="1660" t="s">
        <v>1535</v>
      </c>
      <c r="Q41" s="602"/>
      <c r="R41" s="602"/>
      <c r="S41" s="2440"/>
      <c r="T41" s="2301"/>
      <c r="U41" s="512"/>
      <c r="V41" s="2427"/>
      <c r="W41" s="2451"/>
      <c r="X41" s="1497" t="s">
        <v>1561</v>
      </c>
      <c r="Y41" s="1497" t="s">
        <v>1562</v>
      </c>
      <c r="Z41" s="1633" t="s">
        <v>1563</v>
      </c>
      <c r="AA41" s="2437" t="s">
        <v>1564</v>
      </c>
      <c r="AB41" s="2438"/>
      <c r="AC41" s="2446"/>
      <c r="AD41" s="2427"/>
      <c r="AE41" s="2451"/>
      <c r="AF41" s="1497" t="s">
        <v>1561</v>
      </c>
      <c r="AG41" s="1497" t="s">
        <v>1562</v>
      </c>
      <c r="AH41" s="1633" t="s">
        <v>1563</v>
      </c>
      <c r="AI41" s="2437" t="s">
        <v>1564</v>
      </c>
      <c r="AJ41" s="2438"/>
      <c r="AK41" s="2446"/>
      <c r="AL41" s="2449"/>
      <c r="AM41" s="2277"/>
    </row>
    <row s="10822" customFormat="1" customHeight="1" ht="11.25" hidden="1">
      <c r="A42" s="1666"/>
      <c r="B42" s="1666"/>
      <c r="C42" s="1666"/>
      <c r="D42" s="1666"/>
      <c r="E42" s="1666"/>
      <c r="F42" s="1666"/>
      <c r="G42" s="1666"/>
      <c r="H42" s="1666"/>
      <c r="I42" s="1666"/>
      <c r="J42" s="1666"/>
      <c r="K42" s="1666"/>
      <c r="L42" s="1660"/>
      <c r="M42" s="1658"/>
      <c r="N42" s="1658"/>
      <c r="O42" s="1658"/>
      <c r="P42" s="1524"/>
      <c r="Q42" s="1525"/>
      <c r="R42" s="1540">
        <v>1</v>
      </c>
      <c r="S42" s="1567" t="s">
        <v>109</v>
      </c>
      <c r="T42" s="1541" t="s">
        <v>110</v>
      </c>
      <c r="U42" s="1523" t="str">
        <f>OFFSET(U42,0,-1)</f>
        <v>2</v>
      </c>
      <c r="V42" s="1630">
        <f>OFFSET(V42,0,-1)+1</f>
        <v>3</v>
      </c>
      <c r="W42" s="1630"/>
      <c r="X42" s="1630">
        <f>OFFSET(X42,0,-1)+1</f>
        <v>1</v>
      </c>
      <c r="Y42" s="1630">
        <f>OFFSET(Y42,0,-1)+1</f>
        <v>2</v>
      </c>
      <c r="Z42" s="1630">
        <f>OFFSET(Z42,0,-1)+1</f>
        <v>3</v>
      </c>
      <c r="AA42" s="2439">
        <f>OFFSET(AA42,0,-1)+1</f>
        <v>4</v>
      </c>
      <c r="AB42" s="2439"/>
      <c r="AC42" s="1630">
        <f>OFFSET(AC42,0,-2)+1</f>
        <v>5</v>
      </c>
      <c r="AD42" s="1630">
        <f>OFFSET(AD42,0,-1)+1</f>
        <v>6</v>
      </c>
      <c r="AE42" s="1630"/>
      <c r="AF42" s="1630">
        <f>OFFSET(AF42,0,-1)+1</f>
        <v>1</v>
      </c>
      <c r="AG42" s="1630">
        <f>OFFSET(AG42,0,-1)+1</f>
        <v>2</v>
      </c>
      <c r="AH42" s="1630">
        <f>OFFSET(AH42,0,-1)+1</f>
        <v>3</v>
      </c>
      <c r="AI42" s="2439">
        <f>OFFSET(AI42,0,-1)+1</f>
        <v>4</v>
      </c>
      <c r="AJ42" s="2439"/>
      <c r="AK42" s="1630">
        <f>OFFSET(AK42,0,-2)+1</f>
        <v>5</v>
      </c>
      <c r="AL42" s="1523">
        <f>OFFSET(AL42,0,-1)</f>
        <v>5</v>
      </c>
      <c r="AM42" s="1630">
        <f>OFFSET(AM42,0,-1)+1</f>
        <v>6</v>
      </c>
      <c r="AN42" s="748"/>
      <c r="AO42" s="748"/>
      <c r="AP42" s="748"/>
      <c r="AQ42" s="748"/>
      <c r="AR42" s="748"/>
    </row>
    <row customHeight="1" ht="21">
      <c r="A43" s="1659" t="s">
        <v>259</v>
      </c>
      <c r="B43" s="1659"/>
      <c r="C43" s="1659"/>
      <c r="D43" s="1659"/>
      <c r="E43" s="2424">
        <v>1</v>
      </c>
      <c r="F43" s="1659"/>
      <c r="G43" s="1659"/>
      <c r="H43" s="1659"/>
      <c r="I43" s="1659"/>
      <c r="J43" s="1659"/>
      <c r="K43" s="1659"/>
      <c r="L43" s="1660"/>
      <c r="M43" s="1661"/>
      <c r="N43" s="1661"/>
      <c r="O43" s="1661"/>
      <c r="P43" s="582"/>
      <c r="Q43" s="581"/>
      <c r="R43" s="576"/>
      <c r="S43" s="1631">
        <f>INDEX(PT_DIFFERENTIATION_NUM_NTAR,MATCH(A43,PT_DIFFERENTIATION_NTAR_ID,0))</f>
        <v>0</v>
      </c>
      <c r="T43" s="508" t="s">
        <v>200</v>
      </c>
      <c r="U43" s="510"/>
      <c r="V43" s="4037"/>
      <c r="W43" s="4038"/>
      <c r="X43" s="4038"/>
      <c r="Y43" s="4038"/>
      <c r="Z43" s="4038"/>
      <c r="AA43" s="4038"/>
      <c r="AB43" s="4038"/>
      <c r="AC43" s="4039"/>
      <c r="AD43" s="4037" t="str">
        <f>INDEX(PT_DIFFERENTIATION_NTAR,MATCH(A43,PT_DIFFERENTIATION_NTAR_ID,0))</f>
        <v/>
      </c>
      <c r="AE43" s="4038"/>
      <c r="AF43" s="4038"/>
      <c r="AG43" s="4038"/>
      <c r="AH43" s="4038"/>
      <c r="AI43" s="4038"/>
      <c r="AJ43" s="4038"/>
      <c r="AK43" s="4038"/>
      <c r="AL43" s="4039"/>
      <c r="AM43" s="1546" t="s">
        <v>1516</v>
      </c>
      <c r="AO43" s="737"/>
      <c r="AP43" s="737" t="str">
        <f>IF(T43="","",T43)</f>
        <v>Наименование тарифа</v>
      </c>
      <c r="AQ43" s="737"/>
      <c r="AR43" s="737"/>
    </row>
    <row customHeight="1" ht="21">
      <c r="A44" s="1659" t="s">
        <v>259</v>
      </c>
      <c r="B44" s="1659" t="s">
        <v>260</v>
      </c>
      <c r="C44" s="1659"/>
      <c r="D44" s="1659"/>
      <c r="E44" s="2425"/>
      <c r="F44" s="2424">
        <v>1</v>
      </c>
      <c r="G44" s="1659"/>
      <c r="H44" s="1659"/>
      <c r="I44" s="1659"/>
      <c r="J44" s="1659"/>
      <c r="K44" s="1659"/>
      <c r="L44" s="1660"/>
      <c r="M44" s="1661"/>
      <c r="N44" s="1661"/>
      <c r="O44" s="1661"/>
      <c r="P44" s="1627"/>
      <c r="Q44" s="573"/>
      <c r="R44" s="574"/>
      <c r="S44" s="1631" t="str">
        <f>INDEX(PT_DIFFERENTIATION_NUM_TER,MATCH(B44,PT_DIFFERENTIATION_TER_ID,0))</f>
        <v>.</v>
      </c>
      <c r="T44" s="520" t="s">
        <v>1517</v>
      </c>
      <c r="U44" s="510"/>
      <c r="V44" s="4037"/>
      <c r="W44" s="4038"/>
      <c r="X44" s="4038"/>
      <c r="Y44" s="4038"/>
      <c r="Z44" s="4038"/>
      <c r="AA44" s="4038"/>
      <c r="AB44" s="4038"/>
      <c r="AC44" s="4039"/>
      <c r="AD44" s="4037" t="str">
        <f>INDEX(PT_DIFFERENTIATION_TER,MATCH(B44,PT_DIFFERENTIATION_TER_ID,0))</f>
        <v/>
      </c>
      <c r="AE44" s="4038"/>
      <c r="AF44" s="4038"/>
      <c r="AG44" s="4038"/>
      <c r="AH44" s="4038"/>
      <c r="AI44" s="4038"/>
      <c r="AJ44" s="4038"/>
      <c r="AK44" s="4038"/>
      <c r="AL44" s="4039"/>
      <c r="AM44" s="1546" t="s">
        <v>1518</v>
      </c>
      <c r="AO44" s="737"/>
      <c r="AP44" s="737" t="str">
        <f>IF(T44="","",T44)</f>
        <v>Территория действия тарифа</v>
      </c>
      <c r="AQ44" s="737"/>
      <c r="AR44" s="737"/>
    </row>
    <row customHeight="1" ht="23.25">
      <c r="A45" s="1659" t="s">
        <v>259</v>
      </c>
      <c r="B45" s="1659" t="s">
        <v>260</v>
      </c>
      <c r="C45" s="1659" t="s">
        <v>261</v>
      </c>
      <c r="D45" s="1659"/>
      <c r="E45" s="2425"/>
      <c r="F45" s="2425"/>
      <c r="G45" s="2424">
        <v>1</v>
      </c>
      <c r="H45" s="1659"/>
      <c r="I45" s="1659"/>
      <c r="J45" s="1659"/>
      <c r="K45" s="1659"/>
      <c r="L45" s="1660"/>
      <c r="M45" s="1661"/>
      <c r="N45" s="1661"/>
      <c r="O45" s="1661"/>
      <c r="P45" s="575"/>
      <c r="Q45" s="573"/>
      <c r="R45" s="574"/>
      <c r="S45" s="1631" t="str">
        <f>INDEX(PT_DIFFERENTIATION_NUM_CS,MATCH(C45,PT_DIFFERENTIATION_CS_ID,0))</f>
        <v>..</v>
      </c>
      <c r="T45" s="521" t="s">
        <v>1519</v>
      </c>
      <c r="U45" s="510"/>
      <c r="V45" s="4037"/>
      <c r="W45" s="4038"/>
      <c r="X45" s="4038"/>
      <c r="Y45" s="4038"/>
      <c r="Z45" s="4038"/>
      <c r="AA45" s="4038"/>
      <c r="AB45" s="4038"/>
      <c r="AC45" s="4039"/>
      <c r="AD45" s="4037" t="str">
        <f>INDEX(PT_DIFFERENTIATION_CS,MATCH(C45,PT_DIFFERENTIATION_CS_ID,0))</f>
        <v/>
      </c>
      <c r="AE45" s="4038"/>
      <c r="AF45" s="4038"/>
      <c r="AG45" s="4038"/>
      <c r="AH45" s="4038"/>
      <c r="AI45" s="4038"/>
      <c r="AJ45" s="4038"/>
      <c r="AK45" s="4038"/>
      <c r="AL45" s="4039"/>
      <c r="AM45" s="1546" t="s">
        <v>1520</v>
      </c>
      <c r="AO45" s="737"/>
      <c r="AP45" s="737" t="str">
        <f>IF(T45="","",T45)</f>
        <v>Наименование системы теплоснабжения </v>
      </c>
      <c r="AQ45" s="737"/>
      <c r="AR45" s="737"/>
    </row>
    <row customHeight="1" ht="21">
      <c r="A46" s="1659" t="s">
        <v>259</v>
      </c>
      <c r="B46" s="1659" t="s">
        <v>260</v>
      </c>
      <c r="C46" s="1659" t="s">
        <v>261</v>
      </c>
      <c r="D46" s="1659" t="s">
        <v>262</v>
      </c>
      <c r="E46" s="2425"/>
      <c r="F46" s="2425"/>
      <c r="G46" s="2425"/>
      <c r="H46" s="2424">
        <v>1</v>
      </c>
      <c r="I46" s="1659"/>
      <c r="J46" s="1659"/>
      <c r="K46" s="1659"/>
      <c r="L46" s="1660"/>
      <c r="M46" s="1661"/>
      <c r="N46" s="1661"/>
      <c r="O46" s="1661"/>
      <c r="P46" s="575"/>
      <c r="Q46" s="573"/>
      <c r="R46" s="574"/>
      <c r="S46" s="1631" t="str">
        <f>INDEX(PT_DIFFERENTIATION_NUM_IST_TE,MATCH(D46,PT_DIFFERENTIATION_IST_TE_ID,0))</f>
        <v>...</v>
      </c>
      <c r="T46" s="522" t="s">
        <v>1521</v>
      </c>
      <c r="U46" s="510"/>
      <c r="V46" s="4037"/>
      <c r="W46" s="4038"/>
      <c r="X46" s="4038"/>
      <c r="Y46" s="4038"/>
      <c r="Z46" s="4038"/>
      <c r="AA46" s="4038"/>
      <c r="AB46" s="4038"/>
      <c r="AC46" s="4039"/>
      <c r="AD46" s="4037" t="str">
        <f>INDEX(PT_DIFFERENTIATION_IST_TE,MATCH(D46,PT_DIFFERENTIATION_IST_TE_ID,0))</f>
        <v/>
      </c>
      <c r="AE46" s="4038"/>
      <c r="AF46" s="4038"/>
      <c r="AG46" s="4038"/>
      <c r="AH46" s="4038"/>
      <c r="AI46" s="4038"/>
      <c r="AJ46" s="4038"/>
      <c r="AK46" s="4038"/>
      <c r="AL46" s="4039"/>
      <c r="AM46" s="1546" t="s">
        <v>1522</v>
      </c>
      <c r="AO46" s="737"/>
      <c r="AP46" s="737" t="str">
        <f>IF(T46="","",T46)</f>
        <v>Источник тепловой энергии  </v>
      </c>
      <c r="AQ46" s="737"/>
      <c r="AR46" s="737"/>
    </row>
    <row s="10863" customFormat="1" customHeight="1" ht="0">
      <c r="A47" s="1638" t="s">
        <v>259</v>
      </c>
      <c r="B47" s="1638" t="s">
        <v>260</v>
      </c>
      <c r="C47" s="1638" t="s">
        <v>261</v>
      </c>
      <c r="D47" s="1638" t="s">
        <v>262</v>
      </c>
      <c r="E47" s="2425"/>
      <c r="F47" s="2425"/>
      <c r="G47" s="2425"/>
      <c r="H47" s="2425"/>
      <c r="I47" s="2453" t="str">
        <f>S46&amp;".1"</f>
        <v>....1</v>
      </c>
      <c r="J47" s="1638"/>
      <c r="K47" s="1638"/>
      <c r="L47" s="1641" t="s">
        <v>1523</v>
      </c>
      <c r="M47" s="747"/>
      <c r="N47" s="747"/>
      <c r="O47" s="747"/>
      <c r="P47" s="2423">
        <v>1</v>
      </c>
      <c r="Q47" s="1626"/>
      <c r="R47" s="577"/>
      <c r="S47" s="1300"/>
      <c r="T47" s="1679"/>
      <c r="U47" s="1680"/>
      <c r="V47" s="2463"/>
      <c r="W47" s="2464"/>
      <c r="X47" s="2464"/>
      <c r="Y47" s="2464"/>
      <c r="Z47" s="2464"/>
      <c r="AA47" s="2464"/>
      <c r="AB47" s="2464"/>
      <c r="AC47" s="2465"/>
      <c r="AD47" s="2463"/>
      <c r="AE47" s="2464"/>
      <c r="AF47" s="2464"/>
      <c r="AG47" s="2464"/>
      <c r="AH47" s="2464"/>
      <c r="AI47" s="2464"/>
      <c r="AJ47" s="2464"/>
      <c r="AK47" s="2464"/>
      <c r="AL47" s="2465"/>
      <c r="AM47" s="1681"/>
      <c r="AO47" s="737"/>
      <c r="AP47" s="737" t="str">
        <f>IF(T47="","",T47)</f>
        <v/>
      </c>
      <c r="AQ47" s="737"/>
      <c r="AR47" s="737"/>
    </row>
    <row customHeight="1" ht="21">
      <c r="A48" s="1659" t="s">
        <v>259</v>
      </c>
      <c r="B48" s="1659" t="s">
        <v>260</v>
      </c>
      <c r="C48" s="1659" t="s">
        <v>261</v>
      </c>
      <c r="D48" s="1659" t="s">
        <v>262</v>
      </c>
      <c r="E48" s="2425"/>
      <c r="F48" s="2425"/>
      <c r="G48" s="2425"/>
      <c r="H48" s="2425"/>
      <c r="I48" s="2454"/>
      <c r="J48" s="2422" t="str">
        <f>S46&amp;".1"</f>
        <v>....1</v>
      </c>
      <c r="K48" s="1659"/>
      <c r="L48" s="1660" t="s">
        <v>1526</v>
      </c>
      <c r="P48" s="2423"/>
      <c r="Q48" s="2423">
        <v>1</v>
      </c>
      <c r="R48" s="578"/>
      <c r="S48" s="1631" t="str">
        <f>$J48</f>
        <v>....1</v>
      </c>
      <c r="T48" s="496" t="s">
        <v>1527</v>
      </c>
      <c r="U48" s="510"/>
      <c r="V48" s="2411"/>
      <c r="W48" s="2412"/>
      <c r="X48" s="2412"/>
      <c r="Y48" s="2412"/>
      <c r="Z48" s="2412"/>
      <c r="AA48" s="2412"/>
      <c r="AB48" s="2412"/>
      <c r="AC48" s="2413"/>
      <c r="AD48" s="2411"/>
      <c r="AE48" s="2412"/>
      <c r="AF48" s="2412"/>
      <c r="AG48" s="2412"/>
      <c r="AH48" s="2412"/>
      <c r="AI48" s="2412"/>
      <c r="AJ48" s="2412"/>
      <c r="AK48" s="2412"/>
      <c r="AL48" s="2413"/>
      <c r="AM48" s="1546" t="s">
        <v>1528</v>
      </c>
      <c r="AO48" s="737"/>
      <c r="AP48" s="737" t="str">
        <f>IF(T48="","",T48)</f>
        <v>Группа потребителей</v>
      </c>
      <c r="AQ48" s="737"/>
      <c r="AR48" s="737"/>
    </row>
    <row customHeight="1" ht="21">
      <c r="A49" s="1659" t="s">
        <v>259</v>
      </c>
      <c r="B49" s="1659" t="s">
        <v>260</v>
      </c>
      <c r="C49" s="1659" t="s">
        <v>261</v>
      </c>
      <c r="D49" s="1659" t="s">
        <v>262</v>
      </c>
      <c r="E49" s="2425"/>
      <c r="F49" s="2425"/>
      <c r="G49" s="2425"/>
      <c r="H49" s="2425"/>
      <c r="I49" s="2454"/>
      <c r="J49" s="2455"/>
      <c r="K49" s="2422" t="str">
        <f>J48&amp;".1"</f>
        <v>....1.1</v>
      </c>
      <c r="L49" s="1660" t="s">
        <v>1529</v>
      </c>
      <c r="P49" s="2423"/>
      <c r="Q49" s="2423"/>
      <c r="R49" s="578">
        <v>1</v>
      </c>
      <c r="S49" s="1631" t="str">
        <f>$K49</f>
        <v>....1.1</v>
      </c>
      <c r="T49" s="1642"/>
      <c r="U49" s="510"/>
      <c r="V49" s="4065"/>
      <c r="W49" s="4066"/>
      <c r="X49" s="4065"/>
      <c r="Y49" s="4067"/>
      <c r="Z49" s="2430"/>
      <c r="AA49" s="2142" t="s">
        <v>67</v>
      </c>
      <c r="AB49" s="2430"/>
      <c r="AC49" s="2142" t="s">
        <v>67</v>
      </c>
      <c r="AD49" s="4065"/>
      <c r="AE49" s="4066"/>
      <c r="AF49" s="4065"/>
      <c r="AG49" s="4067"/>
      <c r="AH49" s="2430"/>
      <c r="AI49" s="2142" t="s">
        <v>67</v>
      </c>
      <c r="AJ49" s="2456"/>
      <c r="AK49" s="2142" t="s">
        <v>67</v>
      </c>
      <c r="AL49" s="4166"/>
      <c r="AM49" s="2419" t="s">
        <v>1573</v>
      </c>
      <c r="AN49" s="748">
        <f>STRCHECKDATE(V50:AL50)</f>
      </c>
      <c r="AO49" s="737"/>
      <c r="AP49" s="737" t="str">
        <f>IF(T49="","",T49)</f>
        <v/>
      </c>
      <c r="AQ49" s="737"/>
      <c r="AR49" s="737"/>
    </row>
    <row customHeight="1" ht="0.75">
      <c r="A50" s="1659" t="s">
        <v>259</v>
      </c>
      <c r="B50" s="1659" t="s">
        <v>260</v>
      </c>
      <c r="C50" s="1659" t="s">
        <v>261</v>
      </c>
      <c r="D50" s="1659" t="s">
        <v>262</v>
      </c>
      <c r="E50" s="2425"/>
      <c r="F50" s="2425"/>
      <c r="G50" s="2425"/>
      <c r="H50" s="2425"/>
      <c r="I50" s="2454"/>
      <c r="J50" s="2455"/>
      <c r="K50" s="2422"/>
      <c r="L50" s="1660"/>
      <c r="P50" s="2423"/>
      <c r="Q50" s="2423"/>
      <c r="R50" s="578"/>
      <c r="S50" s="1637"/>
      <c r="T50" s="510"/>
      <c r="U50" s="510"/>
      <c r="V50" s="4066"/>
      <c r="W50" s="4066"/>
      <c r="X50" s="4066"/>
      <c r="Y50" s="4071" t="str">
        <f>Z49&amp;"-"&amp;AB49</f>
        <v>-</v>
      </c>
      <c r="Z50" s="2431"/>
      <c r="AA50" s="2142"/>
      <c r="AB50" s="2431"/>
      <c r="AC50" s="2142"/>
      <c r="AD50" s="4066"/>
      <c r="AE50" s="4066"/>
      <c r="AF50" s="4066"/>
      <c r="AG50" s="4071" t="str">
        <f>AH49&amp;"-"&amp;AJ49</f>
        <v>-</v>
      </c>
      <c r="AH50" s="2431"/>
      <c r="AI50" s="2142"/>
      <c r="AJ50" s="2457"/>
      <c r="AK50" s="2142"/>
      <c r="AL50" s="4169"/>
      <c r="AM50" s="2420"/>
      <c r="AO50" s="737"/>
      <c r="AP50" s="737" t="str">
        <f>IF(T50="","",T50)</f>
        <v/>
      </c>
      <c r="AQ50" s="737"/>
      <c r="AR50" s="737"/>
    </row>
    <row customHeight="1" ht="11.25">
      <c r="A51" s="1659" t="s">
        <v>259</v>
      </c>
      <c r="B51" s="1659" t="s">
        <v>260</v>
      </c>
      <c r="C51" s="1659" t="s">
        <v>261</v>
      </c>
      <c r="D51" s="1659" t="s">
        <v>262</v>
      </c>
      <c r="E51" s="2425"/>
      <c r="F51" s="2425"/>
      <c r="G51" s="2425"/>
      <c r="H51" s="2425"/>
      <c r="I51" s="2454"/>
      <c r="J51" s="2422"/>
      <c r="K51" s="1659"/>
      <c r="L51" s="1660"/>
      <c r="P51" s="2423"/>
      <c r="Q51" s="2423"/>
      <c r="R51" s="577"/>
      <c r="S51" s="1568"/>
      <c r="T51" s="497" t="s">
        <v>1531</v>
      </c>
      <c r="U51" s="592"/>
      <c r="V51" s="592"/>
      <c r="W51" s="592"/>
      <c r="X51" s="592"/>
      <c r="Y51" s="592"/>
      <c r="Z51" s="592"/>
      <c r="AA51" s="592"/>
      <c r="AB51" s="592"/>
      <c r="AC51" s="592"/>
      <c r="AD51" s="592"/>
      <c r="AE51" s="592"/>
      <c r="AF51" s="592"/>
      <c r="AG51" s="592"/>
      <c r="AH51" s="592"/>
      <c r="AI51" s="592"/>
      <c r="AJ51" s="592"/>
      <c r="AK51" s="592"/>
      <c r="AL51" s="544"/>
      <c r="AM51" s="2421"/>
      <c r="AO51" s="737"/>
      <c r="AP51" s="737" t="str">
        <f>IF(T51="","",T51)</f>
        <v>Добавить вид теплоносителя (параметры теплоносителя)</v>
      </c>
      <c r="AQ51" s="737"/>
      <c r="AR51" s="737"/>
    </row>
    <row customHeight="1" ht="11.25">
      <c r="A52" s="1659" t="s">
        <v>259</v>
      </c>
      <c r="B52" s="1659" t="s">
        <v>260</v>
      </c>
      <c r="C52" s="1659" t="s">
        <v>261</v>
      </c>
      <c r="D52" s="1659" t="s">
        <v>262</v>
      </c>
      <c r="E52" s="2425"/>
      <c r="F52" s="2425"/>
      <c r="G52" s="2425"/>
      <c r="H52" s="2425"/>
      <c r="I52" s="2453"/>
      <c r="J52" s="1659"/>
      <c r="K52" s="1659"/>
      <c r="L52" s="1660"/>
      <c r="P52" s="2423"/>
      <c r="Q52" s="1626"/>
      <c r="R52" s="577"/>
      <c r="S52" s="1568"/>
      <c r="T52" s="589" t="s">
        <v>1532</v>
      </c>
      <c r="U52" s="592"/>
      <c r="V52" s="592"/>
      <c r="W52" s="592"/>
      <c r="X52" s="592"/>
      <c r="Y52" s="592"/>
      <c r="Z52" s="592"/>
      <c r="AA52" s="592"/>
      <c r="AB52" s="592"/>
      <c r="AC52" s="591"/>
      <c r="AD52" s="592"/>
      <c r="AE52" s="592"/>
      <c r="AF52" s="592"/>
      <c r="AG52" s="592"/>
      <c r="AH52" s="592"/>
      <c r="AI52" s="592"/>
      <c r="AJ52" s="592"/>
      <c r="AK52" s="591"/>
      <c r="AL52" s="592"/>
      <c r="AM52" s="513"/>
      <c r="AO52" s="737"/>
      <c r="AP52" s="737" t="str">
        <f>IF(T52="","",T52)</f>
        <v>Добавить группу потребителей</v>
      </c>
      <c r="AQ52" s="737"/>
      <c r="AR52" s="737"/>
    </row>
    <row customHeight="1" ht="0">
      <c r="A53" s="1659" t="s">
        <v>259</v>
      </c>
      <c r="B53" s="1659" t="s">
        <v>260</v>
      </c>
      <c r="C53" s="1659" t="s">
        <v>261</v>
      </c>
      <c r="D53" s="1659" t="s">
        <v>262</v>
      </c>
      <c r="E53" s="2425"/>
      <c r="F53" s="2425"/>
      <c r="G53" s="2425"/>
      <c r="H53" s="2424"/>
      <c r="I53" s="1659"/>
      <c r="J53" s="1659"/>
      <c r="K53" s="1659"/>
      <c r="L53" s="1660"/>
      <c r="M53" s="1661"/>
      <c r="N53" s="1661"/>
      <c r="O53" s="774"/>
      <c r="P53" s="581"/>
      <c r="Q53" s="601"/>
      <c r="R53" s="576"/>
      <c r="S53" s="1682"/>
      <c r="T53" s="1683"/>
      <c r="U53" s="1684"/>
      <c r="V53" s="1684"/>
      <c r="W53" s="1684"/>
      <c r="X53" s="1684"/>
      <c r="Y53" s="1684"/>
      <c r="Z53" s="1684"/>
      <c r="AA53" s="1684"/>
      <c r="AB53" s="1684"/>
      <c r="AC53" s="1684"/>
      <c r="AD53" s="1684"/>
      <c r="AE53" s="1684"/>
      <c r="AF53" s="1684"/>
      <c r="AG53" s="1684"/>
      <c r="AH53" s="1684"/>
      <c r="AI53" s="1684"/>
      <c r="AJ53" s="1684"/>
      <c r="AK53" s="1684"/>
      <c r="AL53" s="1684"/>
      <c r="AM53" s="1685"/>
      <c r="AO53" s="737"/>
      <c r="AP53" s="737" t="str">
        <f>IF(T53="","",T53)</f>
        <v/>
      </c>
      <c r="AQ53" s="737"/>
      <c r="AR53" s="737"/>
    </row>
    <row s="10863" customFormat="1" customHeight="1" ht="0.75">
      <c r="A54" s="1638" t="s">
        <v>259</v>
      </c>
      <c r="B54" s="1638" t="s">
        <v>260</v>
      </c>
      <c r="C54" s="1638" t="s">
        <v>261</v>
      </c>
      <c r="D54" s="1609"/>
      <c r="E54" s="2425"/>
      <c r="F54" s="2425"/>
      <c r="G54" s="2424"/>
      <c r="H54" s="1609"/>
      <c r="I54" s="1609"/>
      <c r="J54" s="1609"/>
      <c r="K54" s="1609"/>
      <c r="L54" s="1634"/>
      <c r="M54" s="1610"/>
      <c r="N54" s="1610"/>
      <c r="P54" s="1611"/>
      <c r="Q54" s="1612"/>
      <c r="R54" s="1611"/>
      <c r="S54" s="1617"/>
      <c r="T54" s="1620" t="s">
        <v>1492</v>
      </c>
      <c r="U54" s="1619"/>
      <c r="V54" s="1619"/>
      <c r="W54" s="1619"/>
      <c r="X54" s="1619"/>
      <c r="Y54" s="1619"/>
      <c r="Z54" s="1619"/>
      <c r="AA54" s="1619"/>
      <c r="AB54" s="1619"/>
      <c r="AC54" s="1619"/>
      <c r="AD54" s="1619"/>
      <c r="AE54" s="1619"/>
      <c r="AF54" s="1619"/>
      <c r="AG54" s="1619"/>
      <c r="AH54" s="1619"/>
      <c r="AI54" s="1619"/>
      <c r="AJ54" s="1619"/>
      <c r="AK54" s="1619"/>
      <c r="AL54" s="1619"/>
      <c r="AM54" s="1619"/>
      <c r="AO54" s="1029"/>
      <c r="AP54" s="1029" t="str">
        <f>IF(T54="","",T54)</f>
        <v>Добавить источник для дифференциации</v>
      </c>
      <c r="AQ54" s="1029"/>
      <c r="AR54" s="1029"/>
    </row>
    <row s="10863" customFormat="1" customHeight="1" ht="0.75">
      <c r="A55" s="1638" t="s">
        <v>259</v>
      </c>
      <c r="B55" s="1638" t="s">
        <v>260</v>
      </c>
      <c r="C55" s="1609"/>
      <c r="D55" s="1609"/>
      <c r="E55" s="2425"/>
      <c r="F55" s="2424"/>
      <c r="G55" s="1609"/>
      <c r="H55" s="1609"/>
      <c r="I55" s="1609"/>
      <c r="J55" s="1609"/>
      <c r="K55" s="1609"/>
      <c r="L55" s="1634"/>
      <c r="M55" s="1616"/>
      <c r="N55" s="1616"/>
      <c r="P55" s="1611"/>
      <c r="Q55" s="1612"/>
      <c r="R55" s="1611"/>
      <c r="S55" s="1617"/>
      <c r="T55" s="1620" t="s">
        <v>1493</v>
      </c>
      <c r="U55" s="1619"/>
      <c r="V55" s="1619"/>
      <c r="W55" s="1619"/>
      <c r="X55" s="1619"/>
      <c r="Y55" s="1619"/>
      <c r="Z55" s="1619"/>
      <c r="AA55" s="1619"/>
      <c r="AB55" s="1619"/>
      <c r="AC55" s="1619"/>
      <c r="AD55" s="1619"/>
      <c r="AE55" s="1619"/>
      <c r="AF55" s="1619"/>
      <c r="AG55" s="1619"/>
      <c r="AH55" s="1619"/>
      <c r="AI55" s="1619"/>
      <c r="AJ55" s="1619"/>
      <c r="AK55" s="1619"/>
      <c r="AL55" s="1619"/>
      <c r="AM55" s="1619"/>
      <c r="AO55" s="1029"/>
      <c r="AP55" s="1029" t="str">
        <f>IF(T55="","",T55)</f>
        <v>Добавить централизованную систему для дифференциации</v>
      </c>
      <c r="AQ55" s="1029"/>
      <c r="AR55" s="1029"/>
    </row>
    <row s="10863" customFormat="1" customHeight="1" ht="0.75">
      <c r="A56" s="1638" t="s">
        <v>259</v>
      </c>
      <c r="B56" s="1638"/>
      <c r="C56" s="1638"/>
      <c r="D56" s="1638"/>
      <c r="E56" s="2424"/>
      <c r="F56" s="1638"/>
      <c r="G56" s="1638"/>
      <c r="H56" s="1638"/>
      <c r="I56" s="1638"/>
      <c r="J56" s="1638"/>
      <c r="K56" s="1638"/>
      <c r="L56" s="1641"/>
      <c r="M56" s="1616"/>
      <c r="N56" s="1616"/>
      <c r="O56" s="755"/>
      <c r="P56" s="610"/>
      <c r="Q56" s="1639"/>
      <c r="R56" s="610"/>
      <c r="S56" s="1617"/>
      <c r="T56" s="1620" t="s">
        <v>1494</v>
      </c>
      <c r="U56" s="1619"/>
      <c r="V56" s="1619"/>
      <c r="W56" s="1619"/>
      <c r="X56" s="1619"/>
      <c r="Y56" s="1619"/>
      <c r="Z56" s="1619"/>
      <c r="AA56" s="1619"/>
      <c r="AB56" s="1619"/>
      <c r="AC56" s="1619"/>
      <c r="AD56" s="1619"/>
      <c r="AE56" s="1619"/>
      <c r="AF56" s="1619"/>
      <c r="AG56" s="1619"/>
      <c r="AH56" s="1619"/>
      <c r="AI56" s="1619"/>
      <c r="AJ56" s="1619"/>
      <c r="AK56" s="1619"/>
      <c r="AL56" s="1619"/>
      <c r="AM56" s="1619"/>
      <c r="AO56" s="737"/>
      <c r="AP56" s="737" t="str">
        <f>IF(T56="","",T56)</f>
        <v>Добавить территорию для дифференциации</v>
      </c>
      <c r="AQ56" s="737"/>
      <c r="AR56" s="737"/>
    </row>
    <row s="10863" customFormat="1" customHeight="1" ht="0.75">
      <c r="A57" s="1609"/>
      <c r="B57" s="1609"/>
      <c r="C57" s="1609"/>
      <c r="D57" s="1609"/>
      <c r="E57" s="1638"/>
      <c r="F57" s="1609"/>
      <c r="G57" s="1609"/>
      <c r="H57" s="1609"/>
      <c r="I57" s="1609"/>
      <c r="J57" s="1609"/>
      <c r="K57" s="1609"/>
      <c r="L57" s="1634"/>
      <c r="M57" s="1616"/>
      <c r="N57" s="1616"/>
      <c r="P57" s="1611"/>
      <c r="Q57" s="1612"/>
      <c r="R57" s="1611"/>
      <c r="S57" s="1617"/>
      <c r="T57" s="1620" t="s">
        <v>1495</v>
      </c>
      <c r="U57" s="1619"/>
      <c r="V57" s="1619"/>
      <c r="W57" s="1619"/>
      <c r="X57" s="1619"/>
      <c r="Y57" s="1619"/>
      <c r="Z57" s="1619"/>
      <c r="AA57" s="1619"/>
      <c r="AB57" s="1619"/>
      <c r="AC57" s="1619"/>
      <c r="AD57" s="1619"/>
      <c r="AE57" s="1619"/>
      <c r="AF57" s="1619"/>
      <c r="AG57" s="1619"/>
      <c r="AH57" s="1619"/>
      <c r="AI57" s="1619"/>
      <c r="AJ57" s="1619"/>
      <c r="AK57" s="1619"/>
      <c r="AL57" s="1619"/>
      <c r="AM57" s="1619"/>
      <c r="AO57" s="1029"/>
      <c r="AP57" s="1029" t="str">
        <f>IF(T57="","",T57)</f>
        <v>Добавить наименование тарифа</v>
      </c>
      <c r="AQ57" s="1029"/>
      <c r="AR57" s="1029"/>
    </row>
    <row customHeight="1" ht="11.25" hidden="1">
      <c r="M58" s="1421"/>
      <c r="N58" s="1421"/>
      <c r="O58" s="774"/>
      <c r="P58" s="1416"/>
      <c r="Q58" s="1416"/>
      <c r="R58" s="1416"/>
      <c r="S58" s="1416"/>
      <c r="AN58" s="1416"/>
      <c r="AO58" s="1416"/>
      <c r="AP58" s="1416"/>
      <c r="AQ58" s="1416"/>
      <c r="AR58" s="1416"/>
    </row>
    <row customHeight="1" ht="18.75" hidden="1">
      <c r="O59" s="774"/>
      <c r="S59" s="1533" t="s">
        <v>1565</v>
      </c>
      <c r="T59" s="2452" t="s">
        <v>1574</v>
      </c>
      <c r="U59" s="2452"/>
      <c r="V59" s="2452"/>
      <c r="W59" s="2452"/>
      <c r="X59" s="2452"/>
      <c r="Y59" s="2452"/>
      <c r="Z59" s="2452"/>
      <c r="AA59" s="2452"/>
      <c r="AB59" s="2452"/>
      <c r="AC59" s="2452"/>
      <c r="AD59" s="2452"/>
      <c r="AE59" s="2452"/>
      <c r="AF59" s="2452"/>
      <c r="AG59" s="2452"/>
      <c r="AH59" s="2452"/>
      <c r="AI59" s="2452"/>
      <c r="AJ59" s="2452"/>
      <c r="AK59" s="2452"/>
      <c r="AL59" s="2452"/>
      <c r="AM59" s="2452"/>
    </row>
    <row customHeight="1" ht="27.75" hidden="1">
      <c r="O60" s="774"/>
      <c r="T60" s="2452" t="s">
        <v>1575</v>
      </c>
      <c r="U60" s="2452"/>
      <c r="V60" s="2452"/>
      <c r="W60" s="2452"/>
      <c r="X60" s="2452"/>
      <c r="Y60" s="2452"/>
      <c r="Z60" s="2452"/>
      <c r="AA60" s="2452"/>
      <c r="AB60" s="2452"/>
      <c r="AC60" s="2452"/>
      <c r="AD60" s="2452"/>
      <c r="AE60" s="2452"/>
      <c r="AF60" s="2452"/>
      <c r="AG60" s="2452"/>
      <c r="AH60" s="2452"/>
      <c r="AI60" s="2452"/>
      <c r="AJ60" s="2452"/>
      <c r="AK60" s="2452"/>
      <c r="AL60" s="2452"/>
      <c r="AM60" s="2452"/>
    </row>
    <row customHeight="1" ht="36.75" hidden="1">
      <c r="O61" s="774"/>
      <c r="T61" s="2452" t="s">
        <v>1576</v>
      </c>
      <c r="U61" s="2452"/>
      <c r="V61" s="2452"/>
      <c r="W61" s="2452"/>
      <c r="X61" s="2452"/>
      <c r="Y61" s="2452"/>
      <c r="Z61" s="2452"/>
      <c r="AA61" s="2452"/>
      <c r="AB61" s="2452"/>
      <c r="AC61" s="2452"/>
      <c r="AD61" s="2452"/>
      <c r="AE61" s="2452"/>
      <c r="AF61" s="2452"/>
      <c r="AG61" s="2452"/>
      <c r="AH61" s="2452"/>
      <c r="AI61" s="2452"/>
      <c r="AJ61" s="2452"/>
      <c r="AK61" s="2452"/>
      <c r="AL61" s="2452"/>
      <c r="AM61" s="2452"/>
    </row>
    <row customHeight="1" ht="14.25" hidden="1">
      <c r="O62" s="774"/>
    </row>
    <row customHeight="1" ht="19.5" hidden="1">
      <c r="O63" s="774"/>
      <c r="S63" s="1533" t="s">
        <v>1565</v>
      </c>
      <c r="T63" s="2466" t="s">
        <v>1568</v>
      </c>
      <c r="U63" s="2452"/>
      <c r="V63" s="2452"/>
      <c r="W63" s="2452"/>
      <c r="X63" s="2452"/>
      <c r="Y63" s="2452"/>
      <c r="Z63" s="2452"/>
      <c r="AA63" s="2452"/>
      <c r="AB63" s="2452"/>
      <c r="AC63" s="2452"/>
      <c r="AD63" s="2452"/>
      <c r="AE63" s="2452"/>
      <c r="AF63" s="2452"/>
      <c r="AG63" s="2452"/>
      <c r="AH63" s="2452"/>
      <c r="AI63" s="2452"/>
      <c r="AJ63" s="2452"/>
      <c r="AK63" s="2452"/>
      <c r="AL63" s="2452"/>
      <c r="AM63" s="2452"/>
    </row>
    <row customHeight="1" ht="27.75" hidden="1">
      <c r="O64" s="774"/>
      <c r="T64" s="2452" t="s">
        <v>1577</v>
      </c>
      <c r="U64" s="2452"/>
      <c r="V64" s="2452"/>
      <c r="W64" s="2452"/>
      <c r="X64" s="2452"/>
      <c r="Y64" s="2452"/>
      <c r="Z64" s="2452"/>
      <c r="AA64" s="2452"/>
      <c r="AB64" s="2452"/>
      <c r="AC64" s="2452"/>
      <c r="AD64" s="2452"/>
      <c r="AE64" s="2452"/>
      <c r="AF64" s="2452"/>
      <c r="AG64" s="2452"/>
      <c r="AH64" s="2452"/>
      <c r="AI64" s="2452"/>
      <c r="AJ64" s="2452"/>
      <c r="AK64" s="2452"/>
      <c r="AL64" s="2452"/>
      <c r="AM64" s="2452"/>
    </row>
    <row customHeight="1" ht="33.75" hidden="1">
      <c r="T65" s="2452" t="s">
        <v>1578</v>
      </c>
      <c r="U65" s="2452"/>
      <c r="V65" s="2452"/>
      <c r="W65" s="2452"/>
      <c r="X65" s="2452"/>
      <c r="Y65" s="2452"/>
      <c r="Z65" s="2452"/>
      <c r="AA65" s="2452"/>
      <c r="AB65" s="2452"/>
      <c r="AC65" s="2452"/>
      <c r="AD65" s="2452"/>
      <c r="AE65" s="2452"/>
      <c r="AF65" s="2452"/>
      <c r="AG65" s="2452"/>
      <c r="AH65" s="2452"/>
      <c r="AI65" s="2452"/>
      <c r="AJ65" s="2452"/>
      <c r="AK65" s="2452"/>
      <c r="AL65" s="2452"/>
      <c r="AM65" s="2452"/>
    </row>
  </sheetData>
  <sheetProtection formatColumns="0" formatRows="0" autoFilter="0" sort="0" insertRows="0" insertColumns="1" deleteRows="0" deleteColumns="0"/>
  <mergeCells count="113">
    <mergeCell ref="V37:AC37"/>
    <mergeCell ref="AD37:AK37"/>
    <mergeCell ref="AI49:AI50"/>
    <mergeCell ref="AJ49:AJ50"/>
    <mergeCell ref="AK49:AK50"/>
    <mergeCell ref="T65:AM65"/>
    <mergeCell ref="S34:T34"/>
    <mergeCell ref="V34:AB34"/>
    <mergeCell ref="AD34:AJ34"/>
    <mergeCell ref="S35:T35"/>
    <mergeCell ref="V35:AB35"/>
    <mergeCell ref="AD35:AJ35"/>
    <mergeCell ref="T63:AM63"/>
    <mergeCell ref="T64:AM64"/>
    <mergeCell ref="AM49:AM51"/>
    <mergeCell ref="T59:AM59"/>
    <mergeCell ref="T60:AM60"/>
    <mergeCell ref="T61:AM61"/>
    <mergeCell ref="V47:AC47"/>
    <mergeCell ref="AD47:AL47"/>
    <mergeCell ref="AA42:AB42"/>
    <mergeCell ref="AI42:AJ42"/>
    <mergeCell ref="AE40:AE41"/>
    <mergeCell ref="AF40:AG4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I41:AJ41"/>
    <mergeCell ref="AH40:AJ40"/>
    <mergeCell ref="AA41:AB41"/>
    <mergeCell ref="S31:T31"/>
    <mergeCell ref="V31:AB31"/>
    <mergeCell ref="AD31:AJ31"/>
    <mergeCell ref="S32:T32"/>
    <mergeCell ref="V32:AB32"/>
    <mergeCell ref="AD32:AJ32"/>
    <mergeCell ref="S27:AJ27"/>
    <mergeCell ref="S29:T29"/>
    <mergeCell ref="V29:AB29"/>
    <mergeCell ref="AD29:AJ29"/>
    <mergeCell ref="S30:T30"/>
    <mergeCell ref="V30:AB30"/>
    <mergeCell ref="AD30:AJ30"/>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S26:AJ26"/>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C381FA1-7013-110F-208D-99A09C8AACCA}" mc:Ignorable="x14ac xr xr2 xr3">
  <sheetPr>
    <tabColor theme="6" tint="0.4"/>
  </sheetPr>
  <dimension ref="A1:AV71"/>
  <sheetViews>
    <sheetView topLeftCell="R29" showGridLines="0" zoomScale="90" workbookViewId="0">
      <selection activeCell="A1" sqref="A1"/>
    </sheetView>
  </sheetViews>
  <sheetFormatPr defaultColWidth="10.57421875" customHeight="1" defaultRowHeight="14.25"/>
  <cols>
    <col min="1" max="1" style="11126" width="10.57421875" hidden="1"/>
    <col min="2" max="2" style="11126" width="11.00390625" hidden="1" customWidth="1"/>
    <col min="3" max="3" style="11126" width="10.57421875" hidden="1"/>
    <col min="4" max="4" style="11126" width="11.8515625" hidden="1" customWidth="1"/>
    <col min="5" max="5" style="11126" width="10.00390625" hidden="1" customWidth="1"/>
    <col min="6" max="6" style="11126" width="8.7109375" hidden="1" customWidth="1"/>
    <col min="7" max="7" style="11126" width="7.57421875" hidden="1" customWidth="1"/>
    <col min="8" max="8" style="11126" width="11.421875" hidden="1" customWidth="1"/>
    <col min="9" max="9" style="11126" width="12.00390625" hidden="1" customWidth="1"/>
    <col min="10" max="10" style="11126" width="9.8515625" hidden="1" customWidth="1"/>
    <col min="11" max="12" style="11126" width="11.421875" hidden="1" customWidth="1"/>
    <col min="13" max="13" style="11338" width="19.140625" hidden="1" customWidth="1"/>
    <col min="14" max="15" style="11241" width="12.28125" hidden="1" customWidth="1"/>
    <col min="16" max="16" style="11241" width="23.421875" hidden="1" customWidth="1"/>
    <col min="17" max="17" style="11241" width="3.7109375" hidden="1" customWidth="1"/>
    <col min="18" max="20" style="10046" width="3.7109375" customWidth="1"/>
    <col min="21" max="21" style="11124" width="12.7109375" customWidth="1"/>
    <col min="22" max="22" style="11126" width="32.00390625" customWidth="1"/>
    <col min="23" max="23" style="11126" width="0.140625" customWidth="1"/>
    <col min="24" max="28" style="11126" width="21.7109375" hidden="1" customWidth="1"/>
    <col min="29" max="29" style="11126" width="11.7109375" hidden="1" customWidth="1"/>
    <col min="30" max="30" style="11126" width="3.7109375" hidden="1" customWidth="1"/>
    <col min="31" max="31" style="11126" width="11.7109375" hidden="1" customWidth="1"/>
    <col min="32" max="32" style="11126" width="8.57421875" hidden="1" customWidth="1"/>
    <col min="33" max="37" style="11126" width="21.7109375" customWidth="1"/>
    <col min="38" max="38" style="11126" width="11.7109375" customWidth="1"/>
    <col min="39" max="39" style="11126" width="3.7109375" customWidth="1"/>
    <col min="40" max="40" style="11126" width="11.7109375" customWidth="1"/>
    <col min="41" max="41" style="11126" width="8.57421875" customWidth="1"/>
    <col min="42" max="42" style="11126" width="4.7109375" customWidth="1"/>
    <col min="43" max="43" style="11126" width="115.7109375" customWidth="1"/>
    <col min="44" max="45" style="10863" width="10.57421875"/>
    <col min="46" max="46" style="10863" width="11.140625" customWidth="1"/>
    <col min="47" max="48" style="10863" width="10.57421875"/>
  </cols>
  <sheetData>
    <row customHeight="1" ht="14.25" hidden="1">
      <c r="AB1" s="548"/>
      <c r="AC1" s="548"/>
      <c r="AK1" s="548"/>
      <c r="AL1" s="548"/>
    </row>
    <row customHeight="1" ht="21" hidden="1">
      <c r="A2" s="1556"/>
      <c r="B2" s="1556"/>
      <c r="C2" s="1556"/>
      <c r="D2" s="1556"/>
      <c r="E2" s="2467">
        <v>1</v>
      </c>
      <c r="F2" s="1556"/>
      <c r="G2" s="1556"/>
      <c r="H2" s="1556"/>
      <c r="I2" s="1556"/>
      <c r="J2" s="1556"/>
      <c r="K2" s="1556"/>
      <c r="L2" s="1556"/>
      <c r="M2" s="1605"/>
      <c r="N2" s="925"/>
      <c r="O2" s="925"/>
      <c r="P2" s="925"/>
      <c r="Q2" s="582"/>
      <c r="R2" s="581"/>
      <c r="S2" s="581"/>
      <c r="T2" s="576"/>
      <c r="U2" s="1631">
        <f>INDEX(PT_DIFFERENTIATION_NUM_NTAR,MATCH(A2,PT_DIFFERENTIATION_NTAR_ID,0))</f>
      </c>
      <c r="V2" s="508" t="s">
        <v>200</v>
      </c>
      <c r="W2" s="510"/>
      <c r="X2" s="4037"/>
      <c r="Y2" s="4038"/>
      <c r="Z2" s="4038"/>
      <c r="AA2" s="4038"/>
      <c r="AB2" s="4038"/>
      <c r="AC2" s="4038"/>
      <c r="AD2" s="4038"/>
      <c r="AE2" s="4038"/>
      <c r="AF2" s="4039"/>
      <c r="AG2" s="4037">
        <f>INDEX(PT_DIFFERENTIATION_NTAR,MATCH(A2,PT_DIFFERENTIATION_NTAR_ID,0))</f>
      </c>
      <c r="AH2" s="4038"/>
      <c r="AI2" s="4038"/>
      <c r="AJ2" s="4038"/>
      <c r="AK2" s="4038"/>
      <c r="AL2" s="4038"/>
      <c r="AM2" s="4038"/>
      <c r="AN2" s="4038"/>
      <c r="AO2" s="4038"/>
      <c r="AP2" s="4039"/>
      <c r="AQ2" s="1546" t="s">
        <v>1516</v>
      </c>
      <c r="AS2" s="737"/>
      <c r="AT2" s="737" t="str">
        <f>IF(V2="","",V2)</f>
        <v>Наименование тарифа</v>
      </c>
      <c r="AU2" s="737"/>
      <c r="AV2" s="737"/>
    </row>
    <row customHeight="1" ht="21" hidden="1">
      <c r="A3" s="1556"/>
      <c r="B3" s="1556"/>
      <c r="C3" s="1556"/>
      <c r="D3" s="1556"/>
      <c r="E3" s="2468"/>
      <c r="F3" s="2467">
        <v>1</v>
      </c>
      <c r="G3" s="1556"/>
      <c r="H3" s="1556"/>
      <c r="I3" s="1556"/>
      <c r="J3" s="1556"/>
      <c r="K3" s="1556"/>
      <c r="L3" s="1556"/>
      <c r="M3" s="1605"/>
      <c r="N3" s="925"/>
      <c r="O3" s="925"/>
      <c r="P3" s="925"/>
      <c r="Q3" s="1627"/>
      <c r="R3" s="573"/>
      <c r="S3" s="746"/>
      <c r="T3" s="574"/>
      <c r="U3" s="1631">
        <f>INDEX(PT_DIFFERENTIATION_NUM_TER,MATCH(B3,PT_DIFFERENTIATION_TER_ID,0))</f>
      </c>
      <c r="V3" s="520" t="s">
        <v>1517</v>
      </c>
      <c r="W3" s="510"/>
      <c r="X3" s="4037"/>
      <c r="Y3" s="4038"/>
      <c r="Z3" s="4038"/>
      <c r="AA3" s="4038"/>
      <c r="AB3" s="4038"/>
      <c r="AC3" s="4038"/>
      <c r="AD3" s="4038"/>
      <c r="AE3" s="4038"/>
      <c r="AF3" s="4039"/>
      <c r="AG3" s="4037">
        <f>INDEX(PT_DIFFERENTIATION_TER,MATCH(B3,PT_DIFFERENTIATION_TER_ID,0))</f>
      </c>
      <c r="AH3" s="4038"/>
      <c r="AI3" s="4038"/>
      <c r="AJ3" s="4038"/>
      <c r="AK3" s="4038"/>
      <c r="AL3" s="4038"/>
      <c r="AM3" s="4038"/>
      <c r="AN3" s="4038"/>
      <c r="AO3" s="4038"/>
      <c r="AP3" s="4039"/>
      <c r="AQ3" s="1546" t="s">
        <v>1518</v>
      </c>
      <c r="AS3" s="737"/>
      <c r="AT3" s="737" t="str">
        <f>IF(V3="","",V3)</f>
        <v>Территория действия тарифа</v>
      </c>
      <c r="AU3" s="737"/>
      <c r="AV3" s="737"/>
    </row>
    <row customHeight="1" ht="22.5" hidden="1">
      <c r="A4" s="1556"/>
      <c r="B4" s="1556"/>
      <c r="C4" s="1556"/>
      <c r="D4" s="1556"/>
      <c r="E4" s="2468"/>
      <c r="F4" s="2468"/>
      <c r="G4" s="2467">
        <v>1</v>
      </c>
      <c r="H4" s="1556"/>
      <c r="I4" s="1556"/>
      <c r="J4" s="1556"/>
      <c r="K4" s="1556"/>
      <c r="L4" s="1556"/>
      <c r="M4" s="1605"/>
      <c r="N4" s="925"/>
      <c r="O4" s="925"/>
      <c r="P4" s="925"/>
      <c r="Q4" s="575"/>
      <c r="R4" s="573"/>
      <c r="S4" s="746"/>
      <c r="T4" s="574"/>
      <c r="U4" s="1631">
        <f>INDEX(PT_DIFFERENTIATION_NUM_CS,MATCH(C4,PT_DIFFERENTIATION_CS_ID,0))</f>
      </c>
      <c r="V4" s="521" t="s">
        <v>1519</v>
      </c>
      <c r="W4" s="510"/>
      <c r="X4" s="4037"/>
      <c r="Y4" s="4038"/>
      <c r="Z4" s="4038"/>
      <c r="AA4" s="4038"/>
      <c r="AB4" s="4038"/>
      <c r="AC4" s="4038"/>
      <c r="AD4" s="4038"/>
      <c r="AE4" s="4038"/>
      <c r="AF4" s="4039"/>
      <c r="AG4" s="4037">
        <f>INDEX(PT_DIFFERENTIATION_CS,MATCH(C4,PT_DIFFERENTIATION_CS_ID,0))</f>
      </c>
      <c r="AH4" s="4038"/>
      <c r="AI4" s="4038"/>
      <c r="AJ4" s="4038"/>
      <c r="AK4" s="4038"/>
      <c r="AL4" s="4038"/>
      <c r="AM4" s="4038"/>
      <c r="AN4" s="4038"/>
      <c r="AO4" s="4038"/>
      <c r="AP4" s="4039"/>
      <c r="AQ4" s="1546" t="s">
        <v>1520</v>
      </c>
      <c r="AS4" s="737"/>
      <c r="AT4" s="737" t="str">
        <f>IF(V4="","",V4)</f>
        <v>Наименование системы теплоснабжения </v>
      </c>
      <c r="AU4" s="737"/>
      <c r="AV4" s="737"/>
    </row>
    <row customHeight="1" ht="21" hidden="1">
      <c r="A5" s="1556"/>
      <c r="B5" s="1556"/>
      <c r="C5" s="1556"/>
      <c r="D5" s="1556"/>
      <c r="E5" s="2468"/>
      <c r="F5" s="2468"/>
      <c r="G5" s="2468"/>
      <c r="H5" s="2467">
        <v>1</v>
      </c>
      <c r="I5" s="1556"/>
      <c r="J5" s="1556"/>
      <c r="K5" s="1556"/>
      <c r="L5" s="1556"/>
      <c r="M5" s="1605"/>
      <c r="N5" s="925"/>
      <c r="O5" s="925"/>
      <c r="P5" s="925"/>
      <c r="Q5" s="575"/>
      <c r="R5" s="573"/>
      <c r="S5" s="746"/>
      <c r="T5" s="574"/>
      <c r="U5" s="1631">
        <f>INDEX(PT_DIFFERENTIATION_NUM_IST_TE,MATCH(D5,PT_DIFFERENTIATION_IST_TE_ID,0))</f>
      </c>
      <c r="V5" s="522" t="s">
        <v>1521</v>
      </c>
      <c r="W5" s="510"/>
      <c r="X5" s="4037"/>
      <c r="Y5" s="4038"/>
      <c r="Z5" s="4038"/>
      <c r="AA5" s="4038"/>
      <c r="AB5" s="4038"/>
      <c r="AC5" s="4038"/>
      <c r="AD5" s="4038"/>
      <c r="AE5" s="4038"/>
      <c r="AF5" s="4039"/>
      <c r="AG5" s="4037">
        <f>INDEX(PT_DIFFERENTIATION_IST_TE,MATCH(D5,PT_DIFFERENTIATION_IST_TE_ID,0))</f>
      </c>
      <c r="AH5" s="4038"/>
      <c r="AI5" s="4038"/>
      <c r="AJ5" s="4038"/>
      <c r="AK5" s="4038"/>
      <c r="AL5" s="4038"/>
      <c r="AM5" s="4038"/>
      <c r="AN5" s="4038"/>
      <c r="AO5" s="4038"/>
      <c r="AP5" s="4039"/>
      <c r="AQ5" s="1546" t="s">
        <v>1522</v>
      </c>
      <c r="AS5" s="737"/>
      <c r="AT5" s="737" t="str">
        <f>IF(V5="","",V5)</f>
        <v>Источник тепловой энергии  </v>
      </c>
      <c r="AU5" s="737"/>
      <c r="AV5" s="737"/>
    </row>
    <row customHeight="1" ht="14.25" hidden="1">
      <c r="A6" s="1556"/>
      <c r="B6" s="1556"/>
      <c r="C6" s="1556"/>
      <c r="D6" s="1556"/>
      <c r="E6" s="2468"/>
      <c r="F6" s="2468"/>
      <c r="G6" s="2468"/>
      <c r="H6" s="2468"/>
      <c r="I6" s="2277">
        <f>U5&amp;".1"</f>
      </c>
      <c r="J6" s="1556"/>
      <c r="K6" s="1556"/>
      <c r="L6" s="1556"/>
      <c r="M6" s="1605" t="s">
        <v>1523</v>
      </c>
      <c r="N6" s="746"/>
      <c r="Q6" s="2423">
        <v>1</v>
      </c>
      <c r="R6" s="1626"/>
      <c r="S6" s="1626"/>
      <c r="T6" s="577"/>
      <c r="U6" s="1300"/>
      <c r="V6" s="1679"/>
      <c r="W6" s="1680"/>
      <c r="X6" s="2463"/>
      <c r="Y6" s="2464"/>
      <c r="Z6" s="2464"/>
      <c r="AA6" s="2464"/>
      <c r="AB6" s="2464"/>
      <c r="AC6" s="2464"/>
      <c r="AD6" s="2464"/>
      <c r="AE6" s="2464"/>
      <c r="AF6" s="2465"/>
      <c r="AG6" s="2463"/>
      <c r="AH6" s="2464"/>
      <c r="AI6" s="2464"/>
      <c r="AJ6" s="2464"/>
      <c r="AK6" s="2464"/>
      <c r="AL6" s="2464"/>
      <c r="AM6" s="2464"/>
      <c r="AN6" s="2464"/>
      <c r="AO6" s="2464"/>
      <c r="AP6" s="2465"/>
      <c r="AQ6" s="1681"/>
      <c r="AS6" s="737"/>
      <c r="AT6" s="737" t="str">
        <f>IF(V6="","",V6)</f>
        <v/>
      </c>
      <c r="AU6" s="737"/>
      <c r="AV6" s="737"/>
    </row>
    <row customHeight="1" ht="21" hidden="1">
      <c r="A7" s="1556"/>
      <c r="B7" s="1556"/>
      <c r="C7" s="1556"/>
      <c r="D7" s="1556"/>
      <c r="E7" s="2468"/>
      <c r="F7" s="2468"/>
      <c r="G7" s="2468"/>
      <c r="H7" s="2468"/>
      <c r="I7" s="2136"/>
      <c r="J7" s="2469">
        <f>I6&amp;".1"</f>
      </c>
      <c r="K7" s="1556"/>
      <c r="L7" s="1556"/>
      <c r="M7" s="1605" t="s">
        <v>1526</v>
      </c>
      <c r="N7" s="746"/>
      <c r="O7" s="548"/>
      <c r="Q7" s="2423"/>
      <c r="R7" s="2423">
        <v>1</v>
      </c>
      <c r="S7" s="755"/>
      <c r="T7" s="578"/>
      <c r="U7" s="1631">
        <f>$J7</f>
      </c>
      <c r="V7" s="496" t="s">
        <v>1527</v>
      </c>
      <c r="W7" s="510"/>
      <c r="X7" s="2411"/>
      <c r="Y7" s="2412"/>
      <c r="Z7" s="2412"/>
      <c r="AA7" s="2412"/>
      <c r="AB7" s="2412"/>
      <c r="AC7" s="2471"/>
      <c r="AD7" s="2471"/>
      <c r="AE7" s="2471"/>
      <c r="AF7" s="2472"/>
      <c r="AG7" s="2411"/>
      <c r="AH7" s="2412"/>
      <c r="AI7" s="2412"/>
      <c r="AJ7" s="2412"/>
      <c r="AK7" s="2412"/>
      <c r="AL7" s="2412"/>
      <c r="AM7" s="2412"/>
      <c r="AN7" s="2412"/>
      <c r="AO7" s="2412"/>
      <c r="AP7" s="2413"/>
      <c r="AQ7" s="1546" t="s">
        <v>1528</v>
      </c>
      <c r="AS7" s="737"/>
      <c r="AT7" s="737" t="str">
        <f>IF(V7="","",V7)</f>
        <v>Группа потребителей</v>
      </c>
      <c r="AU7" s="737"/>
      <c r="AV7" s="737"/>
    </row>
    <row customHeight="1" ht="21" hidden="1">
      <c r="A8" s="1556"/>
      <c r="B8" s="1556"/>
      <c r="C8" s="1556"/>
      <c r="D8" s="1556"/>
      <c r="E8" s="2468"/>
      <c r="F8" s="2468"/>
      <c r="G8" s="2468"/>
      <c r="H8" s="2468"/>
      <c r="I8" s="2136"/>
      <c r="J8" s="2470"/>
      <c r="K8" s="2469">
        <f>J7&amp;".1"</f>
      </c>
      <c r="L8" s="345"/>
      <c r="M8" s="1605" t="s">
        <v>1529</v>
      </c>
      <c r="N8" s="746"/>
      <c r="O8" s="548"/>
      <c r="P8" s="548"/>
      <c r="Q8" s="2423"/>
      <c r="R8" s="2423"/>
      <c r="S8" s="2423">
        <v>1</v>
      </c>
      <c r="T8" s="578"/>
      <c r="U8" s="1631">
        <f>$K8</f>
      </c>
      <c r="V8" s="1642"/>
      <c r="W8" s="510"/>
      <c r="X8" s="4065"/>
      <c r="Y8" s="4065"/>
      <c r="Z8" s="4065"/>
      <c r="AA8" s="4065"/>
      <c r="AB8" s="4217"/>
      <c r="AC8" s="2430"/>
      <c r="AD8" s="2142" t="s">
        <v>67</v>
      </c>
      <c r="AE8" s="2430"/>
      <c r="AF8" s="2142" t="s">
        <v>67</v>
      </c>
      <c r="AG8" s="4218"/>
      <c r="AH8" s="4065"/>
      <c r="AI8" s="4065"/>
      <c r="AJ8" s="4065"/>
      <c r="AK8" s="4067"/>
      <c r="AL8" s="2430"/>
      <c r="AM8" s="2142" t="s">
        <v>67</v>
      </c>
      <c r="AN8" s="2430"/>
      <c r="AO8" s="2142" t="s">
        <v>67</v>
      </c>
      <c r="AP8" s="4066"/>
      <c r="AQ8" s="1602" t="s">
        <v>1579</v>
      </c>
      <c r="AR8" s="748">
        <f>STRCHECKDATE(X10:AP10)</f>
      </c>
      <c r="AS8" s="737"/>
      <c r="AT8" s="737" t="str">
        <f>IF(V8="","",V8)</f>
        <v/>
      </c>
      <c r="AU8" s="737"/>
      <c r="AV8" s="737"/>
    </row>
    <row customHeight="1" ht="21" hidden="1">
      <c r="A9" s="1556"/>
      <c r="B9" s="1556"/>
      <c r="C9" s="1556"/>
      <c r="D9" s="1556"/>
      <c r="E9" s="2468"/>
      <c r="F9" s="2468"/>
      <c r="G9" s="2468"/>
      <c r="H9" s="2468"/>
      <c r="I9" s="2136"/>
      <c r="J9" s="2470"/>
      <c r="K9" s="2470"/>
      <c r="L9" s="2469">
        <f>K8&amp;".1"</f>
      </c>
      <c r="M9" s="1605"/>
      <c r="N9" s="746"/>
      <c r="O9" s="548"/>
      <c r="P9" s="548"/>
      <c r="Q9" s="2423"/>
      <c r="R9" s="2423"/>
      <c r="S9" s="2423"/>
      <c r="T9" s="578"/>
      <c r="U9" s="1631">
        <f>$L9</f>
      </c>
      <c r="V9" s="1687"/>
      <c r="W9" s="510"/>
      <c r="X9" s="4066"/>
      <c r="Y9" s="4065"/>
      <c r="Z9" s="4065"/>
      <c r="AA9" s="4065"/>
      <c r="AB9" s="4217"/>
      <c r="AC9" s="2473"/>
      <c r="AD9" s="2142"/>
      <c r="AE9" s="2473"/>
      <c r="AF9" s="2142"/>
      <c r="AG9" s="4218"/>
      <c r="AH9" s="4065"/>
      <c r="AI9" s="4065"/>
      <c r="AJ9" s="4065"/>
      <c r="AK9" s="4067"/>
      <c r="AL9" s="2473"/>
      <c r="AM9" s="2142"/>
      <c r="AN9" s="2473"/>
      <c r="AO9" s="2142"/>
      <c r="AP9" s="4066"/>
      <c r="AQ9" s="2419" t="s">
        <v>1580</v>
      </c>
      <c r="AS9" s="737"/>
      <c r="AT9" s="737"/>
      <c r="AU9" s="737"/>
      <c r="AV9" s="737"/>
    </row>
    <row customHeight="1" ht="0.75" hidden="1">
      <c r="A10" s="1556"/>
      <c r="B10" s="1556"/>
      <c r="C10" s="1556"/>
      <c r="D10" s="1556"/>
      <c r="E10" s="2468"/>
      <c r="F10" s="2468"/>
      <c r="G10" s="2468"/>
      <c r="H10" s="2468"/>
      <c r="I10" s="2136"/>
      <c r="J10" s="2470"/>
      <c r="K10" s="2470"/>
      <c r="L10" s="2469"/>
      <c r="M10" s="1605"/>
      <c r="N10" s="746"/>
      <c r="O10" s="548"/>
      <c r="P10" s="548"/>
      <c r="Q10" s="2423"/>
      <c r="R10" s="2423"/>
      <c r="S10" s="2423"/>
      <c r="T10" s="578"/>
      <c r="U10" s="1637"/>
      <c r="V10" s="510"/>
      <c r="W10" s="510"/>
      <c r="X10" s="4066"/>
      <c r="Y10" s="4066"/>
      <c r="Z10" s="4066"/>
      <c r="AA10" s="4066"/>
      <c r="AB10" s="4222" t="str">
        <f>AC8&amp;"-"&amp;AE8</f>
        <v>-</v>
      </c>
      <c r="AC10" s="2473"/>
      <c r="AD10" s="2142"/>
      <c r="AE10" s="2473"/>
      <c r="AF10" s="2142"/>
      <c r="AG10" s="4223"/>
      <c r="AH10" s="4066"/>
      <c r="AI10" s="4066"/>
      <c r="AJ10" s="4066"/>
      <c r="AK10" s="4071" t="str">
        <f>AL8&amp;"-"&amp;AN8</f>
        <v>-</v>
      </c>
      <c r="AL10" s="2473"/>
      <c r="AM10" s="2142"/>
      <c r="AN10" s="2473"/>
      <c r="AO10" s="2142"/>
      <c r="AP10" s="4066"/>
      <c r="AQ10" s="2420"/>
      <c r="AS10" s="737"/>
      <c r="AT10" s="737" t="str">
        <f>IF(V10="","",V10)</f>
        <v/>
      </c>
      <c r="AU10" s="737"/>
      <c r="AV10" s="737"/>
    </row>
    <row customHeight="1" ht="11.25" hidden="1">
      <c r="A11" s="1556"/>
      <c r="B11" s="1556"/>
      <c r="C11" s="1556"/>
      <c r="D11" s="1556"/>
      <c r="E11" s="2468"/>
      <c r="F11" s="2468"/>
      <c r="G11" s="2468"/>
      <c r="H11" s="2468"/>
      <c r="I11" s="2136"/>
      <c r="J11" s="2470"/>
      <c r="K11" s="2469"/>
      <c r="L11" s="1556"/>
      <c r="M11" s="1605"/>
      <c r="N11" s="746"/>
      <c r="O11" s="548"/>
      <c r="P11" s="548"/>
      <c r="Q11" s="2423"/>
      <c r="R11" s="2423"/>
      <c r="S11" s="2423"/>
      <c r="T11" s="578"/>
      <c r="U11" s="1568"/>
      <c r="V11" s="498" t="s">
        <v>1581</v>
      </c>
      <c r="W11" s="1688"/>
      <c r="X11" s="4225"/>
      <c r="Y11" s="4225"/>
      <c r="Z11" s="4225"/>
      <c r="AA11" s="4225"/>
      <c r="AB11" s="4226"/>
      <c r="AC11" s="2473"/>
      <c r="AD11" s="2142"/>
      <c r="AE11" s="2473"/>
      <c r="AF11" s="2142"/>
      <c r="AG11" s="4225"/>
      <c r="AH11" s="4225"/>
      <c r="AI11" s="4225"/>
      <c r="AJ11" s="4225"/>
      <c r="AK11" s="4226"/>
      <c r="AL11" s="2473"/>
      <c r="AM11" s="2142"/>
      <c r="AN11" s="2473"/>
      <c r="AO11" s="2142"/>
      <c r="AP11" s="4227"/>
      <c r="AQ11" s="2420"/>
      <c r="AS11" s="737"/>
      <c r="AT11" s="737"/>
      <c r="AU11" s="737"/>
      <c r="AV11" s="737"/>
    </row>
    <row customHeight="1" ht="15" hidden="1">
      <c r="A12" s="1556"/>
      <c r="B12" s="1556"/>
      <c r="C12" s="1556"/>
      <c r="D12" s="1556"/>
      <c r="E12" s="2468"/>
      <c r="F12" s="2468"/>
      <c r="G12" s="2468"/>
      <c r="H12" s="2468"/>
      <c r="I12" s="2136"/>
      <c r="J12" s="2469"/>
      <c r="K12" s="1556"/>
      <c r="L12" s="1556"/>
      <c r="M12" s="1605"/>
      <c r="N12" s="746"/>
      <c r="O12" s="548"/>
      <c r="Q12" s="2423"/>
      <c r="R12" s="2423"/>
      <c r="S12" s="1626"/>
      <c r="T12" s="577"/>
      <c r="U12" s="1568"/>
      <c r="V12" s="497" t="s">
        <v>1531</v>
      </c>
      <c r="W12" s="592"/>
      <c r="X12" s="592"/>
      <c r="Y12" s="592"/>
      <c r="Z12" s="592"/>
      <c r="AA12" s="592"/>
      <c r="AB12" s="592"/>
      <c r="AC12" s="1705"/>
      <c r="AD12" s="1705"/>
      <c r="AE12" s="1705"/>
      <c r="AF12" s="1705"/>
      <c r="AG12" s="592"/>
      <c r="AH12" s="592"/>
      <c r="AI12" s="592"/>
      <c r="AJ12" s="592"/>
      <c r="AK12" s="592"/>
      <c r="AL12" s="592"/>
      <c r="AM12" s="592"/>
      <c r="AN12" s="592"/>
      <c r="AO12" s="592"/>
      <c r="AP12" s="544"/>
      <c r="AQ12" s="2421"/>
      <c r="AS12" s="737"/>
      <c r="AT12" s="737" t="str">
        <f>IF(V12="","",V12)</f>
        <v>Добавить вид теплоносителя (параметры теплоносителя)</v>
      </c>
      <c r="AU12" s="737"/>
      <c r="AV12" s="737"/>
    </row>
    <row customHeight="1" ht="15" hidden="1">
      <c r="A13" s="1556"/>
      <c r="B13" s="1556"/>
      <c r="C13" s="1556"/>
      <c r="D13" s="1556"/>
      <c r="E13" s="2468"/>
      <c r="F13" s="2468"/>
      <c r="G13" s="2468"/>
      <c r="H13" s="2468"/>
      <c r="I13" s="2277"/>
      <c r="J13" s="1556"/>
      <c r="K13" s="1556"/>
      <c r="L13" s="1556"/>
      <c r="M13" s="1605"/>
      <c r="N13" s="746"/>
      <c r="Q13" s="2423"/>
      <c r="R13" s="1626"/>
      <c r="S13" s="1626"/>
      <c r="T13" s="577"/>
      <c r="U13" s="1568"/>
      <c r="V13" s="589" t="s">
        <v>1532</v>
      </c>
      <c r="W13" s="592"/>
      <c r="X13" s="592"/>
      <c r="Y13" s="592"/>
      <c r="Z13" s="592"/>
      <c r="AA13" s="592"/>
      <c r="AB13" s="592"/>
      <c r="AC13" s="592"/>
      <c r="AD13" s="592"/>
      <c r="AE13" s="592"/>
      <c r="AF13" s="591"/>
      <c r="AG13" s="592"/>
      <c r="AH13" s="592"/>
      <c r="AI13" s="592"/>
      <c r="AJ13" s="592"/>
      <c r="AK13" s="592"/>
      <c r="AL13" s="592"/>
      <c r="AM13" s="592"/>
      <c r="AN13" s="592"/>
      <c r="AO13" s="591"/>
      <c r="AP13" s="592"/>
      <c r="AQ13" s="513"/>
      <c r="AS13" s="737"/>
      <c r="AT13" s="737" t="str">
        <f>IF(V13="","",V13)</f>
        <v>Добавить группу потребителей</v>
      </c>
      <c r="AU13" s="737"/>
      <c r="AV13" s="737"/>
    </row>
    <row customHeight="1" ht="14.25" hidden="1">
      <c r="A14" s="1556"/>
      <c r="B14" s="1556"/>
      <c r="C14" s="1556"/>
      <c r="D14" s="1556"/>
      <c r="E14" s="2468"/>
      <c r="F14" s="2468"/>
      <c r="G14" s="2468"/>
      <c r="H14" s="2467"/>
      <c r="I14" s="1556"/>
      <c r="J14" s="1556"/>
      <c r="K14" s="1556"/>
      <c r="L14" s="1556"/>
      <c r="M14" s="1605"/>
      <c r="N14" s="925"/>
      <c r="O14" s="925"/>
      <c r="P14" s="746"/>
      <c r="Q14" s="581"/>
      <c r="R14" s="601"/>
      <c r="S14" s="576"/>
      <c r="T14" s="581"/>
      <c r="U14" s="1682"/>
      <c r="V14" s="1683"/>
      <c r="W14" s="1684"/>
      <c r="X14" s="1684"/>
      <c r="Y14" s="1684"/>
      <c r="Z14" s="1684"/>
      <c r="AA14" s="1684"/>
      <c r="AB14" s="1684"/>
      <c r="AC14" s="1684"/>
      <c r="AD14" s="1684"/>
      <c r="AE14" s="1684"/>
      <c r="AF14" s="1684"/>
      <c r="AG14" s="1684"/>
      <c r="AH14" s="1684"/>
      <c r="AI14" s="1684"/>
      <c r="AJ14" s="1684"/>
      <c r="AK14" s="1684"/>
      <c r="AL14" s="1684"/>
      <c r="AM14" s="1684"/>
      <c r="AN14" s="1684"/>
      <c r="AO14" s="1684"/>
      <c r="AP14" s="1684"/>
      <c r="AQ14" s="1685"/>
      <c r="AS14" s="737"/>
      <c r="AT14" s="737" t="str">
        <f>IF(V14="","",V14)</f>
        <v/>
      </c>
      <c r="AU14" s="737"/>
      <c r="AV14" s="737"/>
    </row>
    <row s="10863" customFormat="1" customHeight="1" ht="0.75" hidden="1">
      <c r="A15" s="1670"/>
      <c r="B15" s="1670"/>
      <c r="C15" s="1670"/>
      <c r="D15" s="1670"/>
      <c r="E15" s="2468"/>
      <c r="F15" s="2468"/>
      <c r="G15" s="2467"/>
      <c r="H15" s="1670"/>
      <c r="I15" s="1670"/>
      <c r="J15" s="1670"/>
      <c r="K15" s="1670"/>
      <c r="L15" s="1670"/>
      <c r="M15" s="1673"/>
      <c r="N15" s="1674"/>
      <c r="O15" s="1674"/>
      <c r="P15" s="572"/>
      <c r="Q15" s="1611"/>
      <c r="R15" s="1612"/>
      <c r="S15" s="1611"/>
      <c r="T15" s="1611"/>
      <c r="U15" s="1613"/>
      <c r="V15" s="1614" t="s">
        <v>1492</v>
      </c>
      <c r="W15" s="1615"/>
      <c r="X15" s="1615"/>
      <c r="Y15" s="1615"/>
      <c r="Z15" s="1615"/>
      <c r="AA15" s="1615"/>
      <c r="AB15" s="1615"/>
      <c r="AC15" s="1615"/>
      <c r="AD15" s="1615"/>
      <c r="AE15" s="1615"/>
      <c r="AF15" s="1615"/>
      <c r="AG15" s="1615"/>
      <c r="AH15" s="1615"/>
      <c r="AI15" s="1615"/>
      <c r="AJ15" s="1615"/>
      <c r="AK15" s="1615"/>
      <c r="AL15" s="1615"/>
      <c r="AM15" s="1615"/>
      <c r="AN15" s="1615"/>
      <c r="AO15" s="1615"/>
      <c r="AP15" s="1615"/>
      <c r="AQ15" s="1615"/>
      <c r="AS15" s="1029"/>
      <c r="AT15" s="1029" t="str">
        <f>IF(V15="","",V15)</f>
        <v>Добавить источник для дифференциации</v>
      </c>
      <c r="AU15" s="1029"/>
      <c r="AV15" s="1029"/>
    </row>
    <row s="10863" customFormat="1" customHeight="1" ht="0.75" hidden="1">
      <c r="A16" s="1670"/>
      <c r="B16" s="1670"/>
      <c r="C16" s="1670"/>
      <c r="D16" s="1670"/>
      <c r="E16" s="2468"/>
      <c r="F16" s="2467"/>
      <c r="G16" s="1670"/>
      <c r="H16" s="1670"/>
      <c r="I16" s="1670"/>
      <c r="J16" s="1670"/>
      <c r="K16" s="1670"/>
      <c r="L16" s="1670"/>
      <c r="M16" s="1673"/>
      <c r="N16" s="1675"/>
      <c r="O16" s="1675"/>
      <c r="P16" s="572"/>
      <c r="Q16" s="1611"/>
      <c r="R16" s="1612"/>
      <c r="S16" s="1611"/>
      <c r="T16" s="1611"/>
      <c r="U16" s="1617"/>
      <c r="V16" s="1618" t="s">
        <v>1493</v>
      </c>
      <c r="W16" s="1619"/>
      <c r="X16" s="1619"/>
      <c r="Y16" s="1619"/>
      <c r="Z16" s="1619"/>
      <c r="AA16" s="1619"/>
      <c r="AB16" s="1619"/>
      <c r="AC16" s="1619"/>
      <c r="AD16" s="1619"/>
      <c r="AE16" s="1619"/>
      <c r="AF16" s="1619"/>
      <c r="AG16" s="1619"/>
      <c r="AH16" s="1619"/>
      <c r="AI16" s="1619"/>
      <c r="AJ16" s="1619"/>
      <c r="AK16" s="1619"/>
      <c r="AL16" s="1619"/>
      <c r="AM16" s="1619"/>
      <c r="AN16" s="1619"/>
      <c r="AO16" s="1619"/>
      <c r="AP16" s="1619"/>
      <c r="AQ16" s="1619"/>
      <c r="AS16" s="1029"/>
      <c r="AT16" s="1029" t="str">
        <f>IF(V16="","",V16)</f>
        <v>Добавить централизованную систему для дифференциации</v>
      </c>
      <c r="AU16" s="1029"/>
      <c r="AV16" s="1029"/>
    </row>
    <row s="10863" customFormat="1" customHeight="1" ht="0.75" hidden="1">
      <c r="A17" s="1670"/>
      <c r="B17" s="1670"/>
      <c r="C17" s="1670"/>
      <c r="D17" s="1670"/>
      <c r="E17" s="2467"/>
      <c r="F17" s="1670"/>
      <c r="G17" s="1670"/>
      <c r="H17" s="1670"/>
      <c r="I17" s="1670"/>
      <c r="J17" s="1670"/>
      <c r="K17" s="1670"/>
      <c r="L17" s="1670"/>
      <c r="M17" s="1673"/>
      <c r="N17" s="1675"/>
      <c r="O17" s="1675"/>
      <c r="P17" s="572"/>
      <c r="Q17" s="1611"/>
      <c r="R17" s="1612"/>
      <c r="S17" s="1611"/>
      <c r="T17" s="1611"/>
      <c r="U17" s="1617"/>
      <c r="V17" s="1620" t="s">
        <v>1494</v>
      </c>
      <c r="W17" s="1619"/>
      <c r="X17" s="1619"/>
      <c r="Y17" s="1619"/>
      <c r="Z17" s="1619"/>
      <c r="AA17" s="1619"/>
      <c r="AB17" s="1619"/>
      <c r="AC17" s="1619"/>
      <c r="AD17" s="1619"/>
      <c r="AE17" s="1619"/>
      <c r="AF17" s="1619"/>
      <c r="AG17" s="1619"/>
      <c r="AH17" s="1619"/>
      <c r="AI17" s="1619"/>
      <c r="AJ17" s="1619"/>
      <c r="AK17" s="1619"/>
      <c r="AL17" s="1619"/>
      <c r="AM17" s="1619"/>
      <c r="AN17" s="1619"/>
      <c r="AO17" s="1619"/>
      <c r="AP17" s="1619"/>
      <c r="AQ17" s="1619"/>
      <c r="AS17" s="1029"/>
      <c r="AT17" s="1029" t="str">
        <f>IF(V17="","",V17)</f>
        <v>Добавить территорию для дифференциации</v>
      </c>
      <c r="AU17" s="1029"/>
      <c r="AV17" s="1029"/>
    </row>
    <row customHeight="1" ht="14.25" hidden="1">
      <c r="AF18" s="548"/>
      <c r="AO18" s="548"/>
    </row>
    <row customHeight="1" ht="14.25" hidden="1">
      <c r="AG19" s="4098"/>
      <c r="AH19" s="4098"/>
      <c r="AI19" s="4098"/>
      <c r="AJ19" s="4098"/>
      <c r="AK19" s="4099"/>
      <c r="AL19" s="2432"/>
      <c r="AM19" s="2433" t="s">
        <v>67</v>
      </c>
      <c r="AN19" s="2432"/>
      <c r="AO19" s="2433" t="s">
        <v>67</v>
      </c>
    </row>
    <row customHeight="1" ht="14.25" hidden="1">
      <c r="AG20" s="4098"/>
      <c r="AH20" s="4098"/>
      <c r="AI20" s="4098"/>
      <c r="AJ20" s="4098"/>
      <c r="AK20" s="4099"/>
      <c r="AL20" s="2432"/>
      <c r="AM20" s="2433"/>
      <c r="AN20" s="2432"/>
      <c r="AO20" s="2433"/>
    </row>
    <row customHeight="1" ht="14.25" hidden="1">
      <c r="AG21" s="4098"/>
      <c r="AH21" s="4098"/>
      <c r="AI21" s="4098"/>
      <c r="AJ21" s="4098"/>
      <c r="AK21" s="4099"/>
      <c r="AL21" s="2432"/>
      <c r="AM21" s="2433"/>
      <c r="AN21" s="2432"/>
      <c r="AO21" s="2433"/>
    </row>
    <row customHeight="1" ht="14.25" hidden="1">
      <c r="AG22" s="4098"/>
      <c r="AH22" s="4098"/>
      <c r="AI22" s="4098"/>
      <c r="AJ22" s="4098"/>
      <c r="AK22" s="4071" t="str">
        <f>AL19&amp;"-"&amp;AN19</f>
        <v>-</v>
      </c>
      <c r="AL22" s="2433"/>
      <c r="AM22" s="2433"/>
      <c r="AN22" s="2433"/>
      <c r="AO22" s="2433"/>
    </row>
    <row customHeight="1" ht="14.25" hidden="1">
      <c r="AO23" s="548"/>
    </row>
    <row s="11074" customFormat="1" customHeight="1" ht="22.5" hidden="1">
      <c r="A24" s="1416"/>
      <c r="B24" s="1416"/>
      <c r="C24" s="1416"/>
      <c r="D24" s="1416"/>
      <c r="E24" s="1416"/>
      <c r="F24" s="1416"/>
      <c r="G24" s="1416"/>
      <c r="H24" s="1416"/>
      <c r="I24" s="1416"/>
      <c r="J24" s="1416"/>
      <c r="K24" s="1416"/>
      <c r="L24" s="1416"/>
      <c r="M24" s="1622"/>
      <c r="N24" s="1623"/>
      <c r="O24" s="1623"/>
      <c r="P24" s="1640" t="s">
        <v>1534</v>
      </c>
      <c r="Q24" s="1658"/>
      <c r="R24" s="1667"/>
      <c r="S24" s="1667"/>
      <c r="T24" s="1667"/>
      <c r="U24" s="967"/>
      <c r="AC24" s="1663"/>
      <c r="AE24" s="1663"/>
      <c r="AF24" s="1662"/>
      <c r="AL24" s="1663"/>
      <c r="AN24" s="1663"/>
      <c r="AO24" s="1662"/>
      <c r="AR24" s="748"/>
      <c r="AS24" s="748"/>
      <c r="AT24" s="748"/>
      <c r="AU24" s="748"/>
      <c r="AV24" s="748"/>
    </row>
    <row s="11074" customFormat="1" customHeight="1" ht="14.25" hidden="1">
      <c r="A25" s="1416"/>
      <c r="B25" s="1416"/>
      <c r="C25" s="1416"/>
      <c r="D25" s="1416"/>
      <c r="E25" s="1416"/>
      <c r="F25" s="1416"/>
      <c r="G25" s="1416"/>
      <c r="H25" s="1416"/>
      <c r="I25" s="1416"/>
      <c r="J25" s="1416"/>
      <c r="K25" s="1416"/>
      <c r="L25" s="1416"/>
      <c r="M25" s="1622"/>
      <c r="N25" s="1623"/>
      <c r="O25" s="1623"/>
      <c r="P25" s="1623"/>
      <c r="Q25" s="1658"/>
      <c r="R25" s="1667"/>
      <c r="S25" s="1667"/>
      <c r="T25" s="1667"/>
      <c r="U25" s="967"/>
      <c r="AF25" s="1662"/>
      <c r="AO25" s="1662"/>
      <c r="AR25" s="748"/>
      <c r="AS25" s="748"/>
      <c r="AT25" s="748"/>
      <c r="AU25" s="748"/>
      <c r="AV25" s="748"/>
    </row>
    <row s="11074" customFormat="1" customHeight="1" ht="14.25" hidden="1">
      <c r="A26" s="1416"/>
      <c r="B26" s="1416"/>
      <c r="C26" s="1416"/>
      <c r="D26" s="1416"/>
      <c r="E26" s="1416"/>
      <c r="F26" s="1416"/>
      <c r="G26" s="1416"/>
      <c r="H26" s="1416"/>
      <c r="I26" s="1416"/>
      <c r="J26" s="1416"/>
      <c r="K26" s="1416"/>
      <c r="L26" s="1416"/>
      <c r="M26" s="1622"/>
      <c r="N26" s="1623"/>
      <c r="O26" s="1623"/>
      <c r="P26" s="1605" t="s">
        <v>1535</v>
      </c>
      <c r="Q26" s="1658"/>
      <c r="R26" s="1667"/>
      <c r="S26" s="1667"/>
      <c r="T26" s="1667"/>
      <c r="U26" s="967"/>
      <c r="V26" s="1421" t="s">
        <v>1536</v>
      </c>
      <c r="AD26" s="393" t="s">
        <v>1537</v>
      </c>
      <c r="AF26" s="393" t="s">
        <v>1538</v>
      </c>
      <c r="AG26" s="1421" t="s">
        <v>1536</v>
      </c>
      <c r="AM26" s="393" t="s">
        <v>1539</v>
      </c>
      <c r="AO26" s="393" t="s">
        <v>1538</v>
      </c>
      <c r="AR26" s="748"/>
      <c r="AS26" s="748"/>
      <c r="AT26" s="748"/>
      <c r="AU26" s="748"/>
      <c r="AV26" s="748"/>
    </row>
    <row customHeight="1" ht="14.25" hidden="1">
      <c r="P27" s="1605"/>
    </row>
    <row customHeight="1" ht="14.25" hidden="1">
      <c r="P28" s="1605"/>
    </row>
    <row customHeight="1" ht="14.25">
      <c r="R29" s="602"/>
      <c r="S29" s="602"/>
      <c r="T29" s="602"/>
      <c r="U29" s="1565"/>
      <c r="V29" s="586"/>
      <c r="W29" s="586"/>
      <c r="X29" s="746"/>
      <c r="Y29" s="746"/>
      <c r="Z29" s="746"/>
      <c r="AA29" s="746"/>
      <c r="AB29" s="746"/>
      <c r="AC29" s="746"/>
      <c r="AD29" s="746"/>
      <c r="AE29" s="746"/>
      <c r="AF29" s="746"/>
      <c r="AG29" s="746"/>
      <c r="AH29" s="746"/>
      <c r="AI29" s="746"/>
      <c r="AJ29" s="746"/>
      <c r="AK29" s="746"/>
      <c r="AL29" s="746"/>
      <c r="AM29" s="746"/>
      <c r="AN29" s="746"/>
      <c r="AO29" s="746"/>
    </row>
    <row customHeight="1" ht="64.5">
      <c r="R30" s="602"/>
      <c r="S30" s="602"/>
      <c r="T30" s="602"/>
      <c r="U30" s="2414" t="str">
        <f>IF(TEMPLATE_GROUP="P",PT_P_FORM_HEAT_6_NAME_FORM,PT_R_FORM_HEAT_23_NAME_FORM)</f>
        <v>Форма 23. Информация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v>
      </c>
      <c r="V30" s="2414"/>
      <c r="W30" s="2414"/>
      <c r="X30" s="2414"/>
      <c r="Y30" s="2414"/>
      <c r="Z30" s="2414"/>
      <c r="AA30" s="2414"/>
      <c r="AB30" s="2414"/>
      <c r="AC30" s="2414"/>
      <c r="AD30" s="2414"/>
      <c r="AE30" s="2414"/>
      <c r="AF30" s="2414"/>
      <c r="AG30" s="2414"/>
      <c r="AH30" s="2414"/>
      <c r="AI30" s="2414"/>
      <c r="AJ30" s="2414"/>
      <c r="AK30" s="2414"/>
      <c r="AL30" s="2414"/>
      <c r="AM30" s="2414"/>
      <c r="AN30" s="2414"/>
      <c r="AO30" s="1521"/>
    </row>
    <row customHeight="1" ht="14.25">
      <c r="R31" s="602"/>
      <c r="S31" s="602"/>
      <c r="T31" s="602"/>
      <c r="U31" s="2415" t="str">
        <f>IF(org=0,"Не определено",org)</f>
        <v>ООО "СамРЭК-Тепло Жигулевск"</v>
      </c>
      <c r="V31" s="2415"/>
      <c r="W31" s="2415"/>
      <c r="X31" s="2415"/>
      <c r="Y31" s="2415"/>
      <c r="Z31" s="2415"/>
      <c r="AA31" s="2415"/>
      <c r="AB31" s="2415"/>
      <c r="AC31" s="2415"/>
      <c r="AD31" s="2415"/>
      <c r="AE31" s="2415"/>
      <c r="AF31" s="2415"/>
      <c r="AG31" s="2415"/>
      <c r="AH31" s="2415"/>
      <c r="AI31" s="2415"/>
      <c r="AJ31" s="2415"/>
      <c r="AK31" s="2415"/>
      <c r="AL31" s="2415"/>
      <c r="AM31" s="2415"/>
      <c r="AN31" s="2415"/>
      <c r="AO31" s="1521"/>
    </row>
    <row customHeight="1" ht="14.25" hidden="1">
      <c r="R32" s="602"/>
      <c r="S32" s="602"/>
      <c r="T32" s="602"/>
      <c r="U32" s="1565"/>
      <c r="V32" s="586"/>
      <c r="W32" s="586"/>
      <c r="X32" s="541"/>
      <c r="Y32" s="541"/>
      <c r="Z32" s="541"/>
      <c r="AA32" s="541"/>
      <c r="AB32" s="541"/>
      <c r="AC32" s="541"/>
      <c r="AD32" s="541"/>
      <c r="AE32" s="541"/>
      <c r="AF32" s="541"/>
      <c r="AG32" s="541"/>
      <c r="AH32" s="541"/>
      <c r="AI32" s="541"/>
      <c r="AJ32" s="541"/>
      <c r="AK32" s="541"/>
      <c r="AL32" s="541"/>
      <c r="AM32" s="541"/>
      <c r="AN32" s="541"/>
      <c r="AO32" s="541"/>
      <c r="AP32" s="746"/>
    </row>
    <row s="10859" customFormat="1" customHeight="1" ht="25.5" hidden="1">
      <c r="A33" s="1527"/>
      <c r="B33" s="1527"/>
      <c r="C33" s="1527"/>
      <c r="D33" s="1527"/>
      <c r="E33" s="1527"/>
      <c r="F33" s="1527"/>
      <c r="G33" s="1527"/>
      <c r="H33" s="1527"/>
      <c r="I33" s="1527"/>
      <c r="J33" s="1527"/>
      <c r="K33" s="1527"/>
      <c r="L33" s="1527"/>
      <c r="M33" s="1676"/>
      <c r="N33" s="1527"/>
      <c r="O33" s="1527"/>
      <c r="P33" s="1527"/>
      <c r="U33" s="2416" t="s">
        <v>39</v>
      </c>
      <c r="V33" s="2416"/>
      <c r="W33" s="1668"/>
      <c r="X33" s="2417" t="str">
        <f>IF(TITLE_NAME_OR_PR_CHANGE="",IF(TITLE_NAME_OR_PR="","",TITLE_NAME_OR_PR),TITLE_NAME_OR_PR_CHANGE)</f>
        <v/>
      </c>
      <c r="Y33" s="2417"/>
      <c r="Z33" s="2417"/>
      <c r="AA33" s="2417"/>
      <c r="AB33" s="2417"/>
      <c r="AC33" s="2417"/>
      <c r="AD33" s="2417"/>
      <c r="AE33" s="2417"/>
      <c r="AF33" s="547"/>
      <c r="AG33" s="2417" t="str">
        <f>IF(TITLE_NAME_OR_PR_CHANGE="",IF(TITLE_NAME_OR_PR="","",TITLE_NAME_OR_PR),TITLE_NAME_OR_PR_CHANGE)</f>
        <v/>
      </c>
      <c r="AH33" s="2417"/>
      <c r="AI33" s="2417"/>
      <c r="AJ33" s="2417"/>
      <c r="AK33" s="2417"/>
      <c r="AL33" s="2417"/>
      <c r="AM33" s="2417"/>
      <c r="AN33" s="2417"/>
      <c r="AO33" s="547"/>
      <c r="AP33" s="547"/>
      <c r="AQ33" s="490"/>
      <c r="AR33" s="593"/>
      <c r="AS33" s="593"/>
      <c r="AT33" s="593"/>
      <c r="AU33" s="593"/>
      <c r="AV33" s="593"/>
    </row>
    <row s="10859" customFormat="1" customHeight="1" ht="18.75" hidden="1">
      <c r="A34" s="1527"/>
      <c r="B34" s="1527"/>
      <c r="C34" s="1527"/>
      <c r="D34" s="1527"/>
      <c r="E34" s="1527"/>
      <c r="F34" s="1527"/>
      <c r="G34" s="1527"/>
      <c r="H34" s="1527"/>
      <c r="I34" s="1527"/>
      <c r="J34" s="1527"/>
      <c r="K34" s="1527"/>
      <c r="L34" s="1527"/>
      <c r="M34" s="1676"/>
      <c r="N34" s="1527"/>
      <c r="O34" s="1527"/>
      <c r="P34" s="1527"/>
      <c r="U34" s="2416" t="s">
        <v>1540</v>
      </c>
      <c r="V34" s="2416"/>
      <c r="W34" s="1668"/>
      <c r="X34" s="2417" t="str">
        <f>IF(TITLE_DATE_CHANGE_PERIOD="",IF(TITLE_DATE_PR="","",TITLE_DATE_PR),TITLE_DATE_CHANGE_PERIOD)</f>
        <v/>
      </c>
      <c r="Y34" s="2417"/>
      <c r="Z34" s="2417"/>
      <c r="AA34" s="2417"/>
      <c r="AB34" s="2417"/>
      <c r="AC34" s="2417"/>
      <c r="AD34" s="2417"/>
      <c r="AE34" s="2417"/>
      <c r="AF34" s="547"/>
      <c r="AG34" s="2417" t="str">
        <f>IF(TITLE_DATE_CHANGE_PERIOD="",IF(TITLE_DATE_PR="","",TITLE_DATE_PR),TITLE_DATE_CHANGE_PERIOD)</f>
        <v/>
      </c>
      <c r="AH34" s="2417"/>
      <c r="AI34" s="2417"/>
      <c r="AJ34" s="2417"/>
      <c r="AK34" s="2417"/>
      <c r="AL34" s="2417"/>
      <c r="AM34" s="2417"/>
      <c r="AN34" s="2417"/>
      <c r="AO34" s="547"/>
      <c r="AP34" s="547"/>
      <c r="AQ34" s="490"/>
      <c r="AR34" s="593"/>
      <c r="AS34" s="593"/>
      <c r="AT34" s="593"/>
      <c r="AU34" s="593"/>
      <c r="AV34" s="593"/>
    </row>
    <row s="10859" customFormat="1" customHeight="1" ht="18.75" hidden="1">
      <c r="A35" s="1527"/>
      <c r="B35" s="1527"/>
      <c r="C35" s="1527"/>
      <c r="D35" s="1527"/>
      <c r="E35" s="1527"/>
      <c r="F35" s="1527"/>
      <c r="G35" s="1527"/>
      <c r="H35" s="1527"/>
      <c r="I35" s="1527"/>
      <c r="J35" s="1527"/>
      <c r="K35" s="1527"/>
      <c r="L35" s="1527"/>
      <c r="M35" s="1676"/>
      <c r="N35" s="1527"/>
      <c r="O35" s="1527"/>
      <c r="P35" s="1527"/>
      <c r="U35" s="2416" t="s">
        <v>1541</v>
      </c>
      <c r="V35" s="2416"/>
      <c r="W35" s="1668"/>
      <c r="X35" s="2417" t="str">
        <f>IF(TITLE_NUMBER_PR_CHANGE="",IF(TITLE_NUMBER_PR="","",TITLE_NUMBER_PR),TITLE_NUMBER_PR_CHANGE)</f>
        <v/>
      </c>
      <c r="Y35" s="2417"/>
      <c r="Z35" s="2417"/>
      <c r="AA35" s="2417"/>
      <c r="AB35" s="2417"/>
      <c r="AC35" s="2417"/>
      <c r="AD35" s="2417"/>
      <c r="AE35" s="2417"/>
      <c r="AF35" s="547"/>
      <c r="AG35" s="2417" t="str">
        <f>IF(TITLE_NUMBER_PR_CHANGE="",IF(TITLE_NUMBER_PR="","",TITLE_NUMBER_PR),TITLE_NUMBER_PR_CHANGE)</f>
        <v/>
      </c>
      <c r="AH35" s="2417"/>
      <c r="AI35" s="2417"/>
      <c r="AJ35" s="2417"/>
      <c r="AK35" s="2417"/>
      <c r="AL35" s="2417"/>
      <c r="AM35" s="2417"/>
      <c r="AN35" s="2417"/>
      <c r="AO35" s="547"/>
      <c r="AP35" s="547"/>
      <c r="AQ35" s="490"/>
      <c r="AR35" s="593"/>
      <c r="AS35" s="593"/>
      <c r="AT35" s="593"/>
      <c r="AU35" s="593"/>
      <c r="AV35" s="593"/>
    </row>
    <row s="10859" customFormat="1" customHeight="1" ht="18.75" hidden="1">
      <c r="A36" s="1527"/>
      <c r="B36" s="1527"/>
      <c r="C36" s="1527"/>
      <c r="D36" s="1527"/>
      <c r="E36" s="1527"/>
      <c r="F36" s="1527"/>
      <c r="G36" s="1527"/>
      <c r="H36" s="1527"/>
      <c r="I36" s="1527"/>
      <c r="J36" s="1527"/>
      <c r="K36" s="1527"/>
      <c r="L36" s="1527"/>
      <c r="M36" s="1676"/>
      <c r="N36" s="1527"/>
      <c r="O36" s="1527"/>
      <c r="P36" s="1527"/>
      <c r="U36" s="2416" t="s">
        <v>40</v>
      </c>
      <c r="V36" s="2416"/>
      <c r="W36" s="1668"/>
      <c r="X36" s="2417" t="str">
        <f>IF(TITLE_IST_PUB_CHANGE="",IF(TITLE_IST_PUB="","",TITLE_IST_PUB),TITLE_IST_PUB_CHANGE)</f>
        <v/>
      </c>
      <c r="Y36" s="2417"/>
      <c r="Z36" s="2417"/>
      <c r="AA36" s="2417"/>
      <c r="AB36" s="2417"/>
      <c r="AC36" s="2417"/>
      <c r="AD36" s="2417"/>
      <c r="AE36" s="2417"/>
      <c r="AF36" s="547"/>
      <c r="AG36" s="2417" t="str">
        <f>IF(TITLE_IST_PUB_CHANGE="",IF(TITLE_IST_PUB="","",TITLE_IST_PUB),TITLE_IST_PUB_CHANGE)</f>
        <v/>
      </c>
      <c r="AH36" s="2417"/>
      <c r="AI36" s="2417"/>
      <c r="AJ36" s="2417"/>
      <c r="AK36" s="2417"/>
      <c r="AL36" s="2417"/>
      <c r="AM36" s="2417"/>
      <c r="AN36" s="2417"/>
      <c r="AO36" s="547"/>
      <c r="AP36" s="547"/>
      <c r="AQ36" s="490"/>
      <c r="AR36" s="593"/>
      <c r="AS36" s="593"/>
      <c r="AT36" s="593"/>
      <c r="AU36" s="593"/>
      <c r="AV36" s="593"/>
    </row>
    <row customHeight="1" ht="14.25" hidden="1">
      <c r="R37" s="602"/>
      <c r="S37" s="602"/>
      <c r="T37" s="602"/>
      <c r="U37" s="1565"/>
      <c r="V37" s="586"/>
      <c r="W37" s="586"/>
      <c r="X37" s="541"/>
      <c r="Y37" s="541"/>
      <c r="Z37" s="541"/>
      <c r="AA37" s="541"/>
      <c r="AB37" s="541"/>
      <c r="AC37" s="541"/>
      <c r="AD37" s="541"/>
      <c r="AE37" s="541"/>
      <c r="AF37" s="541"/>
      <c r="AG37" s="541"/>
      <c r="AH37" s="541"/>
      <c r="AI37" s="541"/>
      <c r="AJ37" s="541"/>
      <c r="AK37" s="541"/>
      <c r="AL37" s="541"/>
      <c r="AM37" s="541"/>
      <c r="AN37" s="541"/>
      <c r="AO37" s="541"/>
      <c r="AP37" s="746"/>
    </row>
    <row s="10859" customFormat="1" customHeight="1" ht="18.75" hidden="1">
      <c r="A38" s="1527"/>
      <c r="B38" s="1527"/>
      <c r="C38" s="1527"/>
      <c r="D38" s="1527"/>
      <c r="E38" s="1527"/>
      <c r="F38" s="1527"/>
      <c r="G38" s="1527"/>
      <c r="H38" s="1527"/>
      <c r="I38" s="1527"/>
      <c r="J38" s="1527"/>
      <c r="K38" s="1527"/>
      <c r="L38" s="1527"/>
      <c r="M38" s="1676"/>
      <c r="N38" s="1527"/>
      <c r="O38" s="1527"/>
      <c r="P38" s="1527"/>
      <c r="U38" s="2416" t="s">
        <v>1542</v>
      </c>
      <c r="V38" s="2416"/>
      <c r="W38" s="1668"/>
      <c r="X38" s="2417" t="str">
        <f>IF(TITLE_DATE_CHANGE_PERIOD="",IF(TITLE_DATE_PR="","",TITLE_DATE_PR),TITLE_DATE_CHANGE_PERIOD)</f>
        <v/>
      </c>
      <c r="Y38" s="2417"/>
      <c r="Z38" s="2417"/>
      <c r="AA38" s="2417"/>
      <c r="AB38" s="2417"/>
      <c r="AC38" s="2417"/>
      <c r="AD38" s="2417"/>
      <c r="AE38" s="2417"/>
      <c r="AF38" s="547"/>
      <c r="AG38" s="2417" t="str">
        <f>IF(TITLE_DATE_CHANGE_PERIOD="",IF(TITLE_DATE_PR="","",TITLE_DATE_PR),TITLE_DATE_CHANGE_PERIOD)</f>
        <v/>
      </c>
      <c r="AH38" s="2417"/>
      <c r="AI38" s="2417"/>
      <c r="AJ38" s="2417"/>
      <c r="AK38" s="2417"/>
      <c r="AL38" s="2417"/>
      <c r="AM38" s="2417"/>
      <c r="AN38" s="2417"/>
      <c r="AO38" s="547"/>
      <c r="AP38" s="547"/>
      <c r="AQ38" s="490"/>
      <c r="AR38" s="593"/>
      <c r="AS38" s="593"/>
      <c r="AT38" s="593"/>
      <c r="AU38" s="593"/>
      <c r="AV38" s="593"/>
    </row>
    <row s="10859" customFormat="1" customHeight="1" ht="18.75" hidden="1">
      <c r="A39" s="1527"/>
      <c r="B39" s="1527"/>
      <c r="C39" s="1527"/>
      <c r="D39" s="1527"/>
      <c r="E39" s="1527"/>
      <c r="F39" s="1527"/>
      <c r="G39" s="1527"/>
      <c r="H39" s="1527"/>
      <c r="I39" s="1527"/>
      <c r="J39" s="1527"/>
      <c r="K39" s="1527"/>
      <c r="L39" s="1527"/>
      <c r="M39" s="1676"/>
      <c r="N39" s="1527"/>
      <c r="O39" s="1527"/>
      <c r="P39" s="1527"/>
      <c r="U39" s="2416" t="s">
        <v>1543</v>
      </c>
      <c r="V39" s="2416"/>
      <c r="W39" s="1668"/>
      <c r="X39" s="2417" t="str">
        <f>IF(TITLE_NUMBER_PR_CHANGE="",IF(TITLE_NUMBER_PR="","",TITLE_NUMBER_PR),TITLE_NUMBER_PR_CHANGE)</f>
        <v/>
      </c>
      <c r="Y39" s="2417"/>
      <c r="Z39" s="2417"/>
      <c r="AA39" s="2417"/>
      <c r="AB39" s="2417"/>
      <c r="AC39" s="2417"/>
      <c r="AD39" s="2417"/>
      <c r="AE39" s="2417"/>
      <c r="AF39" s="547"/>
      <c r="AG39" s="2417" t="str">
        <f>IF(TITLE_NUMBER_PR_CHANGE="",IF(TITLE_NUMBER_PR="","",TITLE_NUMBER_PR),TITLE_NUMBER_PR_CHANGE)</f>
        <v/>
      </c>
      <c r="AH39" s="2417"/>
      <c r="AI39" s="2417"/>
      <c r="AJ39" s="2417"/>
      <c r="AK39" s="2417"/>
      <c r="AL39" s="2417"/>
      <c r="AM39" s="2417"/>
      <c r="AN39" s="2417"/>
      <c r="AO39" s="547"/>
      <c r="AP39" s="547"/>
      <c r="AQ39" s="490"/>
      <c r="AR39" s="593"/>
      <c r="AS39" s="593"/>
      <c r="AT39" s="593"/>
      <c r="AU39" s="593"/>
      <c r="AV39" s="593"/>
    </row>
    <row s="10859" customFormat="1" customHeight="1" ht="0">
      <c r="A40" s="1527"/>
      <c r="B40" s="1527"/>
      <c r="C40" s="1527"/>
      <c r="D40" s="1527"/>
      <c r="E40" s="1527"/>
      <c r="F40" s="1527"/>
      <c r="G40" s="1527"/>
      <c r="H40" s="1527"/>
      <c r="I40" s="1527"/>
      <c r="J40" s="1527"/>
      <c r="K40" s="1527"/>
      <c r="L40" s="1527"/>
      <c r="M40" s="1676"/>
      <c r="N40" s="1527"/>
      <c r="O40" s="1527"/>
      <c r="P40" s="1527"/>
      <c r="U40" s="543"/>
      <c r="V40" s="543"/>
      <c r="W40" s="1635"/>
      <c r="X40" s="547"/>
      <c r="Y40" s="547"/>
      <c r="Z40" s="547"/>
      <c r="AA40" s="547"/>
      <c r="AB40" s="547"/>
      <c r="AC40" s="547"/>
      <c r="AD40" s="547"/>
      <c r="AE40" s="547"/>
      <c r="AF40" s="488" t="s">
        <v>1544</v>
      </c>
      <c r="AG40" s="547"/>
      <c r="AH40" s="547"/>
      <c r="AI40" s="547"/>
      <c r="AJ40" s="547"/>
      <c r="AK40" s="547"/>
      <c r="AL40" s="547"/>
      <c r="AM40" s="547"/>
      <c r="AN40" s="547"/>
      <c r="AO40" s="488" t="s">
        <v>1544</v>
      </c>
      <c r="AR40" s="593"/>
      <c r="AS40" s="593"/>
      <c r="AT40" s="593"/>
      <c r="AU40" s="593"/>
      <c r="AV40" s="593"/>
    </row>
    <row customHeight="1" ht="14.25">
      <c r="R41" s="602"/>
      <c r="S41" s="602"/>
      <c r="T41" s="602"/>
      <c r="U41" s="1565"/>
      <c r="V41" s="586"/>
      <c r="W41" s="1522"/>
      <c r="X41" s="2418"/>
      <c r="Y41" s="2418"/>
      <c r="Z41" s="2418"/>
      <c r="AA41" s="2418"/>
      <c r="AB41" s="2418"/>
      <c r="AC41" s="2418"/>
      <c r="AD41" s="2418"/>
      <c r="AE41" s="2418"/>
      <c r="AF41" s="2418"/>
      <c r="AG41" s="2418"/>
      <c r="AH41" s="2418"/>
      <c r="AI41" s="2418"/>
      <c r="AJ41" s="2418"/>
      <c r="AK41" s="2418"/>
      <c r="AL41" s="2418"/>
      <c r="AM41" s="2418"/>
      <c r="AN41" s="2418"/>
      <c r="AO41" s="2418"/>
    </row>
    <row customHeight="1" ht="14.25">
      <c r="R42" s="602"/>
      <c r="S42" s="602"/>
      <c r="T42" s="602"/>
      <c r="U42" s="2277" t="s">
        <v>362</v>
      </c>
      <c r="V42" s="2277"/>
      <c r="W42" s="2277"/>
      <c r="X42" s="2277"/>
      <c r="Y42" s="2277"/>
      <c r="Z42" s="2277"/>
      <c r="AA42" s="2277"/>
      <c r="AB42" s="2277"/>
      <c r="AC42" s="2277"/>
      <c r="AD42" s="2277"/>
      <c r="AE42" s="2277"/>
      <c r="AF42" s="2277"/>
      <c r="AG42" s="2277"/>
      <c r="AH42" s="2277"/>
      <c r="AI42" s="2277"/>
      <c r="AJ42" s="2277"/>
      <c r="AK42" s="2277"/>
      <c r="AL42" s="2277"/>
      <c r="AM42" s="2277"/>
      <c r="AN42" s="2277"/>
      <c r="AO42" s="2277"/>
      <c r="AP42" s="2277"/>
      <c r="AQ42" s="2277" t="s">
        <v>363</v>
      </c>
    </row>
    <row customHeight="1" ht="14.25">
      <c r="R43" s="602"/>
      <c r="S43" s="602"/>
      <c r="T43" s="602"/>
      <c r="U43" s="2440" t="s">
        <v>88</v>
      </c>
      <c r="V43" s="2301" t="s">
        <v>1545</v>
      </c>
      <c r="W43" s="511"/>
      <c r="X43" s="2441" t="s">
        <v>1546</v>
      </c>
      <c r="Y43" s="2458"/>
      <c r="Z43" s="2458"/>
      <c r="AA43" s="2458"/>
      <c r="AB43" s="2458"/>
      <c r="AC43" s="2442"/>
      <c r="AD43" s="2442"/>
      <c r="AE43" s="2443"/>
      <c r="AF43" s="2444" t="s">
        <v>1547</v>
      </c>
      <c r="AG43" s="2441" t="s">
        <v>1546</v>
      </c>
      <c r="AH43" s="2458"/>
      <c r="AI43" s="2458"/>
      <c r="AJ43" s="2458"/>
      <c r="AK43" s="2458"/>
      <c r="AL43" s="2442"/>
      <c r="AM43" s="2442"/>
      <c r="AN43" s="2443"/>
      <c r="AO43" s="2444" t="s">
        <v>1548</v>
      </c>
      <c r="AP43" s="2447" t="s">
        <v>1549</v>
      </c>
      <c r="AQ43" s="2277"/>
    </row>
    <row customHeight="1" ht="33.75">
      <c r="R44" s="602"/>
      <c r="S44" s="602"/>
      <c r="T44" s="602"/>
      <c r="U44" s="2440"/>
      <c r="V44" s="2301"/>
      <c r="W44" s="1289"/>
      <c r="X44" s="2461" t="s">
        <v>1582</v>
      </c>
      <c r="Y44" s="2476" t="s">
        <v>1583</v>
      </c>
      <c r="Z44" s="2476"/>
      <c r="AA44" s="2476"/>
      <c r="AB44" s="2476"/>
      <c r="AC44" s="2477" t="s">
        <v>1553</v>
      </c>
      <c r="AD44" s="2478"/>
      <c r="AE44" s="2479"/>
      <c r="AF44" s="2445"/>
      <c r="AG44" s="2461" t="s">
        <v>1582</v>
      </c>
      <c r="AH44" s="2476" t="s">
        <v>1583</v>
      </c>
      <c r="AI44" s="2476"/>
      <c r="AJ44" s="2476"/>
      <c r="AK44" s="2476"/>
      <c r="AL44" s="2477" t="s">
        <v>1553</v>
      </c>
      <c r="AM44" s="2478"/>
      <c r="AN44" s="2479"/>
      <c r="AO44" s="2445"/>
      <c r="AP44" s="2448"/>
      <c r="AQ44" s="2277"/>
    </row>
    <row customHeight="1" ht="14.25">
      <c r="R45" s="602"/>
      <c r="S45" s="602"/>
      <c r="T45" s="602"/>
      <c r="U45" s="2440"/>
      <c r="V45" s="2301"/>
      <c r="W45" s="1289"/>
      <c r="X45" s="2495"/>
      <c r="Y45" s="2483" t="s">
        <v>1584</v>
      </c>
      <c r="Z45" s="2486" t="s">
        <v>1585</v>
      </c>
      <c r="AA45" s="2487"/>
      <c r="AB45" s="2488"/>
      <c r="AC45" s="2480"/>
      <c r="AD45" s="2481"/>
      <c r="AE45" s="2482"/>
      <c r="AF45" s="2445"/>
      <c r="AG45" s="2495"/>
      <c r="AH45" s="2483" t="s">
        <v>1584</v>
      </c>
      <c r="AI45" s="2486" t="s">
        <v>1585</v>
      </c>
      <c r="AJ45" s="2487"/>
      <c r="AK45" s="2488"/>
      <c r="AL45" s="2480"/>
      <c r="AM45" s="2481"/>
      <c r="AN45" s="2482"/>
      <c r="AO45" s="2445"/>
      <c r="AP45" s="2448"/>
      <c r="AQ45" s="2277"/>
    </row>
    <row customHeight="1" ht="25.5">
      <c r="R46" s="602"/>
      <c r="S46" s="602"/>
      <c r="T46" s="602"/>
      <c r="U46" s="2440"/>
      <c r="V46" s="2301"/>
      <c r="W46" s="1289"/>
      <c r="X46" s="2495"/>
      <c r="Y46" s="2484"/>
      <c r="Z46" s="2483" t="s">
        <v>1586</v>
      </c>
      <c r="AA46" s="2486" t="s">
        <v>1587</v>
      </c>
      <c r="AB46" s="2488"/>
      <c r="AC46" s="2489" t="s">
        <v>1563</v>
      </c>
      <c r="AD46" s="2491" t="s">
        <v>1564</v>
      </c>
      <c r="AE46" s="2492"/>
      <c r="AF46" s="2445"/>
      <c r="AG46" s="2495"/>
      <c r="AH46" s="2484"/>
      <c r="AI46" s="2483" t="s">
        <v>1586</v>
      </c>
      <c r="AJ46" s="2486" t="s">
        <v>1587</v>
      </c>
      <c r="AK46" s="2488"/>
      <c r="AL46" s="2489" t="s">
        <v>1563</v>
      </c>
      <c r="AM46" s="2491" t="s">
        <v>1564</v>
      </c>
      <c r="AN46" s="2492"/>
      <c r="AO46" s="2445"/>
      <c r="AP46" s="2448"/>
      <c r="AQ46" s="2277"/>
    </row>
    <row customHeight="1" ht="62.25">
      <c r="A47" s="1548"/>
      <c r="B47" s="1548" t="s">
        <v>212</v>
      </c>
      <c r="C47" s="1548" t="s">
        <v>213</v>
      </c>
      <c r="D47" s="1548" t="s">
        <v>214</v>
      </c>
      <c r="E47" s="1605" t="s">
        <v>1554</v>
      </c>
      <c r="F47" s="1605" t="s">
        <v>1555</v>
      </c>
      <c r="G47" s="1605" t="s">
        <v>1556</v>
      </c>
      <c r="H47" s="1605" t="s">
        <v>1557</v>
      </c>
      <c r="I47" s="1605" t="s">
        <v>1558</v>
      </c>
      <c r="J47" s="1605" t="s">
        <v>1559</v>
      </c>
      <c r="K47" s="1605" t="s">
        <v>1560</v>
      </c>
      <c r="L47" s="1605" t="s">
        <v>1588</v>
      </c>
      <c r="M47" s="1605" t="s">
        <v>1535</v>
      </c>
      <c r="R47" s="602"/>
      <c r="S47" s="602"/>
      <c r="T47" s="602"/>
      <c r="U47" s="2440"/>
      <c r="V47" s="2301"/>
      <c r="W47" s="512"/>
      <c r="X47" s="2462"/>
      <c r="Y47" s="2485"/>
      <c r="Z47" s="2485"/>
      <c r="AA47" s="1497" t="s">
        <v>1589</v>
      </c>
      <c r="AB47" s="1497" t="s">
        <v>1590</v>
      </c>
      <c r="AC47" s="2490"/>
      <c r="AD47" s="2493"/>
      <c r="AE47" s="2494"/>
      <c r="AF47" s="2446"/>
      <c r="AG47" s="2462"/>
      <c r="AH47" s="2485"/>
      <c r="AI47" s="2485"/>
      <c r="AJ47" s="1497" t="s">
        <v>1589</v>
      </c>
      <c r="AK47" s="1497" t="s">
        <v>1590</v>
      </c>
      <c r="AL47" s="2490"/>
      <c r="AM47" s="2493"/>
      <c r="AN47" s="2494"/>
      <c r="AO47" s="2446"/>
      <c r="AP47" s="2449"/>
      <c r="AQ47" s="2277"/>
    </row>
    <row s="10822" customFormat="1" customHeight="1" ht="11.25" hidden="1">
      <c r="A48" s="1548"/>
      <c r="B48" s="1548"/>
      <c r="C48" s="1548"/>
      <c r="D48" s="1548"/>
      <c r="E48" s="1548"/>
      <c r="F48" s="1548"/>
      <c r="G48" s="1548"/>
      <c r="H48" s="1548"/>
      <c r="I48" s="1548"/>
      <c r="J48" s="1548"/>
      <c r="K48" s="1548"/>
      <c r="L48" s="1548"/>
      <c r="M48" s="1605"/>
      <c r="N48" s="1623"/>
      <c r="O48" s="1623"/>
      <c r="P48" s="1623"/>
      <c r="Q48" s="1524"/>
      <c r="R48" s="1525"/>
      <c r="S48" s="1540">
        <v>1</v>
      </c>
      <c r="T48" s="1540"/>
      <c r="U48" s="1567" t="s">
        <v>109</v>
      </c>
      <c r="V48" s="1541" t="s">
        <v>110</v>
      </c>
      <c r="W48" s="1523" t="str">
        <f>OFFSET(W48,0,-1)</f>
        <v>2</v>
      </c>
      <c r="X48" s="1630">
        <f>OFFSET(X48,0,-1)+1</f>
        <v>3</v>
      </c>
      <c r="Y48" s="1636"/>
      <c r="Z48" s="1636"/>
      <c r="AA48" s="1636">
        <f>OFFSET(AA48,0,-1)+1</f>
        <v>1</v>
      </c>
      <c r="AB48" s="1636">
        <f>OFFSET(AB48,0,-1)+1</f>
        <v>2</v>
      </c>
      <c r="AC48" s="1630">
        <f>OFFSET(AC48,0,-1)+1</f>
        <v>3</v>
      </c>
      <c r="AD48" s="2439">
        <f>OFFSET(AD48,0,-1)+1</f>
        <v>4</v>
      </c>
      <c r="AE48" s="2439"/>
      <c r="AF48" s="1630">
        <f>OFFSET(AF48,0,-2)+1</f>
        <v>5</v>
      </c>
      <c r="AG48" s="1630">
        <f>OFFSET(AG48,0,-1)+1</f>
        <v>6</v>
      </c>
      <c r="AH48" s="1630"/>
      <c r="AI48" s="1630"/>
      <c r="AJ48" s="1630">
        <f>OFFSET(AJ48,0,-1)+1</f>
        <v>1</v>
      </c>
      <c r="AK48" s="1630">
        <f>OFFSET(AK48,0,-1)+1</f>
        <v>2</v>
      </c>
      <c r="AL48" s="1630">
        <f>OFFSET(AL48,0,-1)+1</f>
        <v>3</v>
      </c>
      <c r="AM48" s="2439">
        <f>OFFSET(AM48,0,-1)+1</f>
        <v>4</v>
      </c>
      <c r="AN48" s="2439"/>
      <c r="AO48" s="1630">
        <f>OFFSET(AO48,0,-2)+1</f>
        <v>5</v>
      </c>
      <c r="AP48" s="1523">
        <f>OFFSET(AP48,0,-1)</f>
        <v>5</v>
      </c>
      <c r="AQ48" s="1630">
        <f>OFFSET(AQ48,0,-1)+1</f>
        <v>6</v>
      </c>
      <c r="AR48" s="748"/>
      <c r="AS48" s="748"/>
      <c r="AT48" s="748"/>
      <c r="AU48" s="748"/>
      <c r="AV48" s="748"/>
    </row>
    <row customHeight="1" ht="21">
      <c r="A49" s="1556" t="s">
        <v>247</v>
      </c>
      <c r="B49" s="1556"/>
      <c r="C49" s="1556"/>
      <c r="D49" s="1556"/>
      <c r="E49" s="2467">
        <v>1</v>
      </c>
      <c r="F49" s="1556"/>
      <c r="G49" s="1556"/>
      <c r="H49" s="1556"/>
      <c r="I49" s="1556"/>
      <c r="J49" s="1556"/>
      <c r="K49" s="1556"/>
      <c r="L49" s="1556"/>
      <c r="M49" s="1605"/>
      <c r="N49" s="925"/>
      <c r="O49" s="925"/>
      <c r="P49" s="925"/>
      <c r="Q49" s="582"/>
      <c r="R49" s="581"/>
      <c r="S49" s="581"/>
      <c r="T49" s="576"/>
      <c r="U49" s="1631">
        <f>INDEX(PT_DIFFERENTIATION_NUM_NTAR,MATCH(A49,PT_DIFFERENTIATION_NTAR_ID,0))</f>
        <v>0</v>
      </c>
      <c r="V49" s="508" t="s">
        <v>200</v>
      </c>
      <c r="W49" s="510"/>
      <c r="X49" s="4037"/>
      <c r="Y49" s="4038"/>
      <c r="Z49" s="4038"/>
      <c r="AA49" s="4038"/>
      <c r="AB49" s="4038"/>
      <c r="AC49" s="4038"/>
      <c r="AD49" s="4038"/>
      <c r="AE49" s="4038"/>
      <c r="AF49" s="4039"/>
      <c r="AG49" s="4037" t="str">
        <f>INDEX(PT_DIFFERENTIATION_NTAR,MATCH(A49,PT_DIFFERENTIATION_NTAR_ID,0))</f>
        <v/>
      </c>
      <c r="AH49" s="4038"/>
      <c r="AI49" s="4038"/>
      <c r="AJ49" s="4038"/>
      <c r="AK49" s="4038"/>
      <c r="AL49" s="4038"/>
      <c r="AM49" s="4038"/>
      <c r="AN49" s="4038"/>
      <c r="AO49" s="4038"/>
      <c r="AP49" s="4039"/>
      <c r="AQ49" s="1546" t="str">
        <f>"Указывается наименование тарифа в случае "&amp;IF(TEMPLATE_GROUP="P","утверждения","расчёта")&amp;" нескольких тарифов.
В случае наличия нескольких тарифов информация по ним указывается в отдельных строках."</f>
        <v>Указывается наименование тарифа в случае расчёта нескольких тарифов.
В случае наличия нескольких тарифов информация по ним указывается в отдельных строках.</v>
      </c>
      <c r="AS49" s="737"/>
      <c r="AT49" s="737" t="str">
        <f>IF(V49="","",V49)</f>
        <v>Наименование тарифа</v>
      </c>
      <c r="AU49" s="737"/>
      <c r="AV49" s="737"/>
    </row>
    <row customHeight="1" ht="21">
      <c r="A50" s="1556" t="s">
        <v>247</v>
      </c>
      <c r="B50" s="1556" t="s">
        <v>248</v>
      </c>
      <c r="C50" s="1556"/>
      <c r="D50" s="1556"/>
      <c r="E50" s="2468"/>
      <c r="F50" s="2467">
        <v>1</v>
      </c>
      <c r="G50" s="1556"/>
      <c r="H50" s="1556"/>
      <c r="I50" s="1556"/>
      <c r="J50" s="1556"/>
      <c r="K50" s="1556"/>
      <c r="L50" s="1556"/>
      <c r="M50" s="1605"/>
      <c r="N50" s="925"/>
      <c r="O50" s="925"/>
      <c r="P50" s="925"/>
      <c r="Q50" s="1627"/>
      <c r="R50" s="573"/>
      <c r="S50" s="746"/>
      <c r="T50" s="574"/>
      <c r="U50" s="1631" t="str">
        <f>INDEX(PT_DIFFERENTIATION_NUM_TER,MATCH(B50,PT_DIFFERENTIATION_TER_ID,0))</f>
        <v>.</v>
      </c>
      <c r="V50" s="520" t="s">
        <v>1517</v>
      </c>
      <c r="W50" s="510"/>
      <c r="X50" s="4037"/>
      <c r="Y50" s="4038"/>
      <c r="Z50" s="4038"/>
      <c r="AA50" s="4038"/>
      <c r="AB50" s="4038"/>
      <c r="AC50" s="4038"/>
      <c r="AD50" s="4038"/>
      <c r="AE50" s="4038"/>
      <c r="AF50" s="4039"/>
      <c r="AG50" s="4037" t="str">
        <f>INDEX(PT_DIFFERENTIATION_TER,MATCH(B50,PT_DIFFERENTIATION_TER_ID,0))</f>
        <v/>
      </c>
      <c r="AH50" s="4038"/>
      <c r="AI50" s="4038"/>
      <c r="AJ50" s="4038"/>
      <c r="AK50" s="4038"/>
      <c r="AL50" s="4038"/>
      <c r="AM50" s="4038"/>
      <c r="AN50" s="4038"/>
      <c r="AO50" s="4038"/>
      <c r="AP50" s="4039"/>
      <c r="AQ50" s="1546" t="s">
        <v>1518</v>
      </c>
      <c r="AS50" s="737"/>
      <c r="AT50" s="737" t="str">
        <f>IF(V50="","",V50)</f>
        <v>Территория действия тарифа</v>
      </c>
      <c r="AU50" s="737"/>
      <c r="AV50" s="737"/>
    </row>
    <row customHeight="1" ht="22.5">
      <c r="A51" s="1556" t="s">
        <v>247</v>
      </c>
      <c r="B51" s="1556" t="s">
        <v>248</v>
      </c>
      <c r="C51" s="1556" t="s">
        <v>249</v>
      </c>
      <c r="D51" s="1556"/>
      <c r="E51" s="2468"/>
      <c r="F51" s="2468"/>
      <c r="G51" s="2467">
        <v>1</v>
      </c>
      <c r="H51" s="1556"/>
      <c r="I51" s="1556"/>
      <c r="J51" s="1556"/>
      <c r="K51" s="1556"/>
      <c r="L51" s="1556"/>
      <c r="M51" s="1605"/>
      <c r="N51" s="925"/>
      <c r="O51" s="925"/>
      <c r="P51" s="925"/>
      <c r="Q51" s="575"/>
      <c r="R51" s="573"/>
      <c r="S51" s="746"/>
      <c r="T51" s="574"/>
      <c r="U51" s="1631" t="str">
        <f>INDEX(PT_DIFFERENTIATION_NUM_CS,MATCH(C51,PT_DIFFERENTIATION_CS_ID,0))</f>
        <v>..</v>
      </c>
      <c r="V51" s="521" t="s">
        <v>1519</v>
      </c>
      <c r="W51" s="510"/>
      <c r="X51" s="4037"/>
      <c r="Y51" s="4038"/>
      <c r="Z51" s="4038"/>
      <c r="AA51" s="4038"/>
      <c r="AB51" s="4038"/>
      <c r="AC51" s="4038"/>
      <c r="AD51" s="4038"/>
      <c r="AE51" s="4038"/>
      <c r="AF51" s="4039"/>
      <c r="AG51" s="4037" t="str">
        <f>INDEX(PT_DIFFERENTIATION_CS,MATCH(C51,PT_DIFFERENTIATION_CS_ID,0))</f>
        <v/>
      </c>
      <c r="AH51" s="4038"/>
      <c r="AI51" s="4038"/>
      <c r="AJ51" s="4038"/>
      <c r="AK51" s="4038"/>
      <c r="AL51" s="4038"/>
      <c r="AM51" s="4038"/>
      <c r="AN51" s="4038"/>
      <c r="AO51" s="4038"/>
      <c r="AP51" s="4039"/>
      <c r="AQ51" s="1546" t="s">
        <v>1520</v>
      </c>
      <c r="AS51" s="737"/>
      <c r="AT51" s="737" t="str">
        <f>IF(V51="","",V51)</f>
        <v>Наименование системы теплоснабжения </v>
      </c>
      <c r="AU51" s="737"/>
      <c r="AV51" s="737"/>
    </row>
    <row customHeight="1" ht="21">
      <c r="A52" s="1556" t="s">
        <v>247</v>
      </c>
      <c r="B52" s="1556" t="s">
        <v>248</v>
      </c>
      <c r="C52" s="1556" t="s">
        <v>249</v>
      </c>
      <c r="D52" s="1556" t="s">
        <v>250</v>
      </c>
      <c r="E52" s="2468"/>
      <c r="F52" s="2468"/>
      <c r="G52" s="2468"/>
      <c r="H52" s="2474">
        <v>1</v>
      </c>
      <c r="I52" s="1556"/>
      <c r="J52" s="1556"/>
      <c r="K52" s="1556"/>
      <c r="L52" s="1556"/>
      <c r="M52" s="1605"/>
      <c r="N52" s="925"/>
      <c r="O52" s="925"/>
      <c r="P52" s="925"/>
      <c r="Q52" s="575"/>
      <c r="R52" s="573"/>
      <c r="S52" s="746"/>
      <c r="T52" s="574"/>
      <c r="U52" s="1631" t="str">
        <f>INDEX(PT_DIFFERENTIATION_NUM_IST_TE,MATCH(D52,PT_DIFFERENTIATION_IST_TE_ID,0))</f>
        <v>...</v>
      </c>
      <c r="V52" s="522" t="s">
        <v>1521</v>
      </c>
      <c r="W52" s="510"/>
      <c r="X52" s="4037"/>
      <c r="Y52" s="4038"/>
      <c r="Z52" s="4038"/>
      <c r="AA52" s="4038"/>
      <c r="AB52" s="4038"/>
      <c r="AC52" s="4038"/>
      <c r="AD52" s="4038"/>
      <c r="AE52" s="4038"/>
      <c r="AF52" s="4039"/>
      <c r="AG52" s="4037" t="str">
        <f>INDEX(PT_DIFFERENTIATION_IST_TE,MATCH(D52,PT_DIFFERENTIATION_IST_TE_ID,0))</f>
        <v/>
      </c>
      <c r="AH52" s="4038"/>
      <c r="AI52" s="4038"/>
      <c r="AJ52" s="4038"/>
      <c r="AK52" s="4038"/>
      <c r="AL52" s="4038"/>
      <c r="AM52" s="4038"/>
      <c r="AN52" s="4038"/>
      <c r="AO52" s="4038"/>
      <c r="AP52" s="4039"/>
      <c r="AQ52" s="1546" t="s">
        <v>1522</v>
      </c>
      <c r="AS52" s="737"/>
      <c r="AT52" s="737" t="str">
        <f>IF(V52="","",V52)</f>
        <v>Источник тепловой энергии  </v>
      </c>
      <c r="AU52" s="737"/>
      <c r="AV52" s="737"/>
    </row>
    <row s="10863" customFormat="1" customHeight="1" ht="0">
      <c r="A53" s="1671" t="s">
        <v>247</v>
      </c>
      <c r="B53" s="1671" t="s">
        <v>248</v>
      </c>
      <c r="C53" s="1671" t="s">
        <v>249</v>
      </c>
      <c r="D53" s="1671" t="s">
        <v>250</v>
      </c>
      <c r="E53" s="2468"/>
      <c r="F53" s="2468"/>
      <c r="G53" s="2468"/>
      <c r="H53" s="2475"/>
      <c r="I53" s="2277" t="str">
        <f>U52&amp;".1"</f>
        <v>....1</v>
      </c>
      <c r="J53" s="1671"/>
      <c r="K53" s="1671"/>
      <c r="L53" s="1671"/>
      <c r="M53" s="1677" t="s">
        <v>1523</v>
      </c>
      <c r="N53" s="1524"/>
      <c r="O53" s="1524"/>
      <c r="P53" s="1524"/>
      <c r="Q53" s="2423">
        <v>1</v>
      </c>
      <c r="R53" s="1626"/>
      <c r="S53" s="1626"/>
      <c r="T53" s="577"/>
      <c r="U53" s="1300"/>
      <c r="V53" s="1679"/>
      <c r="W53" s="1680"/>
      <c r="X53" s="2463"/>
      <c r="Y53" s="2464"/>
      <c r="Z53" s="2464"/>
      <c r="AA53" s="2464"/>
      <c r="AB53" s="2464"/>
      <c r="AC53" s="2464"/>
      <c r="AD53" s="2464"/>
      <c r="AE53" s="2464"/>
      <c r="AF53" s="2465"/>
      <c r="AG53" s="2463"/>
      <c r="AH53" s="2464"/>
      <c r="AI53" s="2464"/>
      <c r="AJ53" s="2464"/>
      <c r="AK53" s="2464"/>
      <c r="AL53" s="2464"/>
      <c r="AM53" s="2464"/>
      <c r="AN53" s="2464"/>
      <c r="AO53" s="2464"/>
      <c r="AP53" s="2465"/>
      <c r="AQ53" s="1681"/>
      <c r="AS53" s="737"/>
      <c r="AT53" s="737" t="str">
        <f>IF(V53="","",V53)</f>
        <v/>
      </c>
      <c r="AU53" s="737"/>
      <c r="AV53" s="737"/>
    </row>
    <row customHeight="1" ht="21">
      <c r="A54" s="1556" t="s">
        <v>247</v>
      </c>
      <c r="B54" s="1556" t="s">
        <v>248</v>
      </c>
      <c r="C54" s="1556" t="s">
        <v>249</v>
      </c>
      <c r="D54" s="1556" t="s">
        <v>250</v>
      </c>
      <c r="E54" s="2468"/>
      <c r="F54" s="2468"/>
      <c r="G54" s="2468"/>
      <c r="H54" s="2475"/>
      <c r="I54" s="2136"/>
      <c r="J54" s="2469" t="str">
        <f>I53&amp;".1"</f>
        <v>....1.1</v>
      </c>
      <c r="K54" s="1556"/>
      <c r="L54" s="1556"/>
      <c r="M54" s="1605" t="s">
        <v>1526</v>
      </c>
      <c r="Q54" s="2423"/>
      <c r="R54" s="2423">
        <v>1</v>
      </c>
      <c r="S54" s="755"/>
      <c r="T54" s="578"/>
      <c r="U54" s="1631" t="str">
        <f>$J54</f>
        <v>....1.1</v>
      </c>
      <c r="V54" s="496" t="s">
        <v>1527</v>
      </c>
      <c r="W54" s="510"/>
      <c r="X54" s="2411"/>
      <c r="Y54" s="2412"/>
      <c r="Z54" s="2412"/>
      <c r="AA54" s="2412"/>
      <c r="AB54" s="2412"/>
      <c r="AC54" s="2471"/>
      <c r="AD54" s="2471"/>
      <c r="AE54" s="2471"/>
      <c r="AF54" s="2472"/>
      <c r="AG54" s="2411"/>
      <c r="AH54" s="2412"/>
      <c r="AI54" s="2412"/>
      <c r="AJ54" s="2412"/>
      <c r="AK54" s="2412"/>
      <c r="AL54" s="2412"/>
      <c r="AM54" s="2412"/>
      <c r="AN54" s="2412"/>
      <c r="AO54" s="2412"/>
      <c r="AP54" s="2413"/>
      <c r="AQ54" s="1546" t="s">
        <v>1528</v>
      </c>
      <c r="AS54" s="737"/>
      <c r="AT54" s="737" t="str">
        <f>IF(V54="","",V54)</f>
        <v>Группа потребителей</v>
      </c>
      <c r="AU54" s="737"/>
      <c r="AV54" s="737"/>
    </row>
    <row customHeight="1" ht="21">
      <c r="A55" s="1556" t="s">
        <v>247</v>
      </c>
      <c r="B55" s="1556" t="s">
        <v>248</v>
      </c>
      <c r="C55" s="1556" t="s">
        <v>249</v>
      </c>
      <c r="D55" s="1556" t="s">
        <v>250</v>
      </c>
      <c r="E55" s="2468"/>
      <c r="F55" s="2468"/>
      <c r="G55" s="2468"/>
      <c r="H55" s="2475"/>
      <c r="I55" s="2136"/>
      <c r="J55" s="2470"/>
      <c r="K55" s="2469" t="str">
        <f>J54&amp;".1"</f>
        <v>....1.1.1</v>
      </c>
      <c r="L55" s="345"/>
      <c r="M55" s="1605" t="s">
        <v>1529</v>
      </c>
      <c r="Q55" s="2423"/>
      <c r="R55" s="2423"/>
      <c r="S55" s="755">
        <v>1</v>
      </c>
      <c r="T55" s="578"/>
      <c r="U55" s="1631" t="str">
        <f>$K55</f>
        <v>....1.1.1</v>
      </c>
      <c r="V55" s="1642"/>
      <c r="W55" s="510"/>
      <c r="X55" s="4065"/>
      <c r="Y55" s="4065"/>
      <c r="Z55" s="4065"/>
      <c r="AA55" s="4065"/>
      <c r="AB55" s="4217"/>
      <c r="AC55" s="2430"/>
      <c r="AD55" s="2142" t="s">
        <v>67</v>
      </c>
      <c r="AE55" s="2430"/>
      <c r="AF55" s="2142" t="s">
        <v>67</v>
      </c>
      <c r="AG55" s="4218"/>
      <c r="AH55" s="4065"/>
      <c r="AI55" s="4065"/>
      <c r="AJ55" s="4065"/>
      <c r="AK55" s="4067"/>
      <c r="AL55" s="2430"/>
      <c r="AM55" s="2142" t="s">
        <v>67</v>
      </c>
      <c r="AN55" s="2430"/>
      <c r="AO55" s="2142" t="s">
        <v>67</v>
      </c>
      <c r="AP55" s="4166"/>
      <c r="AQ55" s="1602" t="s">
        <v>1579</v>
      </c>
      <c r="AR55" s="748">
        <f>STRCHECKDATE(X57:AP57)</f>
      </c>
      <c r="AS55" s="737"/>
      <c r="AT55" s="737" t="str">
        <f>IF(V55="","",V55)</f>
        <v/>
      </c>
      <c r="AU55" s="737"/>
      <c r="AV55" s="737"/>
    </row>
    <row customHeight="1" ht="11.25">
      <c r="A56" s="1556" t="s">
        <v>247</v>
      </c>
      <c r="B56" s="1556" t="s">
        <v>248</v>
      </c>
      <c r="C56" s="1556" t="s">
        <v>249</v>
      </c>
      <c r="D56" s="1556" t="s">
        <v>250</v>
      </c>
      <c r="E56" s="2468"/>
      <c r="F56" s="2468"/>
      <c r="G56" s="2468"/>
      <c r="H56" s="2475"/>
      <c r="I56" s="2136"/>
      <c r="J56" s="2470"/>
      <c r="K56" s="2470"/>
      <c r="L56" s="2469" t="str">
        <f>K55&amp;".1"</f>
        <v>....1.1.1.1</v>
      </c>
      <c r="M56" s="1605"/>
      <c r="Q56" s="2423"/>
      <c r="R56" s="2423"/>
      <c r="S56" s="755">
        <v>1</v>
      </c>
      <c r="T56" s="578"/>
      <c r="U56" s="1631" t="str">
        <f>$L56</f>
        <v>....1.1.1.1</v>
      </c>
      <c r="V56" s="1687"/>
      <c r="W56" s="510"/>
      <c r="X56" s="4066"/>
      <c r="Y56" s="4065"/>
      <c r="Z56" s="4065"/>
      <c r="AA56" s="4065"/>
      <c r="AB56" s="4217"/>
      <c r="AC56" s="2473"/>
      <c r="AD56" s="2142"/>
      <c r="AE56" s="2473"/>
      <c r="AF56" s="2142"/>
      <c r="AG56" s="4218"/>
      <c r="AH56" s="4065"/>
      <c r="AI56" s="4065"/>
      <c r="AJ56" s="4065"/>
      <c r="AK56" s="4067"/>
      <c r="AL56" s="2473"/>
      <c r="AM56" s="2142"/>
      <c r="AN56" s="2473"/>
      <c r="AO56" s="2142"/>
      <c r="AP56" s="4166"/>
      <c r="AQ56" s="2419" t="s">
        <v>1580</v>
      </c>
      <c r="AR56" s="748">
        <f>STRCHECKDATE(X58:AP58)</f>
      </c>
      <c r="AS56" s="737"/>
      <c r="AT56" s="737" t="str">
        <f>IF(V56="","",V56)</f>
        <v/>
      </c>
      <c r="AU56" s="737"/>
      <c r="AV56" s="737"/>
    </row>
    <row customHeight="1" ht="0">
      <c r="A57" s="1556" t="s">
        <v>247</v>
      </c>
      <c r="B57" s="1556" t="s">
        <v>248</v>
      </c>
      <c r="C57" s="1556" t="s">
        <v>249</v>
      </c>
      <c r="D57" s="1556" t="s">
        <v>250</v>
      </c>
      <c r="E57" s="2468"/>
      <c r="F57" s="2468"/>
      <c r="G57" s="2468"/>
      <c r="H57" s="2475"/>
      <c r="I57" s="2136"/>
      <c r="J57" s="2470"/>
      <c r="K57" s="2470"/>
      <c r="L57" s="2469"/>
      <c r="M57" s="1605"/>
      <c r="Q57" s="2423"/>
      <c r="R57" s="2423"/>
      <c r="S57" s="755"/>
      <c r="T57" s="578"/>
      <c r="U57" s="1637"/>
      <c r="V57" s="510"/>
      <c r="W57" s="510"/>
      <c r="X57" s="4066"/>
      <c r="Y57" s="4066"/>
      <c r="Z57" s="4066"/>
      <c r="AA57" s="4066"/>
      <c r="AB57" s="4222" t="str">
        <f>AC55&amp;"-"&amp;AE55</f>
        <v>-</v>
      </c>
      <c r="AC57" s="2473"/>
      <c r="AD57" s="2142"/>
      <c r="AE57" s="2473"/>
      <c r="AF57" s="2142"/>
      <c r="AG57" s="4223"/>
      <c r="AH57" s="4066"/>
      <c r="AI57" s="4066"/>
      <c r="AJ57" s="4066"/>
      <c r="AK57" s="4071" t="str">
        <f>AL55&amp;"-"&amp;AN55</f>
        <v>-</v>
      </c>
      <c r="AL57" s="2473"/>
      <c r="AM57" s="2142"/>
      <c r="AN57" s="2473"/>
      <c r="AO57" s="2142"/>
      <c r="AP57" s="4169"/>
      <c r="AQ57" s="2420"/>
      <c r="AS57" s="737"/>
      <c r="AT57" s="737" t="str">
        <f>IF(V57="","",V57)</f>
        <v/>
      </c>
      <c r="AU57" s="737"/>
      <c r="AV57" s="737"/>
    </row>
    <row customHeight="1" ht="11.25">
      <c r="A58" s="1556" t="s">
        <v>247</v>
      </c>
      <c r="B58" s="1556" t="s">
        <v>248</v>
      </c>
      <c r="C58" s="1556" t="s">
        <v>249</v>
      </c>
      <c r="D58" s="1556" t="s">
        <v>250</v>
      </c>
      <c r="E58" s="2468"/>
      <c r="F58" s="2468"/>
      <c r="G58" s="2468"/>
      <c r="H58" s="2475"/>
      <c r="I58" s="2136"/>
      <c r="J58" s="2470"/>
      <c r="K58" s="2469"/>
      <c r="L58" s="1556"/>
      <c r="M58" s="1605"/>
      <c r="Q58" s="2423"/>
      <c r="R58" s="2423"/>
      <c r="S58" s="1626"/>
      <c r="T58" s="577"/>
      <c r="U58" s="1568"/>
      <c r="V58" s="498" t="s">
        <v>1581</v>
      </c>
      <c r="W58" s="592"/>
      <c r="X58" s="592"/>
      <c r="Y58" s="592"/>
      <c r="Z58" s="592"/>
      <c r="AA58" s="592"/>
      <c r="AB58" s="592"/>
      <c r="AC58" s="2473"/>
      <c r="AD58" s="2142"/>
      <c r="AE58" s="2473"/>
      <c r="AF58" s="2142"/>
      <c r="AG58" s="592"/>
      <c r="AH58" s="592"/>
      <c r="AI58" s="592"/>
      <c r="AJ58" s="592"/>
      <c r="AK58" s="592"/>
      <c r="AL58" s="2473"/>
      <c r="AM58" s="2142"/>
      <c r="AN58" s="2473"/>
      <c r="AO58" s="2142"/>
      <c r="AP58" s="544"/>
      <c r="AQ58" s="2420"/>
      <c r="AS58" s="737"/>
      <c r="AT58" s="737" t="str">
        <f>IF(V58="","",V58)</f>
        <v>Добавить наименование поставщика</v>
      </c>
      <c r="AU58" s="737"/>
      <c r="AV58" s="737"/>
    </row>
    <row customHeight="1" ht="11.25">
      <c r="A59" s="1556" t="s">
        <v>247</v>
      </c>
      <c r="B59" s="1556" t="s">
        <v>248</v>
      </c>
      <c r="C59" s="1556" t="s">
        <v>249</v>
      </c>
      <c r="D59" s="1556" t="s">
        <v>250</v>
      </c>
      <c r="E59" s="2468"/>
      <c r="F59" s="2468"/>
      <c r="G59" s="2468"/>
      <c r="H59" s="2475"/>
      <c r="I59" s="2136"/>
      <c r="J59" s="2469"/>
      <c r="K59" s="1556"/>
      <c r="L59" s="1556"/>
      <c r="M59" s="1605"/>
      <c r="Q59" s="2423"/>
      <c r="R59" s="2423"/>
      <c r="S59" s="1626"/>
      <c r="T59" s="577"/>
      <c r="U59" s="1568"/>
      <c r="V59" s="497" t="s">
        <v>1531</v>
      </c>
      <c r="W59" s="592"/>
      <c r="X59" s="592"/>
      <c r="Y59" s="592"/>
      <c r="Z59" s="592"/>
      <c r="AA59" s="592"/>
      <c r="AB59" s="592"/>
      <c r="AC59" s="1705"/>
      <c r="AD59" s="1705"/>
      <c r="AE59" s="1705"/>
      <c r="AF59" s="1705"/>
      <c r="AG59" s="592"/>
      <c r="AH59" s="592"/>
      <c r="AI59" s="592"/>
      <c r="AJ59" s="592"/>
      <c r="AK59" s="592"/>
      <c r="AL59" s="592"/>
      <c r="AM59" s="592"/>
      <c r="AN59" s="592"/>
      <c r="AO59" s="592"/>
      <c r="AP59" s="544"/>
      <c r="AQ59" s="2421"/>
      <c r="AS59" s="737"/>
      <c r="AT59" s="737" t="str">
        <f>IF(V59="","",V59)</f>
        <v>Добавить вид теплоносителя (параметры теплоносителя)</v>
      </c>
      <c r="AU59" s="737"/>
      <c r="AV59" s="737"/>
    </row>
    <row customHeight="1" ht="11.25">
      <c r="A60" s="1556" t="s">
        <v>247</v>
      </c>
      <c r="B60" s="1556" t="s">
        <v>248</v>
      </c>
      <c r="C60" s="1556" t="s">
        <v>249</v>
      </c>
      <c r="D60" s="1556" t="s">
        <v>250</v>
      </c>
      <c r="E60" s="2468"/>
      <c r="F60" s="2468"/>
      <c r="G60" s="2468"/>
      <c r="H60" s="2475"/>
      <c r="I60" s="2277"/>
      <c r="J60" s="1556"/>
      <c r="K60" s="1556"/>
      <c r="L60" s="1556"/>
      <c r="M60" s="1605"/>
      <c r="Q60" s="2423"/>
      <c r="R60" s="1626"/>
      <c r="S60" s="1626"/>
      <c r="T60" s="577"/>
      <c r="U60" s="1568"/>
      <c r="V60" s="589" t="s">
        <v>1532</v>
      </c>
      <c r="W60" s="592"/>
      <c r="X60" s="592"/>
      <c r="Y60" s="592"/>
      <c r="Z60" s="592"/>
      <c r="AA60" s="592"/>
      <c r="AB60" s="592"/>
      <c r="AC60" s="592"/>
      <c r="AD60" s="592"/>
      <c r="AE60" s="592"/>
      <c r="AF60" s="591"/>
      <c r="AG60" s="592"/>
      <c r="AH60" s="592"/>
      <c r="AI60" s="592"/>
      <c r="AJ60" s="592"/>
      <c r="AK60" s="592"/>
      <c r="AL60" s="592"/>
      <c r="AM60" s="592"/>
      <c r="AN60" s="592"/>
      <c r="AO60" s="591"/>
      <c r="AP60" s="592"/>
      <c r="AQ60" s="513"/>
      <c r="AS60" s="737"/>
      <c r="AT60" s="737" t="str">
        <f>IF(V60="","",V60)</f>
        <v>Добавить группу потребителей</v>
      </c>
      <c r="AU60" s="737"/>
      <c r="AV60" s="737"/>
    </row>
    <row customHeight="1" ht="0">
      <c r="A61" s="1556" t="s">
        <v>247</v>
      </c>
      <c r="B61" s="1556" t="s">
        <v>248</v>
      </c>
      <c r="C61" s="1556" t="s">
        <v>249</v>
      </c>
      <c r="D61" s="1556" t="s">
        <v>250</v>
      </c>
      <c r="E61" s="2468"/>
      <c r="F61" s="2468"/>
      <c r="G61" s="2468"/>
      <c r="H61" s="2474"/>
      <c r="I61" s="1556"/>
      <c r="J61" s="1556"/>
      <c r="K61" s="1556"/>
      <c r="L61" s="1556"/>
      <c r="M61" s="1605"/>
      <c r="N61" s="925"/>
      <c r="O61" s="925"/>
      <c r="P61" s="746"/>
      <c r="Q61" s="581"/>
      <c r="R61" s="601"/>
      <c r="S61" s="576"/>
      <c r="T61" s="581"/>
      <c r="U61" s="1682"/>
      <c r="V61" s="1683"/>
      <c r="W61" s="1684"/>
      <c r="X61" s="1684"/>
      <c r="Y61" s="1684"/>
      <c r="Z61" s="1684"/>
      <c r="AA61" s="1684"/>
      <c r="AB61" s="1684"/>
      <c r="AC61" s="1684"/>
      <c r="AD61" s="1684"/>
      <c r="AE61" s="1684"/>
      <c r="AF61" s="1684"/>
      <c r="AG61" s="1684"/>
      <c r="AH61" s="1684"/>
      <c r="AI61" s="1684"/>
      <c r="AJ61" s="1684"/>
      <c r="AK61" s="1684"/>
      <c r="AL61" s="1684"/>
      <c r="AM61" s="1684"/>
      <c r="AN61" s="1684"/>
      <c r="AO61" s="1684"/>
      <c r="AP61" s="1684"/>
      <c r="AQ61" s="1685"/>
      <c r="AS61" s="737"/>
      <c r="AT61" s="737" t="str">
        <f>IF(V61="","",V61)</f>
        <v/>
      </c>
      <c r="AU61" s="737"/>
      <c r="AV61" s="737"/>
    </row>
    <row s="10863" customFormat="1" customHeight="1" ht="0.75">
      <c r="A62" s="1671" t="s">
        <v>247</v>
      </c>
      <c r="B62" s="1671" t="s">
        <v>248</v>
      </c>
      <c r="C62" s="1671" t="s">
        <v>249</v>
      </c>
      <c r="D62" s="1670"/>
      <c r="E62" s="2468"/>
      <c r="F62" s="2468"/>
      <c r="G62" s="2467"/>
      <c r="H62" s="1670"/>
      <c r="I62" s="1670"/>
      <c r="J62" s="1670"/>
      <c r="K62" s="1670"/>
      <c r="L62" s="1670"/>
      <c r="M62" s="1673"/>
      <c r="N62" s="1674"/>
      <c r="O62" s="1674"/>
      <c r="P62" s="572"/>
      <c r="Q62" s="1611"/>
      <c r="R62" s="1612"/>
      <c r="S62" s="1611"/>
      <c r="T62" s="1611"/>
      <c r="U62" s="1617"/>
      <c r="V62" s="1620" t="s">
        <v>1492</v>
      </c>
      <c r="W62" s="1619"/>
      <c r="X62" s="1619"/>
      <c r="Y62" s="1619"/>
      <c r="Z62" s="1619"/>
      <c r="AA62" s="1619"/>
      <c r="AB62" s="1619"/>
      <c r="AC62" s="1619"/>
      <c r="AD62" s="1619"/>
      <c r="AE62" s="1619"/>
      <c r="AF62" s="1619"/>
      <c r="AG62" s="1619"/>
      <c r="AH62" s="1619"/>
      <c r="AI62" s="1619"/>
      <c r="AJ62" s="1619"/>
      <c r="AK62" s="1619"/>
      <c r="AL62" s="1619"/>
      <c r="AM62" s="1619"/>
      <c r="AN62" s="1619"/>
      <c r="AO62" s="1619"/>
      <c r="AP62" s="1619"/>
      <c r="AQ62" s="1619"/>
      <c r="AS62" s="1029"/>
      <c r="AT62" s="1029" t="str">
        <f>IF(V62="","",V62)</f>
        <v>Добавить источник для дифференциации</v>
      </c>
      <c r="AU62" s="1029"/>
      <c r="AV62" s="1029"/>
    </row>
    <row s="10863" customFormat="1" customHeight="1" ht="0.75">
      <c r="A63" s="1671" t="s">
        <v>247</v>
      </c>
      <c r="B63" s="1671" t="s">
        <v>248</v>
      </c>
      <c r="C63" s="1670"/>
      <c r="D63" s="1670"/>
      <c r="E63" s="2468"/>
      <c r="F63" s="2467"/>
      <c r="G63" s="1670"/>
      <c r="H63" s="1670"/>
      <c r="I63" s="1670"/>
      <c r="J63" s="1670"/>
      <c r="K63" s="1670"/>
      <c r="L63" s="1670"/>
      <c r="M63" s="1673"/>
      <c r="N63" s="1675"/>
      <c r="O63" s="1675"/>
      <c r="P63" s="572"/>
      <c r="Q63" s="1611"/>
      <c r="R63" s="1612"/>
      <c r="S63" s="1611"/>
      <c r="T63" s="1611"/>
      <c r="U63" s="1617"/>
      <c r="V63" s="1620" t="s">
        <v>1493</v>
      </c>
      <c r="W63" s="1619"/>
      <c r="X63" s="1619"/>
      <c r="Y63" s="1619"/>
      <c r="Z63" s="1619"/>
      <c r="AA63" s="1619"/>
      <c r="AB63" s="1619"/>
      <c r="AC63" s="1619"/>
      <c r="AD63" s="1619"/>
      <c r="AE63" s="1619"/>
      <c r="AF63" s="1619"/>
      <c r="AG63" s="1619"/>
      <c r="AH63" s="1619"/>
      <c r="AI63" s="1619"/>
      <c r="AJ63" s="1619"/>
      <c r="AK63" s="1619"/>
      <c r="AL63" s="1619"/>
      <c r="AM63" s="1619"/>
      <c r="AN63" s="1619"/>
      <c r="AO63" s="1619"/>
      <c r="AP63" s="1619"/>
      <c r="AQ63" s="1619"/>
      <c r="AS63" s="1029"/>
      <c r="AT63" s="1029" t="str">
        <f>IF(V63="","",V63)</f>
        <v>Добавить централизованную систему для дифференциации</v>
      </c>
      <c r="AU63" s="1029"/>
      <c r="AV63" s="1029"/>
    </row>
    <row s="10863" customFormat="1" customHeight="1" ht="0.75">
      <c r="A64" s="1671" t="s">
        <v>247</v>
      </c>
      <c r="B64" s="1671"/>
      <c r="C64" s="1671"/>
      <c r="D64" s="1671"/>
      <c r="E64" s="2467"/>
      <c r="F64" s="1671"/>
      <c r="G64" s="1671"/>
      <c r="H64" s="1671"/>
      <c r="I64" s="1671"/>
      <c r="J64" s="1671"/>
      <c r="K64" s="1671"/>
      <c r="L64" s="1671"/>
      <c r="M64" s="1677"/>
      <c r="N64" s="1675"/>
      <c r="O64" s="1675"/>
      <c r="P64" s="572"/>
      <c r="Q64" s="610"/>
      <c r="R64" s="1639"/>
      <c r="S64" s="610"/>
      <c r="T64" s="610"/>
      <c r="U64" s="1617"/>
      <c r="V64" s="1620" t="s">
        <v>1494</v>
      </c>
      <c r="W64" s="1619"/>
      <c r="X64" s="1619"/>
      <c r="Y64" s="1619"/>
      <c r="Z64" s="1619"/>
      <c r="AA64" s="1619"/>
      <c r="AB64" s="1619"/>
      <c r="AC64" s="1619"/>
      <c r="AD64" s="1619"/>
      <c r="AE64" s="1619"/>
      <c r="AF64" s="1619"/>
      <c r="AG64" s="1619"/>
      <c r="AH64" s="1619"/>
      <c r="AI64" s="1619"/>
      <c r="AJ64" s="1619"/>
      <c r="AK64" s="1619"/>
      <c r="AL64" s="1619"/>
      <c r="AM64" s="1619"/>
      <c r="AN64" s="1619"/>
      <c r="AO64" s="1619"/>
      <c r="AP64" s="1619"/>
      <c r="AQ64" s="1619"/>
      <c r="AS64" s="737"/>
      <c r="AT64" s="737" t="str">
        <f>IF(V64="","",V64)</f>
        <v>Добавить территорию для дифференциации</v>
      </c>
      <c r="AU64" s="737"/>
      <c r="AV64" s="737"/>
    </row>
    <row s="10863" customFormat="1" customHeight="1" ht="0.75">
      <c r="A65" s="1670"/>
      <c r="B65" s="1670"/>
      <c r="C65" s="1670"/>
      <c r="D65" s="1670"/>
      <c r="E65" s="1671"/>
      <c r="F65" s="1670"/>
      <c r="G65" s="1670"/>
      <c r="H65" s="1670"/>
      <c r="I65" s="1670"/>
      <c r="J65" s="1670"/>
      <c r="K65" s="1670"/>
      <c r="L65" s="1670"/>
      <c r="M65" s="1673"/>
      <c r="N65" s="1675"/>
      <c r="O65" s="1675"/>
      <c r="P65" s="572"/>
      <c r="Q65" s="1611"/>
      <c r="R65" s="1612"/>
      <c r="S65" s="1611"/>
      <c r="T65" s="1611"/>
      <c r="U65" s="1617"/>
      <c r="V65" s="1620" t="s">
        <v>1495</v>
      </c>
      <c r="W65" s="1619"/>
      <c r="X65" s="1619"/>
      <c r="Y65" s="1619"/>
      <c r="Z65" s="1619"/>
      <c r="AA65" s="1619"/>
      <c r="AB65" s="1619"/>
      <c r="AC65" s="1619"/>
      <c r="AD65" s="1619"/>
      <c r="AE65" s="1619"/>
      <c r="AF65" s="1619"/>
      <c r="AG65" s="1619"/>
      <c r="AH65" s="1619"/>
      <c r="AI65" s="1619"/>
      <c r="AJ65" s="1619"/>
      <c r="AK65" s="1619"/>
      <c r="AL65" s="1619"/>
      <c r="AM65" s="1619"/>
      <c r="AN65" s="1619"/>
      <c r="AO65" s="1619"/>
      <c r="AP65" s="1619"/>
      <c r="AQ65" s="1619"/>
      <c r="AS65" s="1029"/>
      <c r="AT65" s="1029" t="str">
        <f>IF(V65="","",V65)</f>
        <v>Добавить наименование тарифа</v>
      </c>
      <c r="AU65" s="1029"/>
      <c r="AV65" s="1029"/>
    </row>
    <row customHeight="1" ht="11.25" hidden="1">
      <c r="N66" s="1416"/>
      <c r="O66" s="1416"/>
      <c r="P66" s="746"/>
      <c r="Q66" s="1416"/>
      <c r="R66" s="1416"/>
      <c r="S66" s="1416"/>
      <c r="T66" s="1416"/>
      <c r="U66" s="1416"/>
      <c r="AR66" s="1416"/>
      <c r="AS66" s="1416"/>
      <c r="AT66" s="1416"/>
      <c r="AU66" s="1416"/>
      <c r="AV66" s="1416"/>
    </row>
    <row customHeight="1" ht="33.75" hidden="1">
      <c r="P67" s="746"/>
      <c r="U67" s="1533" t="s">
        <v>1565</v>
      </c>
      <c r="V67" s="2452" t="s">
        <v>1575</v>
      </c>
      <c r="W67" s="2452"/>
      <c r="X67" s="2452"/>
      <c r="Y67" s="2452"/>
      <c r="Z67" s="2452"/>
      <c r="AA67" s="2452"/>
      <c r="AB67" s="2452"/>
      <c r="AC67" s="2452"/>
      <c r="AD67" s="2452"/>
      <c r="AE67" s="2452"/>
      <c r="AF67" s="2452"/>
      <c r="AG67" s="2452"/>
      <c r="AH67" s="2452"/>
      <c r="AI67" s="2452"/>
      <c r="AJ67" s="2452"/>
      <c r="AK67" s="2452"/>
      <c r="AL67" s="2452"/>
      <c r="AM67" s="2452"/>
      <c r="AN67" s="2452"/>
      <c r="AO67" s="2452"/>
      <c r="AP67" s="2452"/>
      <c r="AQ67" s="2452"/>
    </row>
    <row customHeight="1" ht="19.5" hidden="1">
      <c r="P68" s="746"/>
      <c r="V68" s="2452" t="s">
        <v>1591</v>
      </c>
      <c r="W68" s="2452"/>
      <c r="X68" s="2452"/>
      <c r="Y68" s="2452"/>
      <c r="Z68" s="2452"/>
      <c r="AA68" s="2452"/>
      <c r="AB68" s="2452"/>
      <c r="AC68" s="2452"/>
      <c r="AD68" s="2452"/>
      <c r="AE68" s="2452"/>
      <c r="AF68" s="2452"/>
      <c r="AG68" s="2452"/>
      <c r="AH68" s="2452"/>
      <c r="AI68" s="2452"/>
      <c r="AJ68" s="2452"/>
      <c r="AK68" s="2452"/>
      <c r="AL68" s="2452"/>
      <c r="AM68" s="2452"/>
      <c r="AN68" s="2452"/>
      <c r="AO68" s="2452"/>
      <c r="AP68" s="2452"/>
      <c r="AQ68" s="2452"/>
    </row>
    <row customHeight="1" ht="14.25" hidden="1">
      <c r="P69" s="746"/>
    </row>
    <row customHeight="1" ht="27" hidden="1">
      <c r="P70" s="746"/>
      <c r="V70" s="2452" t="s">
        <v>1592</v>
      </c>
      <c r="W70" s="2452"/>
      <c r="X70" s="2452"/>
      <c r="Y70" s="2452"/>
      <c r="Z70" s="2452"/>
      <c r="AA70" s="2452"/>
      <c r="AB70" s="2452"/>
      <c r="AC70" s="2452"/>
      <c r="AD70" s="2452"/>
      <c r="AE70" s="2452"/>
      <c r="AF70" s="2452"/>
      <c r="AG70" s="2452"/>
      <c r="AH70" s="2452"/>
      <c r="AI70" s="2452"/>
      <c r="AJ70" s="2452"/>
      <c r="AK70" s="2452"/>
      <c r="AL70" s="2452"/>
      <c r="AM70" s="2452"/>
      <c r="AN70" s="2452"/>
      <c r="AO70" s="2452"/>
      <c r="AP70" s="2452"/>
      <c r="AQ70" s="2452"/>
    </row>
    <row customHeight="1" ht="18" hidden="1">
      <c r="P71" s="746"/>
      <c r="V71" s="2452" t="s">
        <v>1591</v>
      </c>
      <c r="W71" s="2452"/>
      <c r="X71" s="2452"/>
      <c r="Y71" s="2452"/>
      <c r="Z71" s="2452"/>
      <c r="AA71" s="2452"/>
      <c r="AB71" s="2452"/>
      <c r="AC71" s="2452"/>
      <c r="AD71" s="2452"/>
      <c r="AE71" s="2452"/>
      <c r="AF71" s="2452"/>
      <c r="AG71" s="2452"/>
      <c r="AH71" s="2452"/>
      <c r="AI71" s="2452"/>
      <c r="AJ71" s="2452"/>
      <c r="AK71" s="2452"/>
      <c r="AL71" s="2452"/>
      <c r="AM71" s="2452"/>
      <c r="AN71" s="2452"/>
      <c r="AO71" s="2452"/>
      <c r="AP71" s="2452"/>
      <c r="AQ71" s="2452"/>
    </row>
  </sheetData>
  <sheetProtection formatColumns="0" formatRows="0" autoFilter="0" sort="0" insertRows="0" insertColumns="1" deleteRows="0" deleteColumns="0"/>
  <mergeCells count="122">
    <mergeCell ref="V71:AQ71"/>
    <mergeCell ref="U39:V39"/>
    <mergeCell ref="X39:AE39"/>
    <mergeCell ref="AG39:AN39"/>
    <mergeCell ref="U38:V38"/>
    <mergeCell ref="X38:AE38"/>
    <mergeCell ref="AG38:AN38"/>
    <mergeCell ref="AL55:AL58"/>
    <mergeCell ref="AM55:AM58"/>
    <mergeCell ref="AN55:AN58"/>
    <mergeCell ref="AO55:AO58"/>
    <mergeCell ref="V70:AQ70"/>
    <mergeCell ref="AQ42:AQ47"/>
    <mergeCell ref="AQ56:AQ59"/>
    <mergeCell ref="V67:AQ67"/>
    <mergeCell ref="V68:AQ68"/>
    <mergeCell ref="Y44:AB44"/>
    <mergeCell ref="Y45:Y47"/>
    <mergeCell ref="Z45:AB45"/>
    <mergeCell ref="AA46:AB46"/>
    <mergeCell ref="Z46:Z47"/>
    <mergeCell ref="AC46:AC47"/>
    <mergeCell ref="AD46:AE47"/>
    <mergeCell ref="AC44:AE45"/>
    <mergeCell ref="AH44:AK44"/>
    <mergeCell ref="AL44:AN45"/>
    <mergeCell ref="AH45:AH47"/>
    <mergeCell ref="X53:AF53"/>
    <mergeCell ref="AG53:AP53"/>
    <mergeCell ref="AI45:AK45"/>
    <mergeCell ref="AI46:AI47"/>
    <mergeCell ref="AJ46:AK46"/>
    <mergeCell ref="AL46:AL47"/>
    <mergeCell ref="AM46:AN47"/>
    <mergeCell ref="AP43:AP47"/>
    <mergeCell ref="X44:X47"/>
    <mergeCell ref="AG44:AG47"/>
    <mergeCell ref="AC55:AC58"/>
    <mergeCell ref="AE55:AE58"/>
    <mergeCell ref="AD55:AD58"/>
    <mergeCell ref="E49:E64"/>
    <mergeCell ref="X49:AF49"/>
    <mergeCell ref="AG49:AP49"/>
    <mergeCell ref="F50:F63"/>
    <mergeCell ref="X50:AF50"/>
    <mergeCell ref="AG50:AP50"/>
    <mergeCell ref="G51:G62"/>
    <mergeCell ref="X51:AF51"/>
    <mergeCell ref="AG51:AP51"/>
    <mergeCell ref="H52:H61"/>
    <mergeCell ref="X52:AF52"/>
    <mergeCell ref="AG52:AP52"/>
    <mergeCell ref="I53:I60"/>
    <mergeCell ref="Q53:Q60"/>
    <mergeCell ref="L56:L57"/>
    <mergeCell ref="AF55:AF58"/>
    <mergeCell ref="U36:V36"/>
    <mergeCell ref="X36:AE36"/>
    <mergeCell ref="AG36:AN36"/>
    <mergeCell ref="X33:AE33"/>
    <mergeCell ref="AG33:AN33"/>
    <mergeCell ref="U34:V34"/>
    <mergeCell ref="X34:AE34"/>
    <mergeCell ref="AG34:AN34"/>
    <mergeCell ref="J54:J59"/>
    <mergeCell ref="R54:R59"/>
    <mergeCell ref="X54:AF54"/>
    <mergeCell ref="AG54:AP54"/>
    <mergeCell ref="K55:K58"/>
    <mergeCell ref="AD48:AE48"/>
    <mergeCell ref="AM48:AN48"/>
    <mergeCell ref="X41:AF41"/>
    <mergeCell ref="AG41:AO41"/>
    <mergeCell ref="U42:AP42"/>
    <mergeCell ref="U43:U47"/>
    <mergeCell ref="V43:V47"/>
    <mergeCell ref="X43:AE43"/>
    <mergeCell ref="AF43:AF47"/>
    <mergeCell ref="AG43:AN43"/>
    <mergeCell ref="AO43:AO47"/>
    <mergeCell ref="AQ9:AQ12"/>
    <mergeCell ref="J7:J12"/>
    <mergeCell ref="R7:R12"/>
    <mergeCell ref="X7:AF7"/>
    <mergeCell ref="AG7:AP7"/>
    <mergeCell ref="S8:S11"/>
    <mergeCell ref="U35:V35"/>
    <mergeCell ref="X35:AE35"/>
    <mergeCell ref="AG35:AN35"/>
    <mergeCell ref="K8:K11"/>
    <mergeCell ref="L9:L10"/>
    <mergeCell ref="AC8:AC11"/>
    <mergeCell ref="AE8:AE11"/>
    <mergeCell ref="AD8:AD11"/>
    <mergeCell ref="AF8:AF11"/>
    <mergeCell ref="AL8:AL11"/>
    <mergeCell ref="AM8:AM11"/>
    <mergeCell ref="AN8:AN11"/>
    <mergeCell ref="AO8:AO11"/>
    <mergeCell ref="U30:AN30"/>
    <mergeCell ref="U31:AN31"/>
    <mergeCell ref="U33:V33"/>
    <mergeCell ref="AL19:AL22"/>
    <mergeCell ref="AM19:AM22"/>
    <mergeCell ref="AN19:AN22"/>
    <mergeCell ref="AO19:AO22"/>
    <mergeCell ref="E2:E17"/>
    <mergeCell ref="X2:AF2"/>
    <mergeCell ref="AG2:AP2"/>
    <mergeCell ref="F3:F16"/>
    <mergeCell ref="X3:AF3"/>
    <mergeCell ref="AG3:AP3"/>
    <mergeCell ref="G4:G15"/>
    <mergeCell ref="X4:AF4"/>
    <mergeCell ref="AG4:AP4"/>
    <mergeCell ref="H5:H14"/>
    <mergeCell ref="X5:AF5"/>
    <mergeCell ref="AG5:AP5"/>
    <mergeCell ref="I6:I13"/>
    <mergeCell ref="Q6:Q13"/>
    <mergeCell ref="X6:AF6"/>
    <mergeCell ref="AG6:AP6"/>
  </mergeCells>
  <dataValidations count="8">
    <dataValidation allowBlank="1" showInputMessage="1" showErrorMessage="1" prompt="Для выбора выполните двойной щелчок левой клавиши мыши по соответствующей ячейке." sqref="AD65592 AD131128 AD196664 AD262200 AD327736 AD393272 AD458808 AD524344 AD589880 AD655416 AD720952 AD786488 AD852024 AD917560 AD983096 AF131128 AF458808 AF196664 AF262200 AF327736 AF393272 AF524344 AF589880 AF655416 AF720952 AF786488 AF852024 AF917560 AF983096 AF65592 AM65592 AM131128 AM196664 AM262200 AM327736 AM393272 AM458808 AM524344 AM589880 AM655416 AM720952 AM786488 AM852024 AM917560 AM983096 AO393272 AO327736 AO524344 AO55 AO589880 AO655416 AO19:AO21 AO720952 AO786488 AO852024 AO917560 AO983096 AO65592 AO131128 AO458808 AF55 AO196664 AF8 AD8 AM55 AM19:AM21 AO262200 AD55 AO8 AM8"/>
    <dataValidation allowBlank="1" promptTitle="checkPeriodRange" sqref="AB65593 AB131129 AB196665 AB262201 AB327737 AB393273 AB458809 AB524345 AB589881 AB655417 AB720953 AB786489 AB852025 AB917561 AB983097 AB10:AB11 AK65593 AK131129 AK196665 AK262201 AK327737 AK393273 AK458809 AK524345 AK589881 AK655417 AK720953 AK786489 AK852025 AK917561 AK983097 AK10:AK11 AK57 AK22 AB57"/>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92 AC131128 AC196664 AC262200 AC327736 AC393272 AC458808 AC524344 AC589880 AC655416 AC720952 AC786488 AC852024 AC917560 AC983096 AE65592 AE131128 AE196664 AE262200 AE327736 AE393272 AE458808 AE524344 AE589880 AE655416 AE720952 AE786488 AE852024 AE917560 AE983096 AN55 AL65592 AL131128 AL196664 AL262200 AL327736 AL393272 AL458808 AL524344 AL589880 AL655416 AL720952 AL786488 AL852024 AL917560 AL983096 AN65592 AN131128 AN196664 AN262200 AN327736 AN393272 AN458808 AN524344 AN589880 AN655416 AN720952 AN786488 AN852024 AN917560 AN983096 AC55 AE55 AL55 AE8 AC8 AL19:AL21 AN19:AN21 AN8 AL8"/>
    <dataValidation type="textLength" operator="lessThanOrEqual" allowBlank="1" showInputMessage="1" showErrorMessage="1" errorTitle="Ошибка" error="Допускается ввод не более 900 символов!" sqref="AQ65586:AQ65593 AQ131122:AQ131129 AQ196658:AQ196665 AQ262194:AQ262201 AQ327730:AQ327737 AQ393266:AQ393273 AQ458802:AQ458809 AQ524338:AQ524345 AQ589874:AQ589881 AQ655410:AQ655417 AQ720946:AQ720953 AQ786482:AQ786489 AQ852018:AQ852025 AQ917554:AQ917561 AQ983090:AQ983097">
      <formula1>900</formula1>
    </dataValidation>
    <dataValidation allowBlank="1" sqref="U131130:AQ131136 U196666:AQ196672 U262202:AQ262208 U327738:AQ327744 U393274:AQ393280 U458810:AQ458816 U524346:AQ524352 U589882:AQ589888 U655418:AQ655424 U720954:AQ720960 U786490:AQ786496 U852026:AQ852032 U917562:AQ917568 U983098:AQ983104 U65594:AQ65600"/>
    <dataValidation type="list" allowBlank="1" showInputMessage="1" errorTitle="Ошибка" error="Выберите значение из списка" prompt="Выберите значение из списка" sqref="X983095:AP983095 X65591:AP65591 X131127:AP131127 X196663:AP196663 X262199:AP262199 X327735:AP327735 X393271:AP393271 X458807:AP458807 X524343:AP524343 X589879:AP589879 X655415:AP655415 X720951:AP720951 X786487:AP786487 X852023:AP852023 X917559:AP917559">
      <formula1>kind_of_cons</formula1>
    </dataValidation>
    <dataValidation type="list" allowBlank="1" showInputMessage="1" showErrorMessage="1" errorTitle="Ошибка" error="Выберите значение из списка" sqref="X983094:Z983094 X65590:Z65590 X131126:Z131126 X196662:Z196662 X262198:Z262198 X327734:Z327734 X393270:Z393270 X458806:Z458806 X524342:Z524342 X589878:Z589878 X655414:Z655414 X720950:Z720950 X786486:Z786486 X852022:Z852022 X917558:Z917558 AG983094:AI983094 AG65590:AI65590 AG131126:AI131126 AG196662:AI196662 AG262198:AI262198 AG327734:AI327734 AG393270:AI393270 AG458806:AI458806 AG524342:AI524342 AG589878:AI589878 AG655414:AI655414 AG720950:AI720950 AG786486:AI786486 AG852022:AI852022 AG917558:AI917558">
      <formula1>kind_of_scheme_in</formula1>
    </dataValidation>
    <dataValidation type="list" allowBlank="1" showInputMessage="1" showErrorMessage="1" errorTitle="Ошибка" error="Выберите значение из списка" sqref="V65592 V131128 V196664 V262200 V327736 V393272 V458808 V524344 V589880 V655416 V720952 V786488 V852024 V917560 V983096">
      <formula1>kind_of_heat_transfer</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3EB33D9-04AA-9143-6D78-BD61741C1C6A}" mc:Ignorable="x14ac xr xr2 xr3">
  <sheetPr>
    <tabColor theme="6" tint="0.4"/>
  </sheetPr>
  <dimension ref="A1:AZ69"/>
  <sheetViews>
    <sheetView topLeftCell="R26" showGridLines="0" zoomScale="90" workbookViewId="0">
      <selection activeCell="A1" sqref="A1"/>
    </sheetView>
  </sheetViews>
  <sheetFormatPr defaultColWidth="10.57421875" customHeight="1" defaultRowHeight="14.25"/>
  <cols>
    <col min="1" max="1" style="11074" width="10.57421875" hidden="1"/>
    <col min="2" max="2" style="11074" width="11.00390625" hidden="1" customWidth="1"/>
    <col min="3" max="3" style="11074" width="10.57421875" hidden="1"/>
    <col min="4" max="4" style="11074" width="11.8515625" hidden="1" customWidth="1"/>
    <col min="5" max="5" style="11074" width="10.00390625" hidden="1" customWidth="1"/>
    <col min="6" max="6" style="11074" width="8.7109375" hidden="1" customWidth="1"/>
    <col min="7" max="7" style="11074" width="7.57421875" hidden="1" customWidth="1"/>
    <col min="8" max="8" style="11074" width="11.421875" hidden="1" customWidth="1"/>
    <col min="9" max="9" style="11074" width="12.00390625" hidden="1" customWidth="1"/>
    <col min="10" max="10" style="11074" width="9.8515625" hidden="1" customWidth="1"/>
    <col min="11" max="11" style="11074" width="11.421875" hidden="1" customWidth="1"/>
    <col min="12" max="12" style="11240" width="19.140625" hidden="1" customWidth="1"/>
    <col min="13" max="14" style="9887" width="12.28125" hidden="1" customWidth="1"/>
    <col min="15" max="15" style="9887" width="23.421875" hidden="1" customWidth="1"/>
    <col min="16" max="16" style="9887" width="3.7109375" hidden="1" customWidth="1"/>
    <col min="17" max="17" style="9945" width="3.7109375" hidden="1" customWidth="1"/>
    <col min="18" max="18" style="10046" width="3.7109375" customWidth="1"/>
    <col min="19" max="19" style="11124" width="12.7109375" customWidth="1"/>
    <col min="20" max="20" style="11126" width="32.00390625" customWidth="1"/>
    <col min="21" max="21" style="11126" width="0.140625" customWidth="1"/>
    <col min="22" max="23" style="11126" width="21.7109375" hidden="1" customWidth="1"/>
    <col min="24" max="24" style="11126" width="11.7109375" hidden="1" customWidth="1"/>
    <col min="25" max="25" style="11126" width="3.7109375" hidden="1" customWidth="1"/>
    <col min="26" max="26" style="11126" width="11.7109375" hidden="1" customWidth="1"/>
    <col min="27" max="27" style="11126" width="8.57421875" hidden="1" customWidth="1"/>
    <col min="28" max="28" style="11126" width="5.421875" customWidth="1"/>
    <col min="29" max="30" style="11126" width="3.7109375" customWidth="1"/>
    <col min="31" max="31" style="11126" width="24.7109375" customWidth="1"/>
    <col min="32" max="34" style="11126" width="3.7109375" customWidth="1"/>
    <col min="35" max="35" style="11126" width="24.7109375" customWidth="1"/>
    <col min="36" max="38" style="11126" width="3.7109375" customWidth="1"/>
    <col min="39" max="39" style="11126" width="18.8515625" customWidth="1"/>
    <col min="40" max="41" style="11126" width="21.7109375" customWidth="1"/>
    <col min="42" max="42" style="11126" width="11.7109375" customWidth="1"/>
    <col min="43" max="43" style="11126" width="3.7109375" customWidth="1"/>
    <col min="44" max="44" style="11126" width="11.7109375" customWidth="1"/>
    <col min="45" max="45" style="11126" width="8.57421875" customWidth="1"/>
    <col min="46" max="46" style="11126" width="4.7109375" customWidth="1"/>
    <col min="47" max="47" style="11126" width="115.7109375" customWidth="1"/>
    <col min="48" max="49" style="10863" width="10.57421875"/>
    <col min="50" max="50" style="10863" width="11.140625" customWidth="1"/>
    <col min="51" max="52" style="10863" width="10.57421875"/>
  </cols>
  <sheetData>
    <row customHeight="1" ht="14.25" hidden="1">
      <c r="W1" s="548"/>
      <c r="X1" s="548"/>
      <c r="AO1" s="548"/>
      <c r="AP1" s="548"/>
    </row>
    <row customHeight="1" ht="21" hidden="1">
      <c r="A2" s="1659"/>
      <c r="B2" s="1659"/>
      <c r="C2" s="1659"/>
      <c r="D2" s="1659"/>
      <c r="E2" s="2424">
        <v>1</v>
      </c>
      <c r="F2" s="1659"/>
      <c r="G2" s="1659"/>
      <c r="H2" s="1659"/>
      <c r="I2" s="1659"/>
      <c r="J2" s="1659"/>
      <c r="K2" s="1659"/>
      <c r="L2" s="1660"/>
      <c r="M2" s="1661"/>
      <c r="N2" s="1661"/>
      <c r="O2" s="1661"/>
      <c r="P2" s="1706"/>
      <c r="Q2" s="1120"/>
      <c r="R2" s="576"/>
      <c r="S2" s="1631">
        <f>INDEX(PT_DIFFERENTIATION_NUM_NTAR,MATCH(A2,PT_DIFFERENTIATION_NTAR_ID,0))</f>
      </c>
      <c r="T2" s="508" t="s">
        <v>200</v>
      </c>
      <c r="U2" s="510"/>
      <c r="V2" s="4038"/>
      <c r="W2" s="4038"/>
      <c r="X2" s="4038"/>
      <c r="Y2" s="4038"/>
      <c r="Z2" s="4038"/>
      <c r="AA2" s="4039"/>
      <c r="AB2" s="4037">
        <f>INDEX(PT_DIFFERENTIATION_NTAR,MATCH(A2,PT_DIFFERENTIATION_NTAR_ID,0))</f>
      </c>
      <c r="AC2" s="4038"/>
      <c r="AD2" s="4038"/>
      <c r="AE2" s="4038"/>
      <c r="AF2" s="4038"/>
      <c r="AG2" s="4038"/>
      <c r="AH2" s="4038"/>
      <c r="AI2" s="4038"/>
      <c r="AJ2" s="4038"/>
      <c r="AK2" s="4038"/>
      <c r="AL2" s="4038"/>
      <c r="AM2" s="4038"/>
      <c r="AN2" s="4038"/>
      <c r="AO2" s="4038"/>
      <c r="AP2" s="4038"/>
      <c r="AQ2" s="4038"/>
      <c r="AR2" s="4038"/>
      <c r="AS2" s="4038"/>
      <c r="AT2" s="4039"/>
      <c r="AU2" s="1546" t="s">
        <v>1516</v>
      </c>
      <c r="AW2" s="737"/>
      <c r="AX2" s="737" t="str">
        <f>IF(T2="","",T2)</f>
        <v>Наименование тарифа</v>
      </c>
      <c r="AY2" s="737"/>
      <c r="AZ2" s="737"/>
    </row>
    <row customHeight="1" ht="21" hidden="1">
      <c r="A3" s="1659"/>
      <c r="B3" s="1659"/>
      <c r="C3" s="1659"/>
      <c r="D3" s="1659"/>
      <c r="E3" s="2425"/>
      <c r="F3" s="2424">
        <v>1</v>
      </c>
      <c r="G3" s="1659"/>
      <c r="H3" s="1659"/>
      <c r="I3" s="1659"/>
      <c r="J3" s="1659"/>
      <c r="K3" s="1659"/>
      <c r="L3" s="1660"/>
      <c r="M3" s="1661"/>
      <c r="N3" s="1661"/>
      <c r="O3" s="1661"/>
      <c r="P3" s="1707"/>
      <c r="Q3" s="1708"/>
      <c r="R3" s="574"/>
      <c r="S3" s="1631">
        <f>INDEX(PT_DIFFERENTIATION_NUM_TER,MATCH(B3,PT_DIFFERENTIATION_TER_ID,0))</f>
      </c>
      <c r="T3" s="520" t="s">
        <v>1517</v>
      </c>
      <c r="U3" s="510"/>
      <c r="V3" s="4038"/>
      <c r="W3" s="4038"/>
      <c r="X3" s="4038"/>
      <c r="Y3" s="4038"/>
      <c r="Z3" s="4038"/>
      <c r="AA3" s="4039"/>
      <c r="AB3" s="4037">
        <f>INDEX(PT_DIFFERENTIATION_TER,MATCH(B3,PT_DIFFERENTIATION_TER_ID,0))</f>
      </c>
      <c r="AC3" s="4038"/>
      <c r="AD3" s="4038"/>
      <c r="AE3" s="4038"/>
      <c r="AF3" s="4038"/>
      <c r="AG3" s="4038"/>
      <c r="AH3" s="4038"/>
      <c r="AI3" s="4038"/>
      <c r="AJ3" s="4038"/>
      <c r="AK3" s="4038"/>
      <c r="AL3" s="4038"/>
      <c r="AM3" s="4038"/>
      <c r="AN3" s="4038"/>
      <c r="AO3" s="4038"/>
      <c r="AP3" s="4038"/>
      <c r="AQ3" s="4038"/>
      <c r="AR3" s="4038"/>
      <c r="AS3" s="4038"/>
      <c r="AT3" s="4039"/>
      <c r="AU3" s="1546" t="s">
        <v>1518</v>
      </c>
      <c r="AW3" s="737"/>
      <c r="AX3" s="737" t="str">
        <f>IF(T3="","",T3)</f>
        <v>Территория действия тарифа</v>
      </c>
      <c r="AY3" s="737"/>
      <c r="AZ3" s="737"/>
    </row>
    <row customHeight="1" ht="22.5" hidden="1">
      <c r="A4" s="1659"/>
      <c r="B4" s="1659"/>
      <c r="C4" s="1659"/>
      <c r="D4" s="1659"/>
      <c r="E4" s="2425"/>
      <c r="F4" s="2425"/>
      <c r="G4" s="2424">
        <v>1</v>
      </c>
      <c r="H4" s="1659"/>
      <c r="I4" s="1659"/>
      <c r="J4" s="1659"/>
      <c r="K4" s="1659"/>
      <c r="L4" s="1660"/>
      <c r="M4" s="1661"/>
      <c r="N4" s="1661"/>
      <c r="O4" s="1661"/>
      <c r="P4" s="1709"/>
      <c r="Q4" s="1708"/>
      <c r="R4" s="574"/>
      <c r="S4" s="1631">
        <f>INDEX(PT_DIFFERENTIATION_NUM_CS,MATCH(C4,PT_DIFFERENTIATION_CS_ID,0))</f>
      </c>
      <c r="T4" s="521" t="s">
        <v>1519</v>
      </c>
      <c r="U4" s="510"/>
      <c r="V4" s="4038"/>
      <c r="W4" s="4038"/>
      <c r="X4" s="4038"/>
      <c r="Y4" s="4038"/>
      <c r="Z4" s="4038"/>
      <c r="AA4" s="4039"/>
      <c r="AB4" s="4037">
        <f>INDEX(PT_DIFFERENTIATION_CS,MATCH(C4,PT_DIFFERENTIATION_CS_ID,0))</f>
      </c>
      <c r="AC4" s="4038"/>
      <c r="AD4" s="4038"/>
      <c r="AE4" s="4038"/>
      <c r="AF4" s="4038"/>
      <c r="AG4" s="4038"/>
      <c r="AH4" s="4038"/>
      <c r="AI4" s="4038"/>
      <c r="AJ4" s="4038"/>
      <c r="AK4" s="4038"/>
      <c r="AL4" s="4038"/>
      <c r="AM4" s="4038"/>
      <c r="AN4" s="4038"/>
      <c r="AO4" s="4038"/>
      <c r="AP4" s="4038"/>
      <c r="AQ4" s="4038"/>
      <c r="AR4" s="4038"/>
      <c r="AS4" s="4038"/>
      <c r="AT4" s="4039"/>
      <c r="AU4" s="1546" t="s">
        <v>1520</v>
      </c>
      <c r="AW4" s="737"/>
      <c r="AX4" s="737" t="str">
        <f>IF(T4="","",T4)</f>
        <v>Наименование системы теплоснабжения </v>
      </c>
      <c r="AY4" s="737"/>
      <c r="AZ4" s="737"/>
    </row>
    <row customHeight="1" ht="21" hidden="1">
      <c r="A5" s="1659"/>
      <c r="B5" s="1659"/>
      <c r="C5" s="1659"/>
      <c r="D5" s="1659"/>
      <c r="E5" s="2425"/>
      <c r="F5" s="2425"/>
      <c r="G5" s="2425"/>
      <c r="H5" s="2424">
        <v>1</v>
      </c>
      <c r="I5" s="1659"/>
      <c r="J5" s="1659"/>
      <c r="K5" s="1659"/>
      <c r="L5" s="1660"/>
      <c r="M5" s="1661"/>
      <c r="N5" s="1661"/>
      <c r="O5" s="1661"/>
      <c r="P5" s="1709"/>
      <c r="Q5" s="1708"/>
      <c r="R5" s="574"/>
      <c r="S5" s="1631">
        <f>INDEX(PT_DIFFERENTIATION_NUM_IST_TE,MATCH(D5,PT_DIFFERENTIATION_IST_TE_ID,0))</f>
      </c>
      <c r="T5" s="522" t="s">
        <v>1521</v>
      </c>
      <c r="U5" s="510"/>
      <c r="V5" s="4038"/>
      <c r="W5" s="4038"/>
      <c r="X5" s="4038"/>
      <c r="Y5" s="4038"/>
      <c r="Z5" s="4038"/>
      <c r="AA5" s="4039"/>
      <c r="AB5" s="4037">
        <f>INDEX(PT_DIFFERENTIATION_IST_TE,MATCH(D5,PT_DIFFERENTIATION_IST_TE_ID,0))</f>
      </c>
      <c r="AC5" s="4038"/>
      <c r="AD5" s="4038"/>
      <c r="AE5" s="4038"/>
      <c r="AF5" s="4038"/>
      <c r="AG5" s="4038"/>
      <c r="AH5" s="4038"/>
      <c r="AI5" s="4038"/>
      <c r="AJ5" s="4038"/>
      <c r="AK5" s="4038"/>
      <c r="AL5" s="4038"/>
      <c r="AM5" s="4038"/>
      <c r="AN5" s="4038"/>
      <c r="AO5" s="4038"/>
      <c r="AP5" s="4038"/>
      <c r="AQ5" s="4038"/>
      <c r="AR5" s="4038"/>
      <c r="AS5" s="4038"/>
      <c r="AT5" s="4039"/>
      <c r="AU5" s="1546" t="s">
        <v>1522</v>
      </c>
      <c r="AW5" s="737"/>
      <c r="AX5" s="737" t="str">
        <f>IF(T5="","",T5)</f>
        <v>Источник тепловой энергии  </v>
      </c>
      <c r="AY5" s="737"/>
      <c r="AZ5" s="737"/>
    </row>
    <row s="10863" customFormat="1" customHeight="1" ht="14.25" hidden="1">
      <c r="A6" s="1638"/>
      <c r="B6" s="1638"/>
      <c r="C6" s="1638"/>
      <c r="D6" s="1638"/>
      <c r="E6" s="2425"/>
      <c r="F6" s="2425"/>
      <c r="G6" s="2425"/>
      <c r="H6" s="2425"/>
      <c r="I6" s="2453">
        <f>S5&amp;".1"</f>
      </c>
      <c r="J6" s="1638"/>
      <c r="K6" s="1638"/>
      <c r="L6" s="1641" t="s">
        <v>1523</v>
      </c>
      <c r="M6" s="747"/>
      <c r="N6" s="747"/>
      <c r="O6" s="747"/>
      <c r="P6" s="2423">
        <v>1</v>
      </c>
      <c r="Q6" s="1626"/>
      <c r="R6" s="577"/>
      <c r="S6" s="1300"/>
      <c r="T6" s="1679"/>
      <c r="U6" s="1680"/>
      <c r="V6" s="2464"/>
      <c r="W6" s="2464"/>
      <c r="X6" s="2464"/>
      <c r="Y6" s="2464"/>
      <c r="Z6" s="2464"/>
      <c r="AA6" s="2465"/>
      <c r="AB6" s="2463"/>
      <c r="AC6" s="2464"/>
      <c r="AD6" s="2464"/>
      <c r="AE6" s="2464"/>
      <c r="AF6" s="2464"/>
      <c r="AG6" s="2464"/>
      <c r="AH6" s="2464"/>
      <c r="AI6" s="2464"/>
      <c r="AJ6" s="2464"/>
      <c r="AK6" s="2464"/>
      <c r="AL6" s="2464"/>
      <c r="AM6" s="2464"/>
      <c r="AN6" s="2464"/>
      <c r="AO6" s="2464"/>
      <c r="AP6" s="2464"/>
      <c r="AQ6" s="2464"/>
      <c r="AR6" s="2464"/>
      <c r="AS6" s="2464"/>
      <c r="AT6" s="2465"/>
      <c r="AU6" s="1681"/>
      <c r="AW6" s="737"/>
      <c r="AX6" s="737" t="str">
        <f>IF(T6="","",T6)</f>
        <v/>
      </c>
      <c r="AY6" s="737"/>
      <c r="AZ6" s="737"/>
    </row>
    <row s="10863" customFormat="1" customHeight="1" ht="14.25" hidden="1">
      <c r="A7" s="1638"/>
      <c r="B7" s="1638"/>
      <c r="C7" s="1638"/>
      <c r="D7" s="1638"/>
      <c r="E7" s="2425"/>
      <c r="F7" s="2425"/>
      <c r="G7" s="2425"/>
      <c r="H7" s="2425"/>
      <c r="I7" s="2454"/>
      <c r="J7" s="2422">
        <f>S5&amp;".1"</f>
      </c>
      <c r="K7" s="1638"/>
      <c r="L7" s="1641"/>
      <c r="M7" s="747"/>
      <c r="N7" s="747"/>
      <c r="O7" s="747"/>
      <c r="P7" s="2423"/>
      <c r="Q7" s="2423">
        <v>1</v>
      </c>
      <c r="R7" s="578"/>
      <c r="S7" s="1300"/>
      <c r="T7" s="1695"/>
      <c r="U7" s="1680"/>
      <c r="V7" s="2464"/>
      <c r="W7" s="2464"/>
      <c r="X7" s="2464"/>
      <c r="Y7" s="2464"/>
      <c r="Z7" s="2464"/>
      <c r="AA7" s="2465"/>
      <c r="AB7" s="2463"/>
      <c r="AC7" s="2464"/>
      <c r="AD7" s="2464"/>
      <c r="AE7" s="2464"/>
      <c r="AF7" s="2464"/>
      <c r="AG7" s="2464"/>
      <c r="AH7" s="2464"/>
      <c r="AI7" s="2464"/>
      <c r="AJ7" s="2464"/>
      <c r="AK7" s="2464"/>
      <c r="AL7" s="2464"/>
      <c r="AM7" s="2464"/>
      <c r="AN7" s="2464"/>
      <c r="AO7" s="2464"/>
      <c r="AP7" s="2464"/>
      <c r="AQ7" s="2464"/>
      <c r="AR7" s="2464"/>
      <c r="AS7" s="2464"/>
      <c r="AT7" s="2465"/>
      <c r="AU7" s="1681"/>
      <c r="AW7" s="737"/>
      <c r="AX7" s="737" t="str">
        <f>IF(T7="","",T7)</f>
        <v/>
      </c>
      <c r="AY7" s="737"/>
      <c r="AZ7" s="737"/>
    </row>
    <row customHeight="1" ht="21" hidden="1">
      <c r="A8" s="1659"/>
      <c r="B8" s="1659"/>
      <c r="C8" s="1659"/>
      <c r="D8" s="1659"/>
      <c r="E8" s="2425"/>
      <c r="F8" s="2425"/>
      <c r="G8" s="2425"/>
      <c r="H8" s="2425"/>
      <c r="I8" s="2454"/>
      <c r="J8" s="2455"/>
      <c r="K8" s="2422">
        <f>S5&amp;".1"</f>
      </c>
      <c r="L8" s="1660"/>
      <c r="P8" s="2423"/>
      <c r="Q8" s="2423"/>
      <c r="R8" s="2513">
        <v>1</v>
      </c>
      <c r="S8" s="2507">
        <f>$K8</f>
      </c>
      <c r="T8" s="2510"/>
      <c r="U8" s="510"/>
      <c r="V8" s="4065"/>
      <c r="W8" s="4067"/>
      <c r="X8" s="2430"/>
      <c r="Y8" s="2142" t="s">
        <v>67</v>
      </c>
      <c r="Z8" s="2430"/>
      <c r="AA8" s="2142" t="s">
        <v>67</v>
      </c>
      <c r="AB8" s="2142" t="s">
        <v>57</v>
      </c>
      <c r="AC8" s="2496"/>
      <c r="AD8" s="2497">
        <v>1</v>
      </c>
      <c r="AE8" s="2498"/>
      <c r="AF8" s="2142" t="s">
        <v>57</v>
      </c>
      <c r="AG8" s="2496"/>
      <c r="AH8" s="2497">
        <v>1</v>
      </c>
      <c r="AI8" s="2498"/>
      <c r="AJ8" s="2142" t="s">
        <v>57</v>
      </c>
      <c r="AK8" s="523"/>
      <c r="AL8" s="1632">
        <v>1</v>
      </c>
      <c r="AM8" s="1694"/>
      <c r="AN8" s="4065"/>
      <c r="AO8" s="4067"/>
      <c r="AP8" s="2049"/>
      <c r="AQ8" s="1756" t="s">
        <v>67</v>
      </c>
      <c r="AR8" s="2049"/>
      <c r="AS8" s="1756" t="s">
        <v>67</v>
      </c>
      <c r="AT8" s="4166"/>
      <c r="AU8" s="2419" t="s">
        <v>1593</v>
      </c>
      <c r="AV8" s="748">
        <f>STRCHECKDATE(V11:AT11)</f>
      </c>
      <c r="AW8" s="737"/>
      <c r="AX8" s="737" t="str">
        <f>IF(T8="","",T8)</f>
        <v/>
      </c>
      <c r="AY8" s="737"/>
      <c r="AZ8" s="737"/>
    </row>
    <row customHeight="1" ht="11.25" hidden="1">
      <c r="A9" s="1659"/>
      <c r="B9" s="1659"/>
      <c r="C9" s="1659"/>
      <c r="D9" s="1659"/>
      <c r="E9" s="2425"/>
      <c r="F9" s="2425"/>
      <c r="G9" s="2425"/>
      <c r="H9" s="2425"/>
      <c r="I9" s="2454"/>
      <c r="J9" s="2455"/>
      <c r="K9" s="2422"/>
      <c r="L9" s="1660"/>
      <c r="P9" s="2423"/>
      <c r="Q9" s="2423"/>
      <c r="R9" s="2513"/>
      <c r="S9" s="2508"/>
      <c r="T9" s="2511"/>
      <c r="U9" s="510"/>
      <c r="V9" s="4225"/>
      <c r="W9" s="4279"/>
      <c r="X9" s="2430"/>
      <c r="Y9" s="2142"/>
      <c r="Z9" s="2430"/>
      <c r="AA9" s="2142"/>
      <c r="AB9" s="2142"/>
      <c r="AC9" s="2496"/>
      <c r="AD9" s="2497"/>
      <c r="AE9" s="2498"/>
      <c r="AF9" s="2142"/>
      <c r="AG9" s="2496"/>
      <c r="AH9" s="2497"/>
      <c r="AI9" s="2498"/>
      <c r="AJ9" s="2142"/>
      <c r="AK9" s="530"/>
      <c r="AL9" s="652"/>
      <c r="AM9" s="651" t="s">
        <v>1594</v>
      </c>
      <c r="AN9" s="4225"/>
      <c r="AO9" s="4281"/>
      <c r="AP9" s="4225"/>
      <c r="AQ9" s="4225"/>
      <c r="AR9" s="4225"/>
      <c r="AS9" s="4225"/>
      <c r="AT9" s="4282"/>
      <c r="AU9" s="2420"/>
      <c r="AW9" s="737"/>
      <c r="AX9" s="737"/>
      <c r="AY9" s="737"/>
      <c r="AZ9" s="737"/>
    </row>
    <row customHeight="1" ht="11.25" hidden="1">
      <c r="A10" s="1659"/>
      <c r="B10" s="1659"/>
      <c r="C10" s="1659"/>
      <c r="D10" s="1659"/>
      <c r="E10" s="2425"/>
      <c r="F10" s="2425"/>
      <c r="G10" s="2425"/>
      <c r="H10" s="2425"/>
      <c r="I10" s="2454"/>
      <c r="J10" s="2455"/>
      <c r="K10" s="2422"/>
      <c r="L10" s="1660"/>
      <c r="P10" s="2423"/>
      <c r="Q10" s="2423"/>
      <c r="R10" s="2513"/>
      <c r="S10" s="2508"/>
      <c r="T10" s="2511"/>
      <c r="U10" s="510"/>
      <c r="V10" s="4225"/>
      <c r="W10" s="4279"/>
      <c r="X10" s="2430"/>
      <c r="Y10" s="2142"/>
      <c r="Z10" s="2430"/>
      <c r="AA10" s="2142"/>
      <c r="AB10" s="2142"/>
      <c r="AC10" s="2496"/>
      <c r="AD10" s="2497"/>
      <c r="AE10" s="2498"/>
      <c r="AF10" s="2142"/>
      <c r="AG10" s="504"/>
      <c r="AH10" s="651"/>
      <c r="AI10" s="651" t="s">
        <v>1595</v>
      </c>
      <c r="AJ10" s="4225"/>
      <c r="AK10" s="4225"/>
      <c r="AL10" s="4225"/>
      <c r="AM10" s="4225"/>
      <c r="AN10" s="4225"/>
      <c r="AO10" s="4281"/>
      <c r="AP10" s="4225"/>
      <c r="AQ10" s="4225"/>
      <c r="AR10" s="4225"/>
      <c r="AS10" s="4225"/>
      <c r="AT10" s="4282"/>
      <c r="AU10" s="2420"/>
      <c r="AW10" s="737"/>
      <c r="AX10" s="737"/>
      <c r="AY10" s="737"/>
      <c r="AZ10" s="737"/>
    </row>
    <row customHeight="1" ht="11.25" hidden="1">
      <c r="A11" s="1659"/>
      <c r="B11" s="1659"/>
      <c r="C11" s="1659"/>
      <c r="D11" s="1659"/>
      <c r="E11" s="2425"/>
      <c r="F11" s="2425"/>
      <c r="G11" s="2425"/>
      <c r="H11" s="2425"/>
      <c r="I11" s="2454"/>
      <c r="J11" s="2455"/>
      <c r="K11" s="2422"/>
      <c r="L11" s="1660"/>
      <c r="P11" s="2423"/>
      <c r="Q11" s="2423"/>
      <c r="R11" s="2513"/>
      <c r="S11" s="2509"/>
      <c r="T11" s="2512"/>
      <c r="U11" s="510"/>
      <c r="V11" s="4225"/>
      <c r="W11" s="4286" t="str">
        <f>X8&amp;"-"&amp;Z8</f>
        <v>-</v>
      </c>
      <c r="X11" s="2431"/>
      <c r="Y11" s="2142"/>
      <c r="Z11" s="2431"/>
      <c r="AA11" s="2142"/>
      <c r="AB11" s="2142"/>
      <c r="AC11" s="524"/>
      <c r="AD11" s="526"/>
      <c r="AE11" s="651" t="s">
        <v>1596</v>
      </c>
      <c r="AF11" s="4225"/>
      <c r="AG11" s="4225"/>
      <c r="AH11" s="4225"/>
      <c r="AI11" s="4225"/>
      <c r="AJ11" s="4225"/>
      <c r="AK11" s="4225"/>
      <c r="AL11" s="4225"/>
      <c r="AM11" s="4225"/>
      <c r="AN11" s="4225"/>
      <c r="AO11" s="4226" t="str">
        <f>AP8&amp;"-"&amp;AR8</f>
        <v>-</v>
      </c>
      <c r="AP11" s="4225"/>
      <c r="AQ11" s="4225"/>
      <c r="AR11" s="4225"/>
      <c r="AS11" s="4225"/>
      <c r="AT11" s="4169"/>
      <c r="AU11" s="2420"/>
      <c r="AW11" s="737"/>
      <c r="AX11" s="737" t="str">
        <f>IF(T11="","",T11)</f>
        <v/>
      </c>
      <c r="AY11" s="737"/>
      <c r="AZ11" s="737"/>
    </row>
    <row customHeight="1" ht="11.25" hidden="1">
      <c r="A12" s="1659"/>
      <c r="B12" s="1659"/>
      <c r="C12" s="1659"/>
      <c r="D12" s="1659"/>
      <c r="E12" s="2425"/>
      <c r="F12" s="2425"/>
      <c r="G12" s="2425"/>
      <c r="H12" s="2425"/>
      <c r="I12" s="2454"/>
      <c r="J12" s="2422"/>
      <c r="K12" s="1659"/>
      <c r="L12" s="1660"/>
      <c r="P12" s="2423"/>
      <c r="Q12" s="2423"/>
      <c r="R12" s="577"/>
      <c r="S12" s="1568"/>
      <c r="T12" s="497" t="s">
        <v>1597</v>
      </c>
      <c r="U12" s="592"/>
      <c r="V12" s="592"/>
      <c r="W12" s="592"/>
      <c r="X12" s="592"/>
      <c r="Y12" s="592"/>
      <c r="Z12" s="592"/>
      <c r="AA12" s="592"/>
      <c r="AB12" s="592"/>
      <c r="AC12" s="592"/>
      <c r="AD12" s="592"/>
      <c r="AE12" s="592"/>
      <c r="AF12" s="592"/>
      <c r="AG12" s="592"/>
      <c r="AH12" s="592"/>
      <c r="AI12" s="592"/>
      <c r="AJ12" s="592"/>
      <c r="AK12" s="592"/>
      <c r="AL12" s="592"/>
      <c r="AM12" s="592"/>
      <c r="AN12" s="592"/>
      <c r="AO12" s="592"/>
      <c r="AP12" s="592"/>
      <c r="AQ12" s="592"/>
      <c r="AR12" s="592"/>
      <c r="AS12" s="592"/>
      <c r="AT12" s="544"/>
      <c r="AU12" s="2421"/>
      <c r="AW12" s="737"/>
      <c r="AX12" s="737" t="str">
        <f>IF(T12="","",T12)</f>
        <v>Добавить строку</v>
      </c>
      <c r="AY12" s="737"/>
      <c r="AZ12" s="737"/>
    </row>
    <row s="10863" customFormat="1" customHeight="1" ht="14.25" hidden="1">
      <c r="A13" s="1638"/>
      <c r="B13" s="1638"/>
      <c r="C13" s="1638"/>
      <c r="D13" s="1638"/>
      <c r="E13" s="2425"/>
      <c r="F13" s="2425"/>
      <c r="G13" s="2425"/>
      <c r="H13" s="2425"/>
      <c r="I13" s="2453"/>
      <c r="J13" s="1638"/>
      <c r="K13" s="1638"/>
      <c r="L13" s="1641"/>
      <c r="M13" s="747"/>
      <c r="N13" s="747"/>
      <c r="O13" s="747"/>
      <c r="P13" s="2423"/>
      <c r="Q13" s="1626"/>
      <c r="R13" s="577"/>
      <c r="S13" s="1682"/>
      <c r="T13" s="1683"/>
      <c r="U13" s="1684"/>
      <c r="V13" s="1684"/>
      <c r="W13" s="1684"/>
      <c r="X13" s="1684"/>
      <c r="Y13" s="1684"/>
      <c r="Z13" s="1684"/>
      <c r="AA13" s="1684"/>
      <c r="AB13" s="1684"/>
      <c r="AC13" s="1684"/>
      <c r="AD13" s="1684"/>
      <c r="AE13" s="1684"/>
      <c r="AF13" s="1684"/>
      <c r="AG13" s="1684"/>
      <c r="AH13" s="1684"/>
      <c r="AI13" s="1684"/>
      <c r="AJ13" s="1684"/>
      <c r="AK13" s="1684"/>
      <c r="AL13" s="1684"/>
      <c r="AM13" s="1684"/>
      <c r="AN13" s="1684"/>
      <c r="AO13" s="1684"/>
      <c r="AP13" s="1684"/>
      <c r="AQ13" s="1684"/>
      <c r="AR13" s="1684"/>
      <c r="AS13" s="1684"/>
      <c r="AT13" s="1684"/>
      <c r="AU13" s="1685"/>
      <c r="AW13" s="737"/>
      <c r="AX13" s="737" t="str">
        <f>IF(T13="","",T13)</f>
        <v/>
      </c>
      <c r="AY13" s="737"/>
      <c r="AZ13" s="737"/>
    </row>
    <row s="10863" customFormat="1" customHeight="1" ht="14.25" hidden="1">
      <c r="A14" s="1638"/>
      <c r="B14" s="1638"/>
      <c r="C14" s="1638"/>
      <c r="D14" s="1638"/>
      <c r="E14" s="2425"/>
      <c r="F14" s="2425"/>
      <c r="G14" s="2425"/>
      <c r="H14" s="2424"/>
      <c r="I14" s="1638"/>
      <c r="J14" s="1638"/>
      <c r="K14" s="1638"/>
      <c r="L14" s="1641"/>
      <c r="M14" s="1610"/>
      <c r="N14" s="1610"/>
      <c r="O14" s="755"/>
      <c r="P14" s="610"/>
      <c r="Q14" s="1639"/>
      <c r="R14" s="1697"/>
      <c r="S14" s="1682"/>
      <c r="T14" s="1683"/>
      <c r="U14" s="1684"/>
      <c r="V14" s="1684"/>
      <c r="W14" s="1684"/>
      <c r="X14" s="1684"/>
      <c r="Y14" s="1684"/>
      <c r="Z14" s="1684"/>
      <c r="AA14" s="1684"/>
      <c r="AB14" s="1684"/>
      <c r="AC14" s="1684"/>
      <c r="AD14" s="1684"/>
      <c r="AE14" s="1684"/>
      <c r="AF14" s="1684"/>
      <c r="AG14" s="1684"/>
      <c r="AH14" s="1684"/>
      <c r="AI14" s="1684"/>
      <c r="AJ14" s="1684"/>
      <c r="AK14" s="1684"/>
      <c r="AL14" s="1684"/>
      <c r="AM14" s="1684"/>
      <c r="AN14" s="1684"/>
      <c r="AO14" s="1684"/>
      <c r="AP14" s="1684"/>
      <c r="AQ14" s="1684"/>
      <c r="AR14" s="1684"/>
      <c r="AS14" s="1684"/>
      <c r="AT14" s="1684"/>
      <c r="AU14" s="1685"/>
      <c r="AW14" s="737"/>
      <c r="AX14" s="737" t="str">
        <f>IF(T14="","",T14)</f>
        <v/>
      </c>
      <c r="AY14" s="737"/>
      <c r="AZ14" s="737"/>
    </row>
    <row s="10863" customFormat="1" customHeight="1" ht="14.25" hidden="1">
      <c r="A15" s="1638"/>
      <c r="B15" s="1638"/>
      <c r="C15" s="1638"/>
      <c r="D15" s="1609"/>
      <c r="E15" s="2425"/>
      <c r="F15" s="2425"/>
      <c r="G15" s="2424"/>
      <c r="H15" s="1609"/>
      <c r="I15" s="1609"/>
      <c r="J15" s="1609"/>
      <c r="K15" s="1609"/>
      <c r="L15" s="1634"/>
      <c r="M15" s="1610"/>
      <c r="N15" s="1610"/>
      <c r="P15" s="1611"/>
      <c r="Q15" s="1612"/>
      <c r="R15" s="1611"/>
      <c r="S15" s="1617"/>
      <c r="T15" s="1620" t="s">
        <v>1492</v>
      </c>
      <c r="U15" s="1619"/>
      <c r="V15" s="1619"/>
      <c r="W15" s="1619"/>
      <c r="X15" s="1619"/>
      <c r="Y15" s="1619"/>
      <c r="Z15" s="1619"/>
      <c r="AA15" s="1619"/>
      <c r="AB15" s="1619"/>
      <c r="AC15" s="1619"/>
      <c r="AD15" s="1619"/>
      <c r="AE15" s="1619"/>
      <c r="AF15" s="1619"/>
      <c r="AG15" s="1619"/>
      <c r="AH15" s="1619"/>
      <c r="AI15" s="1619"/>
      <c r="AJ15" s="1619"/>
      <c r="AK15" s="1619"/>
      <c r="AL15" s="1619"/>
      <c r="AM15" s="1619"/>
      <c r="AN15" s="1619"/>
      <c r="AO15" s="1619"/>
      <c r="AP15" s="1619"/>
      <c r="AQ15" s="1619"/>
      <c r="AR15" s="1619"/>
      <c r="AS15" s="1619"/>
      <c r="AT15" s="1619"/>
      <c r="AU15" s="1619"/>
      <c r="AW15" s="1029"/>
      <c r="AX15" s="1029" t="str">
        <f>IF(T15="","",T15)</f>
        <v>Добавить источник для дифференциации</v>
      </c>
      <c r="AY15" s="1029"/>
      <c r="AZ15" s="1029"/>
    </row>
    <row s="10863" customFormat="1" customHeight="1" ht="14.25" hidden="1">
      <c r="A16" s="1638"/>
      <c r="B16" s="1638"/>
      <c r="C16" s="1609"/>
      <c r="D16" s="1609"/>
      <c r="E16" s="2425"/>
      <c r="F16" s="2424"/>
      <c r="G16" s="1609"/>
      <c r="H16" s="1609"/>
      <c r="I16" s="1609"/>
      <c r="J16" s="1609"/>
      <c r="K16" s="1609"/>
      <c r="L16" s="1634"/>
      <c r="M16" s="1616"/>
      <c r="N16" s="1616"/>
      <c r="P16" s="1611"/>
      <c r="Q16" s="1612"/>
      <c r="R16" s="1611"/>
      <c r="S16" s="1617"/>
      <c r="T16" s="1620" t="s">
        <v>1493</v>
      </c>
      <c r="U16" s="1619"/>
      <c r="V16" s="1619"/>
      <c r="W16" s="1619"/>
      <c r="X16" s="1619"/>
      <c r="Y16" s="1619"/>
      <c r="Z16" s="1619"/>
      <c r="AA16" s="1619"/>
      <c r="AB16" s="1619"/>
      <c r="AC16" s="1619"/>
      <c r="AD16" s="1619"/>
      <c r="AE16" s="1619"/>
      <c r="AF16" s="1619"/>
      <c r="AG16" s="1619"/>
      <c r="AH16" s="1619"/>
      <c r="AI16" s="1619"/>
      <c r="AJ16" s="1619"/>
      <c r="AK16" s="1619"/>
      <c r="AL16" s="1619"/>
      <c r="AM16" s="1619"/>
      <c r="AN16" s="1619"/>
      <c r="AO16" s="1619"/>
      <c r="AP16" s="1619"/>
      <c r="AQ16" s="1619"/>
      <c r="AR16" s="1619"/>
      <c r="AS16" s="1619"/>
      <c r="AT16" s="1619"/>
      <c r="AU16" s="1619"/>
      <c r="AW16" s="1029"/>
      <c r="AX16" s="1029" t="str">
        <f>IF(T16="","",T16)</f>
        <v>Добавить централизованную систему для дифференциации</v>
      </c>
      <c r="AY16" s="1029"/>
      <c r="AZ16" s="1029"/>
    </row>
    <row s="10863" customFormat="1" customHeight="1" ht="14.25" hidden="1">
      <c r="A17" s="1638"/>
      <c r="B17" s="1638"/>
      <c r="C17" s="1638"/>
      <c r="D17" s="1638"/>
      <c r="E17" s="2424"/>
      <c r="F17" s="1638"/>
      <c r="G17" s="1638"/>
      <c r="H17" s="1638"/>
      <c r="I17" s="1638"/>
      <c r="J17" s="1638"/>
      <c r="K17" s="1638"/>
      <c r="L17" s="1641"/>
      <c r="M17" s="1616"/>
      <c r="N17" s="1616"/>
      <c r="O17" s="755"/>
      <c r="P17" s="610"/>
      <c r="Q17" s="1639"/>
      <c r="R17" s="610"/>
      <c r="S17" s="1617"/>
      <c r="T17" s="1620" t="s">
        <v>1494</v>
      </c>
      <c r="U17" s="1619"/>
      <c r="V17" s="1619"/>
      <c r="W17" s="1619"/>
      <c r="X17" s="1619"/>
      <c r="Y17" s="1619"/>
      <c r="Z17" s="1619"/>
      <c r="AA17" s="1619"/>
      <c r="AB17" s="1619"/>
      <c r="AC17" s="1619"/>
      <c r="AD17" s="1619"/>
      <c r="AE17" s="1619"/>
      <c r="AF17" s="1619"/>
      <c r="AG17" s="1619"/>
      <c r="AH17" s="1619"/>
      <c r="AI17" s="1619"/>
      <c r="AJ17" s="1619"/>
      <c r="AK17" s="1619"/>
      <c r="AL17" s="1619"/>
      <c r="AM17" s="1619"/>
      <c r="AN17" s="1619"/>
      <c r="AO17" s="1619"/>
      <c r="AP17" s="1619"/>
      <c r="AQ17" s="1619"/>
      <c r="AR17" s="1619"/>
      <c r="AS17" s="1619"/>
      <c r="AT17" s="1619"/>
      <c r="AU17" s="1619"/>
      <c r="AW17" s="737"/>
      <c r="AX17" s="737" t="str">
        <f>IF(T17="","",T17)</f>
        <v>Добавить территорию для дифференциации</v>
      </c>
      <c r="AY17" s="737"/>
      <c r="AZ17" s="737"/>
    </row>
    <row customHeight="1" ht="14.25" hidden="1">
      <c r="AA18" s="548"/>
      <c r="AS18" s="548"/>
    </row>
    <row customHeight="1" ht="14.25" hidden="1">
      <c r="AB19" s="1619" t="s">
        <v>57</v>
      </c>
      <c r="AC19" s="1798"/>
      <c r="AD19" s="785">
        <v>1</v>
      </c>
      <c r="AE19" s="1799"/>
      <c r="AF19" s="1619" t="s">
        <v>57</v>
      </c>
      <c r="AG19" s="1798"/>
      <c r="AH19" s="785">
        <v>1</v>
      </c>
      <c r="AI19" s="1799"/>
      <c r="AJ19" s="1619" t="s">
        <v>57</v>
      </c>
      <c r="AK19" s="1800"/>
      <c r="AL19" s="785">
        <v>1</v>
      </c>
      <c r="AM19" s="1803"/>
      <c r="AN19" s="4295"/>
      <c r="AO19" s="4296"/>
      <c r="AP19" s="2051"/>
      <c r="AQ19" s="1757" t="s">
        <v>67</v>
      </c>
      <c r="AR19" s="2051"/>
      <c r="AS19" s="1757" t="s">
        <v>67</v>
      </c>
    </row>
    <row customHeight="1" ht="14.25" hidden="1">
      <c r="AV20" s="733"/>
      <c r="AW20" s="733"/>
      <c r="AX20" s="733"/>
      <c r="AY20" s="733"/>
      <c r="AZ20" s="733"/>
    </row>
    <row customHeight="1" ht="14.25" hidden="1">
      <c r="O21" s="1663" t="s">
        <v>1534</v>
      </c>
      <c r="X21" s="1640"/>
      <c r="Z21" s="1640"/>
      <c r="AA21" s="548"/>
      <c r="AP21" s="1640"/>
      <c r="AR21" s="1640"/>
      <c r="AS21" s="548"/>
      <c r="AV21" s="733"/>
      <c r="AW21" s="733"/>
      <c r="AX21" s="733"/>
      <c r="AY21" s="733"/>
      <c r="AZ21" s="733"/>
    </row>
    <row customHeight="1" ht="14.25" hidden="1">
      <c r="AA22" s="548"/>
      <c r="AS22" s="548"/>
      <c r="AV22" s="733"/>
      <c r="AW22" s="733"/>
      <c r="AX22" s="733"/>
      <c r="AY22" s="733"/>
      <c r="AZ22" s="733"/>
    </row>
    <row s="9928" customFormat="1" customHeight="1" ht="14.25" hidden="1">
      <c r="M23" s="1805"/>
      <c r="N23" s="1805"/>
      <c r="O23" s="1806" t="s">
        <v>1535</v>
      </c>
      <c r="P23" s="1805"/>
      <c r="Q23" s="1807"/>
      <c r="R23" s="1807"/>
      <c r="Y23" s="1804" t="s">
        <v>1537</v>
      </c>
      <c r="AA23" s="1804" t="s">
        <v>1538</v>
      </c>
      <c r="AB23" s="1804" t="s">
        <v>1598</v>
      </c>
      <c r="AE23" s="1804" t="s">
        <v>1599</v>
      </c>
      <c r="AF23" s="1804" t="s">
        <v>1598</v>
      </c>
      <c r="AI23" s="1804" t="s">
        <v>1600</v>
      </c>
      <c r="AJ23" s="1804" t="s">
        <v>1598</v>
      </c>
      <c r="AM23" s="1804" t="s">
        <v>1601</v>
      </c>
      <c r="AQ23" s="1804" t="s">
        <v>1537</v>
      </c>
      <c r="AS23" s="1804" t="s">
        <v>1538</v>
      </c>
      <c r="AV23" s="1808"/>
      <c r="AW23" s="1808"/>
      <c r="AX23" s="1808"/>
      <c r="AY23" s="1808"/>
      <c r="AZ23" s="1808"/>
    </row>
    <row customHeight="1" ht="14.25" hidden="1">
      <c r="O24" s="1660"/>
      <c r="AV24" s="733"/>
      <c r="AW24" s="733"/>
      <c r="AX24" s="733"/>
      <c r="AY24" s="733"/>
      <c r="AZ24" s="733"/>
    </row>
    <row customHeight="1" ht="14.25" hidden="1">
      <c r="O25" s="1660"/>
      <c r="AV25" s="733"/>
      <c r="AW25" s="733"/>
      <c r="AX25" s="733"/>
      <c r="AY25" s="733"/>
      <c r="AZ25" s="733"/>
    </row>
    <row customHeight="1" ht="14.25">
      <c r="Q26" s="501"/>
      <c r="R26" s="602"/>
      <c r="S26" s="1565"/>
      <c r="T26" s="586"/>
      <c r="U26" s="586"/>
      <c r="V26" s="746"/>
      <c r="W26" s="746"/>
      <c r="X26" s="746"/>
      <c r="Y26" s="746"/>
      <c r="Z26" s="746"/>
      <c r="AA26" s="746"/>
      <c r="AB26" s="746"/>
      <c r="AC26" s="746"/>
      <c r="AD26" s="746"/>
      <c r="AE26" s="746"/>
      <c r="AF26" s="746"/>
      <c r="AG26" s="746"/>
      <c r="AH26" s="746"/>
      <c r="AI26" s="746"/>
      <c r="AJ26" s="746"/>
      <c r="AK26" s="746"/>
      <c r="AL26" s="746"/>
      <c r="AM26" s="746"/>
      <c r="AN26" s="746"/>
      <c r="AO26" s="746"/>
      <c r="AP26" s="746"/>
      <c r="AQ26" s="746"/>
      <c r="AR26" s="746"/>
      <c r="AS26" s="746"/>
    </row>
    <row customHeight="1" ht="33.75">
      <c r="Q27" s="501"/>
      <c r="R27" s="602"/>
      <c r="S27" s="2414" t="str">
        <f>IF(TEMPLATE_GROUP="P",PT_P_FORM_HEAT_7_NAME_FORM,PT_R_FORM_HEAT_24_NAME_FORM)</f>
        <v>Форма 24. Информация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23.4 Федерального закона "О теплоснабжении" </v>
      </c>
      <c r="T27" s="2414"/>
      <c r="U27" s="2414"/>
      <c r="V27" s="2414"/>
      <c r="W27" s="2414"/>
      <c r="X27" s="2414"/>
      <c r="Y27" s="2414"/>
      <c r="Z27" s="2414"/>
      <c r="AA27" s="2414"/>
      <c r="AB27" s="2414"/>
      <c r="AC27" s="2414"/>
      <c r="AD27" s="2414"/>
      <c r="AE27" s="2414"/>
      <c r="AF27" s="2414"/>
      <c r="AG27" s="2414"/>
      <c r="AH27" s="2414"/>
      <c r="AI27" s="2414"/>
      <c r="AJ27" s="2414"/>
      <c r="AK27" s="2414"/>
      <c r="AL27" s="2414"/>
      <c r="AM27" s="2414"/>
      <c r="AN27" s="2414"/>
      <c r="AO27" s="2414"/>
      <c r="AP27" s="2414"/>
      <c r="AQ27" s="2414"/>
      <c r="AR27" s="2414"/>
      <c r="AS27" s="1521"/>
    </row>
    <row customHeight="1" ht="14.25">
      <c r="Q28" s="501"/>
      <c r="R28" s="602"/>
      <c r="S28" s="2415" t="str">
        <f>IF(org=0,"Не определено",org)</f>
        <v>ООО "СамРЭК-Тепло Жигулевск"</v>
      </c>
      <c r="T28" s="2415"/>
      <c r="U28" s="2415"/>
      <c r="V28" s="2415"/>
      <c r="W28" s="2415"/>
      <c r="X28" s="2415"/>
      <c r="Y28" s="2415"/>
      <c r="Z28" s="2415"/>
      <c r="AA28" s="2415"/>
      <c r="AB28" s="2415"/>
      <c r="AC28" s="2415"/>
      <c r="AD28" s="2415"/>
      <c r="AE28" s="2415"/>
      <c r="AF28" s="2415"/>
      <c r="AG28" s="2415"/>
      <c r="AH28" s="2415"/>
      <c r="AI28" s="2415"/>
      <c r="AJ28" s="2415"/>
      <c r="AK28" s="2415"/>
      <c r="AL28" s="2415"/>
      <c r="AM28" s="2415"/>
      <c r="AN28" s="2415"/>
      <c r="AO28" s="2415"/>
      <c r="AP28" s="2415"/>
      <c r="AQ28" s="2415"/>
      <c r="AR28" s="2415"/>
      <c r="AS28" s="1521"/>
    </row>
    <row customHeight="1" ht="14.25" hidden="1">
      <c r="Q29" s="501"/>
      <c r="R29" s="602"/>
      <c r="S29" s="1565"/>
      <c r="T29" s="586"/>
      <c r="U29" s="586"/>
      <c r="V29" s="541"/>
      <c r="W29" s="541"/>
      <c r="X29" s="541"/>
      <c r="Y29" s="541"/>
      <c r="Z29" s="541"/>
      <c r="AA29" s="541"/>
      <c r="AB29" s="541"/>
      <c r="AC29" s="541"/>
      <c r="AD29" s="541"/>
      <c r="AE29" s="541"/>
      <c r="AF29" s="541"/>
      <c r="AG29" s="541"/>
      <c r="AH29" s="541"/>
      <c r="AI29" s="541"/>
      <c r="AJ29" s="541"/>
      <c r="AK29" s="541"/>
      <c r="AL29" s="541"/>
      <c r="AM29" s="541"/>
      <c r="AN29" s="541"/>
      <c r="AO29" s="541"/>
      <c r="AP29" s="541"/>
      <c r="AQ29" s="541"/>
      <c r="AR29" s="541"/>
      <c r="AS29" s="541"/>
      <c r="AT29" s="746"/>
    </row>
    <row s="10859" customFormat="1" customHeight="1" ht="25.5" hidden="1">
      <c r="A30" s="1664"/>
      <c r="B30" s="1664"/>
      <c r="C30" s="1664"/>
      <c r="D30" s="1664"/>
      <c r="E30" s="1664"/>
      <c r="F30" s="1664"/>
      <c r="G30" s="1664"/>
      <c r="H30" s="1664"/>
      <c r="I30" s="1664"/>
      <c r="J30" s="1664"/>
      <c r="K30" s="1664"/>
      <c r="L30" s="1665"/>
      <c r="M30" s="1664"/>
      <c r="N30" s="1664"/>
      <c r="O30" s="1664"/>
      <c r="P30" s="1664"/>
      <c r="Q30" s="1664"/>
      <c r="S30" s="2416" t="s">
        <v>39</v>
      </c>
      <c r="T30" s="2416"/>
      <c r="U30" s="1668"/>
      <c r="V30" s="2417"/>
      <c r="W30" s="2417"/>
      <c r="X30" s="2417"/>
      <c r="Y30" s="2417"/>
      <c r="Z30" s="2417"/>
      <c r="AA30" s="547"/>
      <c r="AB30" s="2417" t="str">
        <f>IF(TITLE_NAME_OR_PR_CHANGE="",IF(TITLE_NAME_OR_PR="","",TITLE_NAME_OR_PR),TITLE_NAME_OR_PR_CHANGE)</f>
        <v/>
      </c>
      <c r="AC30" s="2417"/>
      <c r="AD30" s="2417"/>
      <c r="AE30" s="2417"/>
      <c r="AF30" s="2417"/>
      <c r="AG30" s="2417"/>
      <c r="AH30" s="2417"/>
      <c r="AI30" s="2417"/>
      <c r="AJ30" s="2417"/>
      <c r="AK30" s="2417"/>
      <c r="AL30" s="2417"/>
      <c r="AM30" s="2417"/>
      <c r="AN30" s="2417"/>
      <c r="AO30" s="2417"/>
      <c r="AP30" s="2417"/>
      <c r="AQ30" s="2417"/>
      <c r="AR30" s="2417"/>
      <c r="AS30" s="547"/>
      <c r="AT30" s="547"/>
      <c r="AU30" s="490"/>
      <c r="AV30" s="593"/>
      <c r="AW30" s="593"/>
      <c r="AX30" s="593"/>
      <c r="AY30" s="593"/>
      <c r="AZ30" s="593"/>
    </row>
    <row s="10859" customFormat="1" customHeight="1" ht="18.75" hidden="1">
      <c r="A31" s="1664"/>
      <c r="B31" s="1664"/>
      <c r="C31" s="1664"/>
      <c r="D31" s="1664"/>
      <c r="E31" s="1664"/>
      <c r="F31" s="1664"/>
      <c r="G31" s="1664"/>
      <c r="H31" s="1664"/>
      <c r="I31" s="1664"/>
      <c r="J31" s="1664"/>
      <c r="K31" s="1664"/>
      <c r="L31" s="1665"/>
      <c r="M31" s="1664"/>
      <c r="N31" s="1664"/>
      <c r="O31" s="1664"/>
      <c r="P31" s="1664"/>
      <c r="Q31" s="1664"/>
      <c r="S31" s="2416" t="s">
        <v>1540</v>
      </c>
      <c r="T31" s="2416"/>
      <c r="U31" s="1668"/>
      <c r="V31" s="2417"/>
      <c r="W31" s="2417"/>
      <c r="X31" s="2417"/>
      <c r="Y31" s="2417"/>
      <c r="Z31" s="2417"/>
      <c r="AA31" s="547"/>
      <c r="AB31" s="2417" t="str">
        <f>IF(TITLE_DATE_CHANGE_PERIOD="",IF(TITLE_DATE_PR="","",TITLE_DATE_PR),TITLE_DATE_CHANGE_PERIOD)</f>
        <v/>
      </c>
      <c r="AC31" s="2417"/>
      <c r="AD31" s="2417"/>
      <c r="AE31" s="2417"/>
      <c r="AF31" s="2417"/>
      <c r="AG31" s="2417"/>
      <c r="AH31" s="2417"/>
      <c r="AI31" s="2417"/>
      <c r="AJ31" s="2417"/>
      <c r="AK31" s="2417"/>
      <c r="AL31" s="2417"/>
      <c r="AM31" s="2417"/>
      <c r="AN31" s="2417"/>
      <c r="AO31" s="2417"/>
      <c r="AP31" s="2417"/>
      <c r="AQ31" s="2417"/>
      <c r="AR31" s="2417"/>
      <c r="AS31" s="547"/>
      <c r="AT31" s="547"/>
      <c r="AU31" s="490"/>
      <c r="AV31" s="593"/>
      <c r="AW31" s="593"/>
      <c r="AX31" s="593"/>
      <c r="AY31" s="593"/>
      <c r="AZ31" s="593"/>
    </row>
    <row s="10859" customFormat="1" customHeight="1" ht="18.75" hidden="1">
      <c r="A32" s="1664"/>
      <c r="B32" s="1664"/>
      <c r="C32" s="1664"/>
      <c r="D32" s="1664"/>
      <c r="E32" s="1664"/>
      <c r="F32" s="1664"/>
      <c r="G32" s="1664"/>
      <c r="H32" s="1664"/>
      <c r="I32" s="1664"/>
      <c r="J32" s="1664"/>
      <c r="K32" s="1664"/>
      <c r="L32" s="1665"/>
      <c r="M32" s="1664"/>
      <c r="N32" s="1664"/>
      <c r="O32" s="1664"/>
      <c r="P32" s="1664"/>
      <c r="Q32" s="1664"/>
      <c r="S32" s="2416" t="s">
        <v>1541</v>
      </c>
      <c r="T32" s="2416"/>
      <c r="U32" s="1668"/>
      <c r="V32" s="2417"/>
      <c r="W32" s="2417"/>
      <c r="X32" s="2417"/>
      <c r="Y32" s="2417"/>
      <c r="Z32" s="2417"/>
      <c r="AA32" s="547"/>
      <c r="AB32" s="2417" t="str">
        <f>IF(TITLE_NUMBER_PR_CHANGE="",IF(TITLE_NUMBER_PR="","",TITLE_NUMBER_PR),TITLE_NUMBER_PR_CHANGE)</f>
        <v/>
      </c>
      <c r="AC32" s="2417"/>
      <c r="AD32" s="2417"/>
      <c r="AE32" s="2417"/>
      <c r="AF32" s="2417"/>
      <c r="AG32" s="2417"/>
      <c r="AH32" s="2417"/>
      <c r="AI32" s="2417"/>
      <c r="AJ32" s="2417"/>
      <c r="AK32" s="2417"/>
      <c r="AL32" s="2417"/>
      <c r="AM32" s="2417"/>
      <c r="AN32" s="2417"/>
      <c r="AO32" s="2417"/>
      <c r="AP32" s="2417"/>
      <c r="AQ32" s="2417"/>
      <c r="AR32" s="2417"/>
      <c r="AS32" s="547"/>
      <c r="AT32" s="547"/>
      <c r="AU32" s="490"/>
      <c r="AV32" s="593"/>
      <c r="AW32" s="593"/>
      <c r="AX32" s="593"/>
      <c r="AY32" s="593"/>
      <c r="AZ32" s="593"/>
    </row>
    <row s="10859" customFormat="1" customHeight="1" ht="18.75" hidden="1">
      <c r="A33" s="1664"/>
      <c r="B33" s="1664"/>
      <c r="C33" s="1664"/>
      <c r="D33" s="1664"/>
      <c r="E33" s="1664"/>
      <c r="F33" s="1664"/>
      <c r="G33" s="1664"/>
      <c r="H33" s="1664"/>
      <c r="I33" s="1664"/>
      <c r="J33" s="1664"/>
      <c r="K33" s="1664"/>
      <c r="L33" s="1665"/>
      <c r="M33" s="1664"/>
      <c r="N33" s="1664"/>
      <c r="O33" s="1664"/>
      <c r="P33" s="1664"/>
      <c r="Q33" s="1664"/>
      <c r="S33" s="2416" t="s">
        <v>40</v>
      </c>
      <c r="T33" s="2416"/>
      <c r="U33" s="1668"/>
      <c r="V33" s="2417"/>
      <c r="W33" s="2417"/>
      <c r="X33" s="2417"/>
      <c r="Y33" s="2417"/>
      <c r="Z33" s="2417"/>
      <c r="AA33" s="547"/>
      <c r="AB33" s="2417" t="str">
        <f>IF(TITLE_IST_PUB_CHANGE="",IF(TITLE_IST_PUB="","",TITLE_IST_PUB),TITLE_IST_PUB_CHANGE)</f>
        <v/>
      </c>
      <c r="AC33" s="2417"/>
      <c r="AD33" s="2417"/>
      <c r="AE33" s="2417"/>
      <c r="AF33" s="2417"/>
      <c r="AG33" s="2417"/>
      <c r="AH33" s="2417"/>
      <c r="AI33" s="2417"/>
      <c r="AJ33" s="2417"/>
      <c r="AK33" s="2417"/>
      <c r="AL33" s="2417"/>
      <c r="AM33" s="2417"/>
      <c r="AN33" s="2417"/>
      <c r="AO33" s="2417"/>
      <c r="AP33" s="2417"/>
      <c r="AQ33" s="2417"/>
      <c r="AR33" s="2417"/>
      <c r="AS33" s="547"/>
      <c r="AT33" s="547"/>
      <c r="AU33" s="490"/>
      <c r="AV33" s="593"/>
      <c r="AW33" s="593"/>
      <c r="AX33" s="593"/>
      <c r="AY33" s="593"/>
      <c r="AZ33" s="593"/>
    </row>
    <row customHeight="1" ht="14.25" hidden="1">
      <c r="Q34" s="501"/>
      <c r="R34" s="602"/>
      <c r="S34" s="1565"/>
      <c r="T34" s="586"/>
      <c r="U34" s="586"/>
      <c r="V34" s="541"/>
      <c r="W34" s="541"/>
      <c r="X34" s="541"/>
      <c r="Y34" s="541"/>
      <c r="Z34" s="541"/>
      <c r="AA34" s="541"/>
      <c r="AB34" s="541"/>
      <c r="AC34" s="541"/>
      <c r="AD34" s="541"/>
      <c r="AE34" s="541"/>
      <c r="AF34" s="541"/>
      <c r="AG34" s="541"/>
      <c r="AH34" s="541"/>
      <c r="AI34" s="541"/>
      <c r="AJ34" s="541"/>
      <c r="AK34" s="541"/>
      <c r="AL34" s="541"/>
      <c r="AM34" s="541"/>
      <c r="AN34" s="541"/>
      <c r="AO34" s="541"/>
      <c r="AP34" s="541"/>
      <c r="AQ34" s="541"/>
      <c r="AR34" s="541"/>
      <c r="AS34" s="541"/>
      <c r="AT34" s="746"/>
    </row>
    <row s="10859" customFormat="1" customHeight="1" ht="18.75" hidden="1">
      <c r="A35" s="1664"/>
      <c r="B35" s="1664"/>
      <c r="C35" s="1664"/>
      <c r="D35" s="1664"/>
      <c r="E35" s="1664"/>
      <c r="F35" s="1664"/>
      <c r="G35" s="1664"/>
      <c r="H35" s="1664"/>
      <c r="I35" s="1664"/>
      <c r="J35" s="1664"/>
      <c r="K35" s="1664"/>
      <c r="L35" s="1665"/>
      <c r="M35" s="1664"/>
      <c r="N35" s="1664"/>
      <c r="O35" s="1664"/>
      <c r="P35" s="1664"/>
      <c r="Q35" s="1664"/>
      <c r="S35" s="2416" t="s">
        <v>1540</v>
      </c>
      <c r="T35" s="2416"/>
      <c r="U35" s="1668"/>
      <c r="V35" s="2417"/>
      <c r="W35" s="2417"/>
      <c r="X35" s="2417"/>
      <c r="Y35" s="2417"/>
      <c r="Z35" s="2417"/>
      <c r="AA35" s="547"/>
      <c r="AB35" s="2417" t="str">
        <f>IF(TITLE_DATE_CHANGE_PERIOD="",IF(TITLE_DATE_PR="","",TITLE_DATE_PR),TITLE_DATE_CHANGE_PERIOD)</f>
        <v/>
      </c>
      <c r="AC35" s="2417"/>
      <c r="AD35" s="2417"/>
      <c r="AE35" s="2417"/>
      <c r="AF35" s="2417"/>
      <c r="AG35" s="2417"/>
      <c r="AH35" s="2417"/>
      <c r="AI35" s="2417"/>
      <c r="AJ35" s="2417"/>
      <c r="AK35" s="2417"/>
      <c r="AL35" s="2417"/>
      <c r="AM35" s="2417"/>
      <c r="AN35" s="2417"/>
      <c r="AO35" s="2417"/>
      <c r="AP35" s="2417"/>
      <c r="AQ35" s="2417"/>
      <c r="AR35" s="2417"/>
      <c r="AS35" s="547"/>
      <c r="AT35" s="547"/>
      <c r="AU35" s="490"/>
      <c r="AV35" s="593"/>
      <c r="AW35" s="593"/>
      <c r="AX35" s="593"/>
      <c r="AY35" s="593"/>
      <c r="AZ35" s="593"/>
    </row>
    <row s="10859" customFormat="1" customHeight="1" ht="18" hidden="1">
      <c r="A36" s="1664"/>
      <c r="B36" s="1664"/>
      <c r="C36" s="1664"/>
      <c r="D36" s="1664"/>
      <c r="E36" s="1664"/>
      <c r="F36" s="1664"/>
      <c r="G36" s="1664"/>
      <c r="H36" s="1664"/>
      <c r="I36" s="1664"/>
      <c r="J36" s="1664"/>
      <c r="K36" s="1664"/>
      <c r="L36" s="1665"/>
      <c r="M36" s="1664"/>
      <c r="N36" s="1664"/>
      <c r="O36" s="1664"/>
      <c r="P36" s="1664"/>
      <c r="Q36" s="1664"/>
      <c r="S36" s="2416" t="s">
        <v>1541</v>
      </c>
      <c r="T36" s="2416"/>
      <c r="U36" s="1668"/>
      <c r="V36" s="2417"/>
      <c r="W36" s="2417"/>
      <c r="X36" s="2417"/>
      <c r="Y36" s="2417"/>
      <c r="Z36" s="2417"/>
      <c r="AA36" s="547"/>
      <c r="AB36" s="2417" t="str">
        <f>IF(TITLE_NUMBER_PR_CHANGE="",IF(TITLE_NUMBER_PR="","",TITLE_NUMBER_PR),TITLE_NUMBER_PR_CHANGE)</f>
        <v/>
      </c>
      <c r="AC36" s="2417"/>
      <c r="AD36" s="2417"/>
      <c r="AE36" s="2417"/>
      <c r="AF36" s="2417"/>
      <c r="AG36" s="2417"/>
      <c r="AH36" s="2417"/>
      <c r="AI36" s="2417"/>
      <c r="AJ36" s="2417"/>
      <c r="AK36" s="2417"/>
      <c r="AL36" s="2417"/>
      <c r="AM36" s="2417"/>
      <c r="AN36" s="2417"/>
      <c r="AO36" s="2417"/>
      <c r="AP36" s="2417"/>
      <c r="AQ36" s="2417"/>
      <c r="AR36" s="2417"/>
      <c r="AS36" s="547"/>
      <c r="AT36" s="547"/>
      <c r="AU36" s="490"/>
      <c r="AV36" s="593"/>
      <c r="AW36" s="593"/>
      <c r="AX36" s="593"/>
      <c r="AY36" s="593"/>
      <c r="AZ36" s="593"/>
    </row>
    <row s="10859" customFormat="1" customHeight="1" ht="0.75">
      <c r="A37" s="1664"/>
      <c r="B37" s="1664"/>
      <c r="C37" s="1664"/>
      <c r="D37" s="1664"/>
      <c r="E37" s="1664"/>
      <c r="F37" s="1664"/>
      <c r="G37" s="1664"/>
      <c r="H37" s="1664"/>
      <c r="I37" s="1664"/>
      <c r="J37" s="1664"/>
      <c r="K37" s="1664"/>
      <c r="L37" s="1665"/>
      <c r="M37" s="1664"/>
      <c r="N37" s="1664"/>
      <c r="O37" s="1664"/>
      <c r="P37" s="1664"/>
      <c r="Q37" s="1664"/>
      <c r="S37" s="543"/>
      <c r="T37" s="543"/>
      <c r="U37" s="1635"/>
      <c r="V37" s="547"/>
      <c r="W37" s="547"/>
      <c r="X37" s="547"/>
      <c r="Y37" s="547"/>
      <c r="Z37" s="547"/>
      <c r="AA37" s="488" t="s">
        <v>1544</v>
      </c>
      <c r="AB37" s="547"/>
      <c r="AC37" s="547"/>
      <c r="AD37" s="547"/>
      <c r="AE37" s="547"/>
      <c r="AF37" s="547"/>
      <c r="AG37" s="547"/>
      <c r="AH37" s="547"/>
      <c r="AI37" s="547"/>
      <c r="AJ37" s="547"/>
      <c r="AK37" s="547"/>
      <c r="AL37" s="547"/>
      <c r="AM37" s="547"/>
      <c r="AN37" s="547"/>
      <c r="AO37" s="547"/>
      <c r="AP37" s="547"/>
      <c r="AQ37" s="547"/>
      <c r="AR37" s="547"/>
      <c r="AS37" s="488" t="s">
        <v>1544</v>
      </c>
      <c r="AV37" s="593"/>
      <c r="AW37" s="593"/>
      <c r="AX37" s="593"/>
      <c r="AY37" s="593"/>
      <c r="AZ37" s="593"/>
    </row>
    <row customHeight="1" ht="14.25">
      <c r="Q38" s="501"/>
      <c r="R38" s="602"/>
      <c r="S38" s="1565"/>
      <c r="T38" s="586"/>
      <c r="U38" s="1522"/>
      <c r="V38" s="2418"/>
      <c r="W38" s="2418"/>
      <c r="X38" s="2418"/>
      <c r="Y38" s="2418"/>
      <c r="Z38" s="2418"/>
      <c r="AA38" s="2418"/>
      <c r="AB38" s="2418"/>
      <c r="AC38" s="2418"/>
      <c r="AD38" s="2418"/>
      <c r="AE38" s="2418"/>
      <c r="AF38" s="2418"/>
      <c r="AG38" s="2418"/>
      <c r="AH38" s="2418"/>
      <c r="AI38" s="2418"/>
      <c r="AJ38" s="2418"/>
      <c r="AK38" s="2418"/>
      <c r="AL38" s="2418"/>
      <c r="AM38" s="2418"/>
      <c r="AN38" s="2418"/>
      <c r="AO38" s="2418"/>
      <c r="AP38" s="2418"/>
      <c r="AQ38" s="2418"/>
      <c r="AR38" s="2418"/>
      <c r="AS38" s="2418"/>
    </row>
    <row customHeight="1" ht="14.25">
      <c r="Q39" s="501"/>
      <c r="R39" s="602"/>
      <c r="S39" s="2277" t="s">
        <v>362</v>
      </c>
      <c r="T39" s="2277"/>
      <c r="U39" s="2277"/>
      <c r="V39" s="2277"/>
      <c r="W39" s="2277"/>
      <c r="X39" s="2277"/>
      <c r="Y39" s="2277"/>
      <c r="Z39" s="2277"/>
      <c r="AA39" s="2277"/>
      <c r="AB39" s="2277"/>
      <c r="AC39" s="2277"/>
      <c r="AD39" s="2277"/>
      <c r="AE39" s="2277"/>
      <c r="AF39" s="2277"/>
      <c r="AG39" s="2277"/>
      <c r="AH39" s="2277"/>
      <c r="AI39" s="2277"/>
      <c r="AJ39" s="2277"/>
      <c r="AK39" s="2277"/>
      <c r="AL39" s="2277"/>
      <c r="AM39" s="2277"/>
      <c r="AN39" s="2277"/>
      <c r="AO39" s="2277"/>
      <c r="AP39" s="2277"/>
      <c r="AQ39" s="2277"/>
      <c r="AR39" s="2277"/>
      <c r="AS39" s="2277"/>
      <c r="AT39" s="2277"/>
      <c r="AU39" s="2277" t="s">
        <v>363</v>
      </c>
    </row>
    <row customHeight="1" ht="14.25">
      <c r="Q40" s="501"/>
      <c r="R40" s="602"/>
      <c r="S40" s="2440" t="s">
        <v>88</v>
      </c>
      <c r="T40" s="2301" t="s">
        <v>1545</v>
      </c>
      <c r="U40" s="511"/>
      <c r="V40" s="2442"/>
      <c r="W40" s="2442"/>
      <c r="X40" s="2442"/>
      <c r="Y40" s="2442"/>
      <c r="Z40" s="2443"/>
      <c r="AA40" s="2444" t="s">
        <v>1547</v>
      </c>
      <c r="AB40" s="2499" t="s">
        <v>1602</v>
      </c>
      <c r="AC40" s="2458"/>
      <c r="AD40" s="2458"/>
      <c r="AE40" s="2500"/>
      <c r="AF40" s="2499" t="s">
        <v>1603</v>
      </c>
      <c r="AG40" s="2458"/>
      <c r="AH40" s="2458"/>
      <c r="AI40" s="2500"/>
      <c r="AJ40" s="2499" t="s">
        <v>1604</v>
      </c>
      <c r="AK40" s="2458"/>
      <c r="AL40" s="2458"/>
      <c r="AM40" s="2500"/>
      <c r="AN40" s="2441" t="s">
        <v>1546</v>
      </c>
      <c r="AO40" s="2442"/>
      <c r="AP40" s="2442"/>
      <c r="AQ40" s="2442"/>
      <c r="AR40" s="2443"/>
      <c r="AS40" s="2444" t="s">
        <v>1547</v>
      </c>
      <c r="AT40" s="2447" t="s">
        <v>1549</v>
      </c>
      <c r="AU40" s="2277"/>
    </row>
    <row customHeight="1" ht="33.75">
      <c r="Q41" s="501"/>
      <c r="R41" s="602"/>
      <c r="S41" s="2440"/>
      <c r="T41" s="2301"/>
      <c r="U41" s="1289"/>
      <c r="V41" s="2290" t="s">
        <v>1605</v>
      </c>
      <c r="W41" s="2291"/>
      <c r="X41" s="2477" t="s">
        <v>1553</v>
      </c>
      <c r="Y41" s="2478"/>
      <c r="Z41" s="2479"/>
      <c r="AA41" s="2445"/>
      <c r="AB41" s="2501"/>
      <c r="AC41" s="2502"/>
      <c r="AD41" s="2502"/>
      <c r="AE41" s="2503"/>
      <c r="AF41" s="2501"/>
      <c r="AG41" s="2502"/>
      <c r="AH41" s="2502"/>
      <c r="AI41" s="2503"/>
      <c r="AJ41" s="2501"/>
      <c r="AK41" s="2502"/>
      <c r="AL41" s="2502"/>
      <c r="AM41" s="2503"/>
      <c r="AN41" s="2290" t="s">
        <v>1605</v>
      </c>
      <c r="AO41" s="2291"/>
      <c r="AP41" s="2477" t="s">
        <v>1553</v>
      </c>
      <c r="AQ41" s="2478"/>
      <c r="AR41" s="2479"/>
      <c r="AS41" s="2445"/>
      <c r="AT41" s="2448"/>
      <c r="AU41" s="2277"/>
    </row>
    <row customHeight="1" ht="14.25">
      <c r="Q42" s="501"/>
      <c r="R42" s="602"/>
      <c r="S42" s="2440"/>
      <c r="T42" s="2301"/>
      <c r="U42" s="1289"/>
      <c r="V42" s="2292"/>
      <c r="W42" s="2293"/>
      <c r="X42" s="2480"/>
      <c r="Y42" s="2481"/>
      <c r="Z42" s="2482"/>
      <c r="AA42" s="2445"/>
      <c r="AB42" s="2501"/>
      <c r="AC42" s="2502"/>
      <c r="AD42" s="2502"/>
      <c r="AE42" s="2503"/>
      <c r="AF42" s="2501"/>
      <c r="AG42" s="2502"/>
      <c r="AH42" s="2502"/>
      <c r="AI42" s="2503"/>
      <c r="AJ42" s="2501"/>
      <c r="AK42" s="2502"/>
      <c r="AL42" s="2502"/>
      <c r="AM42" s="2503"/>
      <c r="AN42" s="2292"/>
      <c r="AO42" s="2293"/>
      <c r="AP42" s="2480"/>
      <c r="AQ42" s="2481"/>
      <c r="AR42" s="2482"/>
      <c r="AS42" s="2445"/>
      <c r="AT42" s="2448"/>
      <c r="AU42" s="2277"/>
    </row>
    <row customHeight="1" ht="14.25">
      <c r="A43" s="1666"/>
      <c r="B43" s="1666" t="s">
        <v>212</v>
      </c>
      <c r="C43" s="1666" t="s">
        <v>213</v>
      </c>
      <c r="D43" s="1666" t="s">
        <v>214</v>
      </c>
      <c r="E43" s="1660" t="s">
        <v>1554</v>
      </c>
      <c r="F43" s="1660" t="s">
        <v>1555</v>
      </c>
      <c r="G43" s="1660" t="s">
        <v>1556</v>
      </c>
      <c r="H43" s="1660" t="s">
        <v>1557</v>
      </c>
      <c r="I43" s="1660" t="s">
        <v>1558</v>
      </c>
      <c r="J43" s="1660" t="s">
        <v>1559</v>
      </c>
      <c r="K43" s="1660" t="s">
        <v>1560</v>
      </c>
      <c r="L43" s="1660" t="s">
        <v>1535</v>
      </c>
      <c r="Q43" s="501"/>
      <c r="R43" s="602"/>
      <c r="S43" s="2440"/>
      <c r="T43" s="2301"/>
      <c r="U43" s="512"/>
      <c r="V43" s="1625" t="s">
        <v>1606</v>
      </c>
      <c r="W43" s="1625" t="s">
        <v>1607</v>
      </c>
      <c r="X43" s="1633" t="s">
        <v>1563</v>
      </c>
      <c r="Y43" s="2437" t="s">
        <v>1564</v>
      </c>
      <c r="Z43" s="2438"/>
      <c r="AA43" s="2446"/>
      <c r="AB43" s="2504"/>
      <c r="AC43" s="2505"/>
      <c r="AD43" s="2505"/>
      <c r="AE43" s="2506"/>
      <c r="AF43" s="2504"/>
      <c r="AG43" s="2505"/>
      <c r="AH43" s="2505"/>
      <c r="AI43" s="2506"/>
      <c r="AJ43" s="2504"/>
      <c r="AK43" s="2505"/>
      <c r="AL43" s="2505"/>
      <c r="AM43" s="2506"/>
      <c r="AN43" s="1625" t="s">
        <v>1606</v>
      </c>
      <c r="AO43" s="1625" t="s">
        <v>1607</v>
      </c>
      <c r="AP43" s="1633" t="s">
        <v>1563</v>
      </c>
      <c r="AQ43" s="2437" t="s">
        <v>1564</v>
      </c>
      <c r="AR43" s="2438"/>
      <c r="AS43" s="2446"/>
      <c r="AT43" s="2449"/>
      <c r="AU43" s="2277"/>
    </row>
    <row s="10822" customFormat="1" customHeight="1" ht="11.25" hidden="1">
      <c r="A44" s="1666"/>
      <c r="B44" s="1666"/>
      <c r="C44" s="1666"/>
      <c r="D44" s="1666"/>
      <c r="E44" s="1666"/>
      <c r="F44" s="1666"/>
      <c r="G44" s="1666"/>
      <c r="H44" s="1666"/>
      <c r="I44" s="1666"/>
      <c r="J44" s="1666"/>
      <c r="K44" s="1666"/>
      <c r="L44" s="1660"/>
      <c r="M44" s="1658"/>
      <c r="N44" s="1658"/>
      <c r="O44" s="1658"/>
      <c r="P44" s="747"/>
      <c r="Q44" s="1540"/>
      <c r="R44" s="1540">
        <v>1</v>
      </c>
      <c r="S44" s="1567" t="s">
        <v>109</v>
      </c>
      <c r="T44" s="1541" t="s">
        <v>110</v>
      </c>
      <c r="U44" s="1523" t="str">
        <f>OFFSET(U44,0,-1)</f>
        <v>2</v>
      </c>
      <c r="V44" s="1630">
        <f>OFFSET(V44,0,-1)+1</f>
        <v>3</v>
      </c>
      <c r="W44" s="1630">
        <f>OFFSET(W44,0,-1)+1</f>
        <v>4</v>
      </c>
      <c r="X44" s="1630">
        <f>OFFSET(X44,0,-1)+1</f>
        <v>5</v>
      </c>
      <c r="Y44" s="2439">
        <f>OFFSET(Y44,0,-1)+1</f>
        <v>6</v>
      </c>
      <c r="Z44" s="2439"/>
      <c r="AA44" s="1630">
        <f>OFFSET(AA44,0,-2)+1</f>
        <v>7</v>
      </c>
      <c r="AB44" s="1630">
        <f>OFFSET(AB44,0,-1)+1</f>
        <v>8</v>
      </c>
      <c r="AC44" s="1630"/>
      <c r="AD44" s="1630"/>
      <c r="AE44" s="1630"/>
      <c r="AF44" s="1630"/>
      <c r="AG44" s="1630"/>
      <c r="AH44" s="1630"/>
      <c r="AI44" s="1630"/>
      <c r="AJ44" s="1630"/>
      <c r="AK44" s="1630"/>
      <c r="AL44" s="1630"/>
      <c r="AM44" s="1630"/>
      <c r="AN44" s="1630">
        <f>OFFSET(AN44,0,-1)+1</f>
        <v>1</v>
      </c>
      <c r="AO44" s="1630">
        <f>OFFSET(AO44,0,-1)+1</f>
        <v>2</v>
      </c>
      <c r="AP44" s="1630">
        <f>OFFSET(AP44,0,-1)+1</f>
        <v>3</v>
      </c>
      <c r="AQ44" s="2439">
        <f>OFFSET(AQ44,0,-1)+1</f>
        <v>4</v>
      </c>
      <c r="AR44" s="2439"/>
      <c r="AS44" s="1630">
        <f>OFFSET(AS44,0,-2)+1</f>
        <v>5</v>
      </c>
      <c r="AT44" s="1523">
        <f>OFFSET(AT44,0,-1)</f>
        <v>5</v>
      </c>
      <c r="AU44" s="1630">
        <f>OFFSET(AU44,0,-1)+1</f>
        <v>6</v>
      </c>
      <c r="AV44" s="748"/>
      <c r="AW44" s="748"/>
      <c r="AX44" s="748"/>
      <c r="AY44" s="748"/>
      <c r="AZ44" s="748"/>
    </row>
    <row customHeight="1" ht="21">
      <c r="A45" s="1659" t="s">
        <v>274</v>
      </c>
      <c r="B45" s="1659"/>
      <c r="C45" s="1659"/>
      <c r="D45" s="1659"/>
      <c r="E45" s="2424">
        <v>1</v>
      </c>
      <c r="F45" s="1659"/>
      <c r="G45" s="1659"/>
      <c r="H45" s="1659"/>
      <c r="I45" s="1659"/>
      <c r="J45" s="1659"/>
      <c r="K45" s="1659"/>
      <c r="L45" s="1660"/>
      <c r="M45" s="1661"/>
      <c r="N45" s="1661"/>
      <c r="O45" s="1661"/>
      <c r="P45" s="1706"/>
      <c r="Q45" s="1120"/>
      <c r="R45" s="576"/>
      <c r="S45" s="1631">
        <f>INDEX(PT_DIFFERENTIATION_NUM_NTAR,MATCH(A45,PT_DIFFERENTIATION_NTAR_ID,0))</f>
        <v>0</v>
      </c>
      <c r="T45" s="508" t="s">
        <v>200</v>
      </c>
      <c r="U45" s="510"/>
      <c r="V45" s="4038"/>
      <c r="W45" s="4038"/>
      <c r="X45" s="4038"/>
      <c r="Y45" s="4038"/>
      <c r="Z45" s="4038"/>
      <c r="AA45" s="4039"/>
      <c r="AB45" s="4037" t="str">
        <f>INDEX(PT_DIFFERENTIATION_NTAR,MATCH(A45,PT_DIFFERENTIATION_NTAR_ID,0))</f>
        <v/>
      </c>
      <c r="AC45" s="4038"/>
      <c r="AD45" s="4038"/>
      <c r="AE45" s="4038"/>
      <c r="AF45" s="4038"/>
      <c r="AG45" s="4038"/>
      <c r="AH45" s="4038"/>
      <c r="AI45" s="4038"/>
      <c r="AJ45" s="4038"/>
      <c r="AK45" s="4038"/>
      <c r="AL45" s="4038"/>
      <c r="AM45" s="4038"/>
      <c r="AN45" s="4038"/>
      <c r="AO45" s="4038"/>
      <c r="AP45" s="4038"/>
      <c r="AQ45" s="4038"/>
      <c r="AR45" s="4038"/>
      <c r="AS45" s="4038"/>
      <c r="AT45" s="4039"/>
      <c r="AU45" s="1546" t="s">
        <v>1516</v>
      </c>
      <c r="AW45" s="737"/>
      <c r="AX45" s="737" t="str">
        <f>IF(T45="","",T45)</f>
        <v>Наименование тарифа</v>
      </c>
      <c r="AY45" s="737"/>
      <c r="AZ45" s="737"/>
    </row>
    <row customHeight="1" ht="21">
      <c r="A46" s="1659" t="s">
        <v>274</v>
      </c>
      <c r="B46" s="1659" t="s">
        <v>275</v>
      </c>
      <c r="C46" s="1659"/>
      <c r="D46" s="1659"/>
      <c r="E46" s="2425"/>
      <c r="F46" s="2424">
        <v>1</v>
      </c>
      <c r="G46" s="1659"/>
      <c r="H46" s="1659"/>
      <c r="I46" s="1659"/>
      <c r="J46" s="1659"/>
      <c r="K46" s="1659"/>
      <c r="L46" s="1660"/>
      <c r="M46" s="1661"/>
      <c r="N46" s="1661"/>
      <c r="O46" s="1661"/>
      <c r="P46" s="1707"/>
      <c r="Q46" s="1708"/>
      <c r="R46" s="574"/>
      <c r="S46" s="1631" t="str">
        <f>INDEX(PT_DIFFERENTIATION_NUM_TER,MATCH(B46,PT_DIFFERENTIATION_TER_ID,0))</f>
        <v>.</v>
      </c>
      <c r="T46" s="520" t="s">
        <v>1517</v>
      </c>
      <c r="U46" s="510"/>
      <c r="V46" s="4038"/>
      <c r="W46" s="4038"/>
      <c r="X46" s="4038"/>
      <c r="Y46" s="4038"/>
      <c r="Z46" s="4038"/>
      <c r="AA46" s="4039"/>
      <c r="AB46" s="4037" t="str">
        <f>INDEX(PT_DIFFERENTIATION_TER,MATCH(B46,PT_DIFFERENTIATION_TER_ID,0))</f>
        <v/>
      </c>
      <c r="AC46" s="4038"/>
      <c r="AD46" s="4038"/>
      <c r="AE46" s="4038"/>
      <c r="AF46" s="4038"/>
      <c r="AG46" s="4038"/>
      <c r="AH46" s="4038"/>
      <c r="AI46" s="4038"/>
      <c r="AJ46" s="4038"/>
      <c r="AK46" s="4038"/>
      <c r="AL46" s="4038"/>
      <c r="AM46" s="4038"/>
      <c r="AN46" s="4038"/>
      <c r="AO46" s="4038"/>
      <c r="AP46" s="4038"/>
      <c r="AQ46" s="4038"/>
      <c r="AR46" s="4038"/>
      <c r="AS46" s="4038"/>
      <c r="AT46" s="4039"/>
      <c r="AU46" s="1546" t="s">
        <v>1518</v>
      </c>
      <c r="AW46" s="737"/>
      <c r="AX46" s="737" t="str">
        <f>IF(T46="","",T46)</f>
        <v>Территория действия тарифа</v>
      </c>
      <c r="AY46" s="737"/>
      <c r="AZ46" s="737"/>
    </row>
    <row customHeight="1" ht="23.25">
      <c r="A47" s="1659" t="s">
        <v>274</v>
      </c>
      <c r="B47" s="1659" t="s">
        <v>275</v>
      </c>
      <c r="C47" s="1659" t="s">
        <v>276</v>
      </c>
      <c r="D47" s="1659"/>
      <c r="E47" s="2425"/>
      <c r="F47" s="2425"/>
      <c r="G47" s="2424">
        <v>1</v>
      </c>
      <c r="H47" s="1659"/>
      <c r="I47" s="1659"/>
      <c r="J47" s="1659"/>
      <c r="K47" s="1659"/>
      <c r="L47" s="1660"/>
      <c r="M47" s="1661"/>
      <c r="N47" s="1661"/>
      <c r="O47" s="1661"/>
      <c r="P47" s="1709"/>
      <c r="Q47" s="1708"/>
      <c r="R47" s="574"/>
      <c r="S47" s="1631" t="str">
        <f>INDEX(PT_DIFFERENTIATION_NUM_CS,MATCH(C47,PT_DIFFERENTIATION_CS_ID,0))</f>
        <v>..</v>
      </c>
      <c r="T47" s="521" t="s">
        <v>1519</v>
      </c>
      <c r="U47" s="510"/>
      <c r="V47" s="4038"/>
      <c r="W47" s="4038"/>
      <c r="X47" s="4038"/>
      <c r="Y47" s="4038"/>
      <c r="Z47" s="4038"/>
      <c r="AA47" s="4039"/>
      <c r="AB47" s="4037" t="str">
        <f>INDEX(PT_DIFFERENTIATION_CS,MATCH(C47,PT_DIFFERENTIATION_CS_ID,0))</f>
        <v/>
      </c>
      <c r="AC47" s="4038"/>
      <c r="AD47" s="4038"/>
      <c r="AE47" s="4038"/>
      <c r="AF47" s="4038"/>
      <c r="AG47" s="4038"/>
      <c r="AH47" s="4038"/>
      <c r="AI47" s="4038"/>
      <c r="AJ47" s="4038"/>
      <c r="AK47" s="4038"/>
      <c r="AL47" s="4038"/>
      <c r="AM47" s="4038"/>
      <c r="AN47" s="4038"/>
      <c r="AO47" s="4038"/>
      <c r="AP47" s="4038"/>
      <c r="AQ47" s="4038"/>
      <c r="AR47" s="4038"/>
      <c r="AS47" s="4038"/>
      <c r="AT47" s="4039"/>
      <c r="AU47" s="1546" t="s">
        <v>1520</v>
      </c>
      <c r="AW47" s="737"/>
      <c r="AX47" s="737" t="str">
        <f>IF(T47="","",T47)</f>
        <v>Наименование системы теплоснабжения </v>
      </c>
      <c r="AY47" s="737"/>
      <c r="AZ47" s="737"/>
    </row>
    <row customHeight="1" ht="21">
      <c r="A48" s="1659" t="s">
        <v>274</v>
      </c>
      <c r="B48" s="1659" t="s">
        <v>275</v>
      </c>
      <c r="C48" s="1659" t="s">
        <v>276</v>
      </c>
      <c r="D48" s="1659" t="s">
        <v>277</v>
      </c>
      <c r="E48" s="2425"/>
      <c r="F48" s="2425"/>
      <c r="G48" s="2425"/>
      <c r="H48" s="2424">
        <v>1</v>
      </c>
      <c r="I48" s="1659"/>
      <c r="J48" s="1659"/>
      <c r="K48" s="1659"/>
      <c r="L48" s="1660"/>
      <c r="M48" s="1661"/>
      <c r="N48" s="1661"/>
      <c r="O48" s="1661"/>
      <c r="P48" s="1709"/>
      <c r="Q48" s="1708"/>
      <c r="R48" s="574"/>
      <c r="S48" s="1631" t="str">
        <f>INDEX(PT_DIFFERENTIATION_NUM_IST_TE,MATCH(D48,PT_DIFFERENTIATION_IST_TE_ID,0))</f>
        <v>...</v>
      </c>
      <c r="T48" s="522" t="s">
        <v>1521</v>
      </c>
      <c r="U48" s="510"/>
      <c r="V48" s="4038"/>
      <c r="W48" s="4038"/>
      <c r="X48" s="4038"/>
      <c r="Y48" s="4038"/>
      <c r="Z48" s="4038"/>
      <c r="AA48" s="4039"/>
      <c r="AB48" s="4037" t="str">
        <f>INDEX(PT_DIFFERENTIATION_IST_TE,MATCH(D48,PT_DIFFERENTIATION_IST_TE_ID,0))</f>
        <v/>
      </c>
      <c r="AC48" s="4038"/>
      <c r="AD48" s="4038"/>
      <c r="AE48" s="4038"/>
      <c r="AF48" s="4038"/>
      <c r="AG48" s="4038"/>
      <c r="AH48" s="4038"/>
      <c r="AI48" s="4038"/>
      <c r="AJ48" s="4038"/>
      <c r="AK48" s="4038"/>
      <c r="AL48" s="4038"/>
      <c r="AM48" s="4038"/>
      <c r="AN48" s="4038"/>
      <c r="AO48" s="4038"/>
      <c r="AP48" s="4038"/>
      <c r="AQ48" s="4038"/>
      <c r="AR48" s="4038"/>
      <c r="AS48" s="4038"/>
      <c r="AT48" s="4039"/>
      <c r="AU48" s="1546" t="s">
        <v>1522</v>
      </c>
      <c r="AW48" s="737"/>
      <c r="AX48" s="737" t="str">
        <f>IF(T48="","",T48)</f>
        <v>Источник тепловой энергии  </v>
      </c>
      <c r="AY48" s="737"/>
      <c r="AZ48" s="737"/>
    </row>
    <row s="10863" customFormat="1" customHeight="1" ht="0">
      <c r="A49" s="1638" t="s">
        <v>274</v>
      </c>
      <c r="B49" s="1638" t="s">
        <v>275</v>
      </c>
      <c r="C49" s="1638" t="s">
        <v>276</v>
      </c>
      <c r="D49" s="1638" t="s">
        <v>277</v>
      </c>
      <c r="E49" s="2425"/>
      <c r="F49" s="2425"/>
      <c r="G49" s="2425"/>
      <c r="H49" s="2425"/>
      <c r="I49" s="2453" t="str">
        <f>S48&amp;".1"</f>
        <v>....1</v>
      </c>
      <c r="J49" s="1638"/>
      <c r="K49" s="1638"/>
      <c r="L49" s="1641" t="s">
        <v>1523</v>
      </c>
      <c r="M49" s="747"/>
      <c r="N49" s="747"/>
      <c r="O49" s="747"/>
      <c r="P49" s="2423">
        <v>1</v>
      </c>
      <c r="Q49" s="1626"/>
      <c r="R49" s="577"/>
      <c r="S49" s="1300"/>
      <c r="T49" s="1679"/>
      <c r="U49" s="1680"/>
      <c r="V49" s="2464"/>
      <c r="W49" s="2464"/>
      <c r="X49" s="2464"/>
      <c r="Y49" s="2464"/>
      <c r="Z49" s="2464"/>
      <c r="AA49" s="2465"/>
      <c r="AB49" s="2463"/>
      <c r="AC49" s="2464"/>
      <c r="AD49" s="2464"/>
      <c r="AE49" s="2464"/>
      <c r="AF49" s="2464"/>
      <c r="AG49" s="2464"/>
      <c r="AH49" s="2464"/>
      <c r="AI49" s="2464"/>
      <c r="AJ49" s="2464"/>
      <c r="AK49" s="2464"/>
      <c r="AL49" s="2464"/>
      <c r="AM49" s="2464"/>
      <c r="AN49" s="2464"/>
      <c r="AO49" s="2464"/>
      <c r="AP49" s="2464"/>
      <c r="AQ49" s="2464"/>
      <c r="AR49" s="2464"/>
      <c r="AS49" s="2464"/>
      <c r="AT49" s="2465"/>
      <c r="AU49" s="1681"/>
      <c r="AW49" s="737"/>
      <c r="AX49" s="737" t="str">
        <f>IF(T49="","",T49)</f>
        <v/>
      </c>
      <c r="AY49" s="737"/>
      <c r="AZ49" s="737"/>
    </row>
    <row s="10863" customFormat="1" customHeight="1" ht="0">
      <c r="A50" s="1638" t="s">
        <v>274</v>
      </c>
      <c r="B50" s="1638" t="s">
        <v>275</v>
      </c>
      <c r="C50" s="1638" t="s">
        <v>276</v>
      </c>
      <c r="D50" s="1638" t="s">
        <v>277</v>
      </c>
      <c r="E50" s="2425"/>
      <c r="F50" s="2425"/>
      <c r="G50" s="2425"/>
      <c r="H50" s="2425"/>
      <c r="I50" s="2454"/>
      <c r="J50" s="2422" t="str">
        <f>S48&amp;".1"</f>
        <v>....1</v>
      </c>
      <c r="K50" s="1638"/>
      <c r="L50" s="1641"/>
      <c r="M50" s="747"/>
      <c r="N50" s="747"/>
      <c r="O50" s="747"/>
      <c r="P50" s="2423"/>
      <c r="Q50" s="2423">
        <v>1</v>
      </c>
      <c r="R50" s="578"/>
      <c r="S50" s="1300"/>
      <c r="T50" s="1695"/>
      <c r="U50" s="1680"/>
      <c r="V50" s="2464"/>
      <c r="W50" s="2464"/>
      <c r="X50" s="2464"/>
      <c r="Y50" s="2464"/>
      <c r="Z50" s="2464"/>
      <c r="AA50" s="2465"/>
      <c r="AB50" s="2463"/>
      <c r="AC50" s="2464"/>
      <c r="AD50" s="2464"/>
      <c r="AE50" s="2464"/>
      <c r="AF50" s="2464"/>
      <c r="AG50" s="2464"/>
      <c r="AH50" s="2464"/>
      <c r="AI50" s="2464"/>
      <c r="AJ50" s="2464"/>
      <c r="AK50" s="2464"/>
      <c r="AL50" s="2464"/>
      <c r="AM50" s="2464"/>
      <c r="AN50" s="2464"/>
      <c r="AO50" s="2464"/>
      <c r="AP50" s="2464"/>
      <c r="AQ50" s="2464"/>
      <c r="AR50" s="2464"/>
      <c r="AS50" s="2464"/>
      <c r="AT50" s="2465"/>
      <c r="AU50" s="1681"/>
      <c r="AW50" s="737"/>
      <c r="AX50" s="737" t="str">
        <f>IF(T50="","",T50)</f>
        <v/>
      </c>
      <c r="AY50" s="737"/>
      <c r="AZ50" s="737"/>
    </row>
    <row customHeight="1" ht="21">
      <c r="A51" s="1659" t="s">
        <v>274</v>
      </c>
      <c r="B51" s="1659" t="s">
        <v>275</v>
      </c>
      <c r="C51" s="1659" t="s">
        <v>276</v>
      </c>
      <c r="D51" s="1659" t="s">
        <v>277</v>
      </c>
      <c r="E51" s="2425"/>
      <c r="F51" s="2425"/>
      <c r="G51" s="2425"/>
      <c r="H51" s="2425"/>
      <c r="I51" s="2454"/>
      <c r="J51" s="2455"/>
      <c r="K51" s="2422" t="str">
        <f>S48&amp;".1"</f>
        <v>....1</v>
      </c>
      <c r="L51" s="1660"/>
      <c r="P51" s="2423"/>
      <c r="Q51" s="2423"/>
      <c r="R51" s="578">
        <v>1</v>
      </c>
      <c r="S51" s="2507" t="str">
        <f>$K51</f>
        <v>....1</v>
      </c>
      <c r="T51" s="2510"/>
      <c r="U51" s="510"/>
      <c r="V51" s="4065"/>
      <c r="W51" s="4067"/>
      <c r="X51" s="2049"/>
      <c r="Y51" s="1756" t="s">
        <v>67</v>
      </c>
      <c r="Z51" s="2049"/>
      <c r="AA51" s="1756" t="s">
        <v>67</v>
      </c>
      <c r="AB51" s="2142" t="s">
        <v>57</v>
      </c>
      <c r="AC51" s="2496"/>
      <c r="AD51" s="2497">
        <v>1</v>
      </c>
      <c r="AE51" s="2514" t="s">
        <v>17</v>
      </c>
      <c r="AF51" s="2142" t="s">
        <v>57</v>
      </c>
      <c r="AG51" s="2496"/>
      <c r="AH51" s="2497">
        <v>1</v>
      </c>
      <c r="AI51" s="2514" t="s">
        <v>17</v>
      </c>
      <c r="AJ51" s="2142" t="s">
        <v>57</v>
      </c>
      <c r="AK51" s="523"/>
      <c r="AL51" s="1632">
        <v>1</v>
      </c>
      <c r="AM51" s="1698"/>
      <c r="AN51" s="4065"/>
      <c r="AO51" s="4067"/>
      <c r="AP51" s="2049"/>
      <c r="AQ51" s="1756" t="s">
        <v>67</v>
      </c>
      <c r="AR51" s="2049"/>
      <c r="AS51" s="1756" t="s">
        <v>67</v>
      </c>
      <c r="AT51" s="4166"/>
      <c r="AU51" s="2419" t="s">
        <v>1593</v>
      </c>
      <c r="AV51" s="748">
        <f>STRCHECKDATE(V54:AT54)</f>
      </c>
      <c r="AW51" s="737"/>
      <c r="AX51" s="737" t="str">
        <f>IF(T51="","",T51)</f>
        <v/>
      </c>
      <c r="AY51" s="737"/>
      <c r="AZ51" s="737"/>
    </row>
    <row customHeight="1" ht="11.25">
      <c r="A52" s="1659" t="s">
        <v>274</v>
      </c>
      <c r="B52" s="1659"/>
      <c r="C52" s="1659"/>
      <c r="D52" s="1659"/>
      <c r="E52" s="2425"/>
      <c r="F52" s="2425"/>
      <c r="G52" s="2425"/>
      <c r="H52" s="2425"/>
      <c r="I52" s="2454"/>
      <c r="J52" s="2455"/>
      <c r="K52" s="2422"/>
      <c r="L52" s="1660"/>
      <c r="P52" s="2423"/>
      <c r="Q52" s="2423"/>
      <c r="R52" s="578"/>
      <c r="S52" s="2508"/>
      <c r="T52" s="2511"/>
      <c r="U52" s="510"/>
      <c r="V52" s="4225"/>
      <c r="W52" s="4281"/>
      <c r="X52" s="4225"/>
      <c r="Y52" s="4225"/>
      <c r="Z52" s="4225"/>
      <c r="AA52" s="4225"/>
      <c r="AB52" s="2142"/>
      <c r="AC52" s="2496"/>
      <c r="AD52" s="2497"/>
      <c r="AE52" s="2514"/>
      <c r="AF52" s="2142"/>
      <c r="AG52" s="2496"/>
      <c r="AH52" s="2497"/>
      <c r="AI52" s="2514"/>
      <c r="AJ52" s="2142"/>
      <c r="AK52" s="530"/>
      <c r="AL52" s="652"/>
      <c r="AM52" s="651" t="s">
        <v>1594</v>
      </c>
      <c r="AN52" s="4225"/>
      <c r="AO52" s="4281"/>
      <c r="AP52" s="4225"/>
      <c r="AQ52" s="4225"/>
      <c r="AR52" s="4225"/>
      <c r="AS52" s="4225"/>
      <c r="AT52" s="4282"/>
      <c r="AU52" s="2420"/>
      <c r="AW52" s="737"/>
      <c r="AX52" s="737"/>
      <c r="AY52" s="737"/>
      <c r="AZ52" s="737"/>
    </row>
    <row customHeight="1" ht="11.25">
      <c r="A53" s="1659" t="s">
        <v>274</v>
      </c>
      <c r="B53" s="1659"/>
      <c r="C53" s="1659"/>
      <c r="D53" s="1659"/>
      <c r="E53" s="2425"/>
      <c r="F53" s="2425"/>
      <c r="G53" s="2425"/>
      <c r="H53" s="2425"/>
      <c r="I53" s="2454"/>
      <c r="J53" s="2455"/>
      <c r="K53" s="2422"/>
      <c r="L53" s="1660"/>
      <c r="P53" s="2423"/>
      <c r="Q53" s="2423"/>
      <c r="R53" s="578"/>
      <c r="S53" s="2508"/>
      <c r="T53" s="2511"/>
      <c r="U53" s="510"/>
      <c r="V53" s="4225"/>
      <c r="W53" s="4281"/>
      <c r="X53" s="4225"/>
      <c r="Y53" s="4225"/>
      <c r="Z53" s="4225"/>
      <c r="AA53" s="4225"/>
      <c r="AB53" s="2142"/>
      <c r="AC53" s="2496"/>
      <c r="AD53" s="2497"/>
      <c r="AE53" s="2514"/>
      <c r="AF53" s="2142"/>
      <c r="AG53" s="504"/>
      <c r="AH53" s="651"/>
      <c r="AI53" s="651" t="s">
        <v>1595</v>
      </c>
      <c r="AJ53" s="4225"/>
      <c r="AK53" s="4225"/>
      <c r="AL53" s="4225"/>
      <c r="AM53" s="4225"/>
      <c r="AN53" s="4225"/>
      <c r="AO53" s="4281"/>
      <c r="AP53" s="4225"/>
      <c r="AQ53" s="4225"/>
      <c r="AR53" s="4225"/>
      <c r="AS53" s="4225"/>
      <c r="AT53" s="4282"/>
      <c r="AU53" s="2420"/>
      <c r="AW53" s="737"/>
      <c r="AX53" s="737"/>
      <c r="AY53" s="737"/>
      <c r="AZ53" s="737"/>
    </row>
    <row customHeight="1" ht="11.25">
      <c r="A54" s="1659" t="s">
        <v>274</v>
      </c>
      <c r="B54" s="1659" t="s">
        <v>275</v>
      </c>
      <c r="C54" s="1659" t="s">
        <v>276</v>
      </c>
      <c r="D54" s="1659" t="s">
        <v>277</v>
      </c>
      <c r="E54" s="2425"/>
      <c r="F54" s="2425"/>
      <c r="G54" s="2425"/>
      <c r="H54" s="2425"/>
      <c r="I54" s="2454"/>
      <c r="J54" s="2455"/>
      <c r="K54" s="2422"/>
      <c r="L54" s="1660"/>
      <c r="P54" s="2423"/>
      <c r="Q54" s="2423"/>
      <c r="R54" s="578"/>
      <c r="S54" s="2509"/>
      <c r="T54" s="2512"/>
      <c r="U54" s="510"/>
      <c r="V54" s="4225"/>
      <c r="W54" s="4226" t="str">
        <f>X51&amp;"-"&amp;Z51</f>
        <v>-</v>
      </c>
      <c r="X54" s="4225"/>
      <c r="Y54" s="4225"/>
      <c r="Z54" s="4225"/>
      <c r="AA54" s="4225"/>
      <c r="AB54" s="2142"/>
      <c r="AC54" s="524"/>
      <c r="AD54" s="526"/>
      <c r="AE54" s="651" t="s">
        <v>1596</v>
      </c>
      <c r="AF54" s="4225"/>
      <c r="AG54" s="4225"/>
      <c r="AH54" s="4225"/>
      <c r="AI54" s="4225"/>
      <c r="AJ54" s="4225"/>
      <c r="AK54" s="4225"/>
      <c r="AL54" s="4225"/>
      <c r="AM54" s="4225"/>
      <c r="AN54" s="4225"/>
      <c r="AO54" s="4226" t="str">
        <f>AP51&amp;"-"&amp;AR51</f>
        <v>-</v>
      </c>
      <c r="AP54" s="4225"/>
      <c r="AQ54" s="4225"/>
      <c r="AR54" s="4225"/>
      <c r="AS54" s="4225"/>
      <c r="AT54" s="4169"/>
      <c r="AU54" s="2420"/>
      <c r="AW54" s="737"/>
      <c r="AX54" s="737" t="str">
        <f>IF(T54="","",T54)</f>
        <v/>
      </c>
      <c r="AY54" s="737"/>
      <c r="AZ54" s="737"/>
    </row>
    <row customHeight="1" ht="11.25">
      <c r="A55" s="1659" t="s">
        <v>274</v>
      </c>
      <c r="B55" s="1659" t="s">
        <v>275</v>
      </c>
      <c r="C55" s="1659" t="s">
        <v>276</v>
      </c>
      <c r="D55" s="1659" t="s">
        <v>277</v>
      </c>
      <c r="E55" s="2425"/>
      <c r="F55" s="2425"/>
      <c r="G55" s="2425"/>
      <c r="H55" s="2425"/>
      <c r="I55" s="2454"/>
      <c r="J55" s="2422"/>
      <c r="K55" s="1659"/>
      <c r="L55" s="1660"/>
      <c r="P55" s="2423"/>
      <c r="Q55" s="2423"/>
      <c r="R55" s="577"/>
      <c r="S55" s="1568"/>
      <c r="T55" s="497" t="s">
        <v>1597</v>
      </c>
      <c r="U55" s="592"/>
      <c r="V55" s="592"/>
      <c r="W55" s="592"/>
      <c r="X55" s="592"/>
      <c r="Y55" s="592"/>
      <c r="Z55" s="592"/>
      <c r="AA55" s="544"/>
      <c r="AB55" s="1802"/>
      <c r="AC55" s="592"/>
      <c r="AD55" s="592"/>
      <c r="AE55" s="592"/>
      <c r="AF55" s="592"/>
      <c r="AG55" s="592"/>
      <c r="AH55" s="592"/>
      <c r="AI55" s="592"/>
      <c r="AJ55" s="592"/>
      <c r="AK55" s="592"/>
      <c r="AL55" s="592"/>
      <c r="AM55" s="592"/>
      <c r="AN55" s="592"/>
      <c r="AO55" s="592"/>
      <c r="AP55" s="592"/>
      <c r="AQ55" s="592"/>
      <c r="AR55" s="592"/>
      <c r="AS55" s="592"/>
      <c r="AT55" s="544"/>
      <c r="AU55" s="2421"/>
      <c r="AW55" s="737"/>
      <c r="AX55" s="737" t="str">
        <f>IF(T55="","",T55)</f>
        <v>Добавить строку</v>
      </c>
      <c r="AY55" s="737"/>
      <c r="AZ55" s="737"/>
    </row>
    <row s="10863" customFormat="1" customHeight="1" ht="0">
      <c r="A56" s="1638" t="s">
        <v>274</v>
      </c>
      <c r="B56" s="1638" t="s">
        <v>275</v>
      </c>
      <c r="C56" s="1638" t="s">
        <v>276</v>
      </c>
      <c r="D56" s="1638" t="s">
        <v>277</v>
      </c>
      <c r="E56" s="2425"/>
      <c r="F56" s="2425"/>
      <c r="G56" s="2425"/>
      <c r="H56" s="2425"/>
      <c r="I56" s="2453"/>
      <c r="J56" s="1638"/>
      <c r="K56" s="1638"/>
      <c r="L56" s="1641"/>
      <c r="M56" s="747"/>
      <c r="N56" s="747"/>
      <c r="O56" s="747"/>
      <c r="P56" s="2423"/>
      <c r="Q56" s="1626"/>
      <c r="R56" s="577"/>
      <c r="S56" s="1682"/>
      <c r="T56" s="1683" t="s">
        <v>1532</v>
      </c>
      <c r="U56" s="1684"/>
      <c r="V56" s="1684"/>
      <c r="W56" s="1684"/>
      <c r="X56" s="1684"/>
      <c r="Y56" s="1684"/>
      <c r="Z56" s="1684"/>
      <c r="AA56" s="1684"/>
      <c r="AB56" s="1684"/>
      <c r="AC56" s="1684"/>
      <c r="AD56" s="1684"/>
      <c r="AE56" s="1684"/>
      <c r="AF56" s="1684"/>
      <c r="AG56" s="1684"/>
      <c r="AH56" s="1684"/>
      <c r="AI56" s="1684"/>
      <c r="AJ56" s="1684"/>
      <c r="AK56" s="1684"/>
      <c r="AL56" s="1684"/>
      <c r="AM56" s="1684"/>
      <c r="AN56" s="1684"/>
      <c r="AO56" s="1684"/>
      <c r="AP56" s="1684"/>
      <c r="AQ56" s="1684"/>
      <c r="AR56" s="1684"/>
      <c r="AS56" s="1684"/>
      <c r="AT56" s="1684"/>
      <c r="AU56" s="1685"/>
      <c r="AW56" s="737"/>
      <c r="AX56" s="737" t="str">
        <f>IF(T56="","",T56)</f>
        <v>Добавить группу потребителей</v>
      </c>
      <c r="AY56" s="737"/>
      <c r="AZ56" s="737"/>
    </row>
    <row s="10822" customFormat="1" customHeight="1" ht="0">
      <c r="A57" s="1638" t="s">
        <v>274</v>
      </c>
      <c r="B57" s="1638" t="s">
        <v>275</v>
      </c>
      <c r="C57" s="1638" t="s">
        <v>276</v>
      </c>
      <c r="D57" s="1638" t="s">
        <v>277</v>
      </c>
      <c r="E57" s="2425"/>
      <c r="F57" s="2425"/>
      <c r="G57" s="2425"/>
      <c r="H57" s="2424"/>
      <c r="I57" s="1638"/>
      <c r="J57" s="1638"/>
      <c r="K57" s="1638"/>
      <c r="L57" s="1641"/>
      <c r="M57" s="1610"/>
      <c r="N57" s="1610"/>
      <c r="O57" s="755"/>
      <c r="P57" s="610"/>
      <c r="Q57" s="1639"/>
      <c r="R57" s="1696"/>
      <c r="S57" s="1682"/>
      <c r="T57" s="1683"/>
      <c r="U57" s="1684"/>
      <c r="V57" s="1684"/>
      <c r="W57" s="1684"/>
      <c r="X57" s="1684"/>
      <c r="Y57" s="1684"/>
      <c r="Z57" s="1684"/>
      <c r="AA57" s="1684"/>
      <c r="AB57" s="1684"/>
      <c r="AC57" s="1684"/>
      <c r="AD57" s="1684"/>
      <c r="AE57" s="1684"/>
      <c r="AF57" s="1684"/>
      <c r="AG57" s="1684"/>
      <c r="AH57" s="1684"/>
      <c r="AI57" s="1684"/>
      <c r="AJ57" s="1684"/>
      <c r="AK57" s="1684"/>
      <c r="AL57" s="1684"/>
      <c r="AM57" s="1684"/>
      <c r="AN57" s="1684"/>
      <c r="AO57" s="1684"/>
      <c r="AP57" s="1684"/>
      <c r="AQ57" s="1684"/>
      <c r="AR57" s="1684"/>
      <c r="AS57" s="1684"/>
      <c r="AT57" s="1684"/>
      <c r="AU57" s="1685"/>
      <c r="AV57" s="748"/>
      <c r="AW57" s="737"/>
      <c r="AX57" s="737" t="str">
        <f>IF(T57="","",T57)</f>
        <v/>
      </c>
      <c r="AY57" s="737"/>
      <c r="AZ57" s="737"/>
    </row>
    <row s="10863" customFormat="1" customHeight="1" ht="0">
      <c r="A58" s="1638" t="s">
        <v>274</v>
      </c>
      <c r="B58" s="1638" t="s">
        <v>275</v>
      </c>
      <c r="C58" s="1638" t="s">
        <v>276</v>
      </c>
      <c r="D58" s="1609"/>
      <c r="E58" s="2425"/>
      <c r="F58" s="2425"/>
      <c r="G58" s="2424"/>
      <c r="H58" s="1609"/>
      <c r="I58" s="1609"/>
      <c r="J58" s="1609"/>
      <c r="K58" s="1609"/>
      <c r="L58" s="1634"/>
      <c r="M58" s="1610"/>
      <c r="N58" s="1610"/>
      <c r="P58" s="1611"/>
      <c r="Q58" s="1612"/>
      <c r="R58" s="1611"/>
      <c r="S58" s="1617"/>
      <c r="T58" s="1620" t="s">
        <v>1492</v>
      </c>
      <c r="U58" s="1619"/>
      <c r="V58" s="1619"/>
      <c r="W58" s="1619"/>
      <c r="X58" s="1619"/>
      <c r="Y58" s="1619"/>
      <c r="Z58" s="1619"/>
      <c r="AA58" s="1619"/>
      <c r="AB58" s="1619"/>
      <c r="AC58" s="1619"/>
      <c r="AD58" s="1619"/>
      <c r="AE58" s="1619"/>
      <c r="AF58" s="1619"/>
      <c r="AG58" s="1619"/>
      <c r="AH58" s="1619"/>
      <c r="AI58" s="1619"/>
      <c r="AJ58" s="1619"/>
      <c r="AK58" s="1619"/>
      <c r="AL58" s="1619"/>
      <c r="AM58" s="1619"/>
      <c r="AN58" s="1619"/>
      <c r="AO58" s="1619"/>
      <c r="AP58" s="1619"/>
      <c r="AQ58" s="1619"/>
      <c r="AR58" s="1619"/>
      <c r="AS58" s="1619"/>
      <c r="AT58" s="1619"/>
      <c r="AU58" s="1619"/>
      <c r="AW58" s="1029"/>
      <c r="AX58" s="1029" t="str">
        <f>IF(T58="","",T58)</f>
        <v>Добавить источник для дифференциации</v>
      </c>
      <c r="AY58" s="1029"/>
      <c r="AZ58" s="1029"/>
    </row>
    <row s="10863" customFormat="1" customHeight="1" ht="0">
      <c r="A59" s="1638" t="s">
        <v>274</v>
      </c>
      <c r="B59" s="1638" t="s">
        <v>275</v>
      </c>
      <c r="C59" s="1609"/>
      <c r="D59" s="1609"/>
      <c r="E59" s="2425"/>
      <c r="F59" s="2424"/>
      <c r="G59" s="1609"/>
      <c r="H59" s="1609"/>
      <c r="I59" s="1609"/>
      <c r="J59" s="1609"/>
      <c r="K59" s="1609"/>
      <c r="L59" s="1634"/>
      <c r="M59" s="1616"/>
      <c r="N59" s="1616"/>
      <c r="P59" s="1611"/>
      <c r="Q59" s="1612"/>
      <c r="R59" s="1611"/>
      <c r="S59" s="1617"/>
      <c r="T59" s="1620" t="s">
        <v>1493</v>
      </c>
      <c r="U59" s="1619"/>
      <c r="V59" s="1619"/>
      <c r="W59" s="1619"/>
      <c r="X59" s="1619"/>
      <c r="Y59" s="1619"/>
      <c r="Z59" s="1619"/>
      <c r="AA59" s="1619"/>
      <c r="AB59" s="1619"/>
      <c r="AC59" s="1619"/>
      <c r="AD59" s="1619"/>
      <c r="AE59" s="1619"/>
      <c r="AF59" s="1619"/>
      <c r="AG59" s="1619"/>
      <c r="AH59" s="1619"/>
      <c r="AI59" s="1619"/>
      <c r="AJ59" s="1619"/>
      <c r="AK59" s="1619"/>
      <c r="AL59" s="1619"/>
      <c r="AM59" s="1619"/>
      <c r="AN59" s="1619"/>
      <c r="AO59" s="1619"/>
      <c r="AP59" s="1619"/>
      <c r="AQ59" s="1619"/>
      <c r="AR59" s="1619"/>
      <c r="AS59" s="1619"/>
      <c r="AT59" s="1619"/>
      <c r="AU59" s="1619"/>
      <c r="AW59" s="1029"/>
      <c r="AX59" s="1029" t="str">
        <f>IF(T59="","",T59)</f>
        <v>Добавить централизованную систему для дифференциации</v>
      </c>
      <c r="AY59" s="1029"/>
      <c r="AZ59" s="1029"/>
    </row>
    <row s="10863" customFormat="1" customHeight="1" ht="0">
      <c r="A60" s="1638" t="s">
        <v>274</v>
      </c>
      <c r="B60" s="1638"/>
      <c r="C60" s="1638"/>
      <c r="D60" s="1638"/>
      <c r="E60" s="2425"/>
      <c r="F60" s="1638"/>
      <c r="G60" s="1638"/>
      <c r="H60" s="1638"/>
      <c r="I60" s="1638"/>
      <c r="J60" s="1638"/>
      <c r="K60" s="1638"/>
      <c r="L60" s="1641"/>
      <c r="M60" s="1616"/>
      <c r="N60" s="1616"/>
      <c r="O60" s="755"/>
      <c r="P60" s="610"/>
      <c r="Q60" s="1639"/>
      <c r="R60" s="610"/>
      <c r="S60" s="1617"/>
      <c r="T60" s="1620" t="s">
        <v>1494</v>
      </c>
      <c r="U60" s="1619"/>
      <c r="V60" s="1619"/>
      <c r="W60" s="1619"/>
      <c r="X60" s="1619"/>
      <c r="Y60" s="1619"/>
      <c r="Z60" s="1619"/>
      <c r="AA60" s="1619"/>
      <c r="AB60" s="1619"/>
      <c r="AC60" s="1619"/>
      <c r="AD60" s="1619"/>
      <c r="AE60" s="1619"/>
      <c r="AF60" s="1619"/>
      <c r="AG60" s="1619"/>
      <c r="AH60" s="1619"/>
      <c r="AI60" s="1619"/>
      <c r="AJ60" s="1619"/>
      <c r="AK60" s="1619"/>
      <c r="AL60" s="1619"/>
      <c r="AM60" s="1619"/>
      <c r="AN60" s="1619"/>
      <c r="AO60" s="1619"/>
      <c r="AP60" s="1619"/>
      <c r="AQ60" s="1619"/>
      <c r="AR60" s="1619"/>
      <c r="AS60" s="1619"/>
      <c r="AT60" s="1619"/>
      <c r="AU60" s="1619"/>
      <c r="AW60" s="737"/>
      <c r="AX60" s="737" t="str">
        <f>IF(T60="","",T60)</f>
        <v>Добавить территорию для дифференциации</v>
      </c>
      <c r="AY60" s="737"/>
      <c r="AZ60" s="737"/>
    </row>
    <row s="10863" customFormat="1" customHeight="1" ht="0">
      <c r="A61" s="1638" t="s">
        <v>274</v>
      </c>
      <c r="B61" s="1638"/>
      <c r="C61" s="1638"/>
      <c r="D61" s="1638"/>
      <c r="E61" s="2424"/>
      <c r="F61" s="1638"/>
      <c r="G61" s="1638"/>
      <c r="H61" s="1638"/>
      <c r="I61" s="1638"/>
      <c r="J61" s="1638"/>
      <c r="K61" s="1638"/>
      <c r="L61" s="1641"/>
      <c r="M61" s="1616"/>
      <c r="N61" s="1616"/>
      <c r="O61" s="755"/>
      <c r="P61" s="610"/>
      <c r="Q61" s="1639"/>
      <c r="R61" s="610"/>
      <c r="S61" s="1617"/>
      <c r="T61" s="1620" t="s">
        <v>1494</v>
      </c>
      <c r="U61" s="1619"/>
      <c r="V61" s="1619"/>
      <c r="W61" s="1619"/>
      <c r="X61" s="1619"/>
      <c r="Y61" s="1619"/>
      <c r="Z61" s="1619"/>
      <c r="AA61" s="1619"/>
      <c r="AB61" s="1619"/>
      <c r="AC61" s="1619"/>
      <c r="AD61" s="1619"/>
      <c r="AE61" s="1619"/>
      <c r="AF61" s="1619"/>
      <c r="AG61" s="1619"/>
      <c r="AH61" s="1619"/>
      <c r="AI61" s="1619"/>
      <c r="AJ61" s="1619"/>
      <c r="AK61" s="1619"/>
      <c r="AL61" s="1619"/>
      <c r="AM61" s="1619"/>
      <c r="AN61" s="1619"/>
      <c r="AO61" s="1619"/>
      <c r="AP61" s="1619"/>
      <c r="AQ61" s="1619"/>
      <c r="AR61" s="1619"/>
      <c r="AS61" s="1619"/>
      <c r="AT61" s="1619"/>
      <c r="AU61" s="1619"/>
      <c r="AW61" s="737"/>
      <c r="AX61" s="737" t="str">
        <f>IF(T61="","",T61)</f>
        <v>Добавить территорию для дифференциации</v>
      </c>
      <c r="AY61" s="737"/>
      <c r="AZ61" s="737"/>
    </row>
    <row s="10863" customFormat="1" customHeight="1" ht="0">
      <c r="A62" s="1609"/>
      <c r="B62" s="1609"/>
      <c r="C62" s="1609"/>
      <c r="D62" s="1609"/>
      <c r="E62" s="1638"/>
      <c r="F62" s="1609"/>
      <c r="G62" s="1609"/>
      <c r="H62" s="1609"/>
      <c r="I62" s="1609"/>
      <c r="J62" s="1609"/>
      <c r="K62" s="1609"/>
      <c r="L62" s="1634"/>
      <c r="M62" s="1616"/>
      <c r="N62" s="1616"/>
      <c r="P62" s="1611"/>
      <c r="Q62" s="1612"/>
      <c r="R62" s="1611"/>
      <c r="S62" s="1617"/>
      <c r="T62" s="1620" t="s">
        <v>1495</v>
      </c>
      <c r="U62" s="1619"/>
      <c r="V62" s="1619"/>
      <c r="W62" s="1619"/>
      <c r="X62" s="1619"/>
      <c r="Y62" s="1619"/>
      <c r="Z62" s="1619"/>
      <c r="AA62" s="1619"/>
      <c r="AB62" s="1619"/>
      <c r="AC62" s="1619"/>
      <c r="AD62" s="1619"/>
      <c r="AE62" s="1619"/>
      <c r="AF62" s="1619"/>
      <c r="AG62" s="1619"/>
      <c r="AH62" s="1619"/>
      <c r="AI62" s="1619"/>
      <c r="AJ62" s="1619"/>
      <c r="AK62" s="1619"/>
      <c r="AL62" s="1619"/>
      <c r="AM62" s="1619"/>
      <c r="AN62" s="1619"/>
      <c r="AO62" s="1619"/>
      <c r="AP62" s="1619"/>
      <c r="AQ62" s="1619"/>
      <c r="AR62" s="1619"/>
      <c r="AS62" s="1619"/>
      <c r="AT62" s="1619"/>
      <c r="AU62" s="1619"/>
      <c r="AW62" s="1029"/>
      <c r="AX62" s="1029" t="str">
        <f>IF(T62="","",T62)</f>
        <v>Добавить наименование тарифа</v>
      </c>
      <c r="AY62" s="1029"/>
      <c r="AZ62" s="1029"/>
    </row>
    <row customHeight="1" ht="11.25" hidden="1">
      <c r="M63" s="1421"/>
      <c r="N63" s="1421"/>
      <c r="O63" s="774"/>
      <c r="P63" s="1421"/>
      <c r="Q63" s="1421"/>
      <c r="R63" s="1416"/>
      <c r="S63" s="1416"/>
      <c r="AV63" s="1416"/>
      <c r="AW63" s="1416"/>
      <c r="AX63" s="1416"/>
      <c r="AY63" s="1416"/>
      <c r="AZ63" s="1416"/>
    </row>
    <row customHeight="1" ht="18.75" hidden="1">
      <c r="O64" s="774"/>
      <c r="S64" s="1533" t="s">
        <v>1565</v>
      </c>
      <c r="T64" s="2452" t="s">
        <v>1608</v>
      </c>
      <c r="U64" s="2452"/>
      <c r="V64" s="2452"/>
      <c r="W64" s="2452"/>
      <c r="X64" s="2452"/>
      <c r="Y64" s="2452"/>
      <c r="Z64" s="2452"/>
      <c r="AA64" s="2452"/>
      <c r="AB64" s="2452"/>
      <c r="AC64" s="2452"/>
      <c r="AD64" s="2452"/>
      <c r="AE64" s="2452"/>
      <c r="AF64" s="2452"/>
      <c r="AG64" s="2452"/>
      <c r="AH64" s="2452"/>
      <c r="AI64" s="2452"/>
      <c r="AJ64" s="2452"/>
      <c r="AK64" s="2452"/>
      <c r="AL64" s="2452"/>
      <c r="AM64" s="2452"/>
      <c r="AN64" s="2452"/>
      <c r="AO64" s="2452"/>
      <c r="AP64" s="2452"/>
      <c r="AQ64" s="2452"/>
      <c r="AR64" s="2452"/>
      <c r="AS64" s="2452"/>
      <c r="AT64" s="2452"/>
      <c r="AU64" s="2452"/>
    </row>
    <row customHeight="1" ht="19.5" hidden="1">
      <c r="O65" s="774"/>
      <c r="T65" s="2452" t="s">
        <v>1591</v>
      </c>
      <c r="U65" s="2452"/>
      <c r="V65" s="2452"/>
      <c r="W65" s="2452"/>
      <c r="X65" s="2452"/>
      <c r="Y65" s="2452"/>
      <c r="Z65" s="2452"/>
      <c r="AA65" s="2452"/>
      <c r="AB65" s="2452"/>
      <c r="AC65" s="2452"/>
      <c r="AD65" s="2452"/>
      <c r="AE65" s="2452"/>
      <c r="AF65" s="2452"/>
      <c r="AG65" s="2452"/>
      <c r="AH65" s="2452"/>
      <c r="AI65" s="2452"/>
      <c r="AJ65" s="2452"/>
      <c r="AK65" s="2452"/>
      <c r="AL65" s="2452"/>
      <c r="AM65" s="2452"/>
      <c r="AN65" s="2452"/>
      <c r="AO65" s="2452"/>
      <c r="AP65" s="2452"/>
      <c r="AQ65" s="2452"/>
      <c r="AR65" s="2452"/>
      <c r="AS65" s="2452"/>
      <c r="AT65" s="2452"/>
      <c r="AU65" s="2452"/>
    </row>
    <row customHeight="1" ht="14.25" hidden="1">
      <c r="O66" s="774"/>
      <c r="T66" s="1628"/>
      <c r="U66" s="1628"/>
      <c r="V66" s="1628"/>
      <c r="W66" s="1628"/>
      <c r="X66" s="1628"/>
      <c r="Y66" s="1628"/>
      <c r="Z66" s="1628"/>
      <c r="AA66" s="1628"/>
      <c r="AB66" s="1628"/>
      <c r="AC66" s="1628"/>
      <c r="AD66" s="1628"/>
      <c r="AE66" s="1628"/>
      <c r="AF66" s="1628"/>
      <c r="AG66" s="1628"/>
      <c r="AH66" s="1628"/>
      <c r="AI66" s="1628"/>
      <c r="AJ66" s="1628"/>
      <c r="AK66" s="1628"/>
      <c r="AL66" s="1628"/>
      <c r="AM66" s="1628"/>
      <c r="AN66" s="1628"/>
      <c r="AO66" s="1628"/>
      <c r="AP66" s="1628"/>
      <c r="AQ66" s="1628"/>
      <c r="AR66" s="1628"/>
      <c r="AS66" s="1628"/>
      <c r="AT66" s="1628"/>
      <c r="AU66" s="1628"/>
    </row>
    <row customHeight="1" ht="18.75" hidden="1">
      <c r="O67" s="774"/>
      <c r="T67" s="2452" t="s">
        <v>1609</v>
      </c>
      <c r="U67" s="2452"/>
      <c r="V67" s="2452"/>
      <c r="W67" s="2452"/>
      <c r="X67" s="2452"/>
      <c r="Y67" s="2452"/>
      <c r="Z67" s="2452"/>
      <c r="AA67" s="2452"/>
      <c r="AB67" s="2452"/>
      <c r="AC67" s="2452"/>
      <c r="AD67" s="2452"/>
      <c r="AE67" s="2452"/>
      <c r="AF67" s="2452"/>
      <c r="AG67" s="2452"/>
      <c r="AH67" s="2452"/>
      <c r="AI67" s="2452"/>
      <c r="AJ67" s="2452"/>
      <c r="AK67" s="2452"/>
      <c r="AL67" s="2452"/>
      <c r="AM67" s="2452"/>
      <c r="AN67" s="2452"/>
      <c r="AO67" s="2452"/>
      <c r="AP67" s="2452"/>
      <c r="AQ67" s="2452"/>
      <c r="AR67" s="2452"/>
      <c r="AS67" s="2452"/>
      <c r="AT67" s="2452"/>
      <c r="AU67" s="2452"/>
    </row>
    <row customHeight="1" ht="15.75" hidden="1">
      <c r="O68" s="774"/>
      <c r="T68" s="2452" t="s">
        <v>1591</v>
      </c>
      <c r="U68" s="2452"/>
      <c r="V68" s="2452"/>
      <c r="W68" s="2452"/>
      <c r="X68" s="2452"/>
      <c r="Y68" s="2452"/>
      <c r="Z68" s="2452"/>
      <c r="AA68" s="2452"/>
      <c r="AB68" s="2452"/>
      <c r="AC68" s="2452"/>
      <c r="AD68" s="2452"/>
      <c r="AE68" s="2452"/>
      <c r="AF68" s="2452"/>
      <c r="AG68" s="2452"/>
      <c r="AH68" s="2452"/>
      <c r="AI68" s="2452"/>
      <c r="AJ68" s="2452"/>
      <c r="AK68" s="2452"/>
      <c r="AL68" s="2452"/>
      <c r="AM68" s="2452"/>
      <c r="AN68" s="2452"/>
      <c r="AO68" s="2452"/>
      <c r="AP68" s="2452"/>
      <c r="AQ68" s="2452"/>
      <c r="AR68" s="2452"/>
      <c r="AS68" s="2452"/>
      <c r="AT68" s="2452"/>
      <c r="AU68" s="2452"/>
    </row>
    <row customHeight="1" ht="14.25">
      <c r="O69" s="774"/>
    </row>
  </sheetData>
  <sheetProtection formatColumns="0" formatRows="0" autoFilter="0" sort="0" insertRows="0" insertColumns="1" deleteRows="0" deleteColumns="0"/>
  <mergeCells count="117">
    <mergeCell ref="T67:AU67"/>
    <mergeCell ref="T68:AU68"/>
    <mergeCell ref="AI51:AI52"/>
    <mergeCell ref="AJ51:AJ52"/>
    <mergeCell ref="AJ40:AM43"/>
    <mergeCell ref="AD51:AD53"/>
    <mergeCell ref="AE51:AE53"/>
    <mergeCell ref="AF51:AF53"/>
    <mergeCell ref="AG51:AG52"/>
    <mergeCell ref="AH51:AH52"/>
    <mergeCell ref="T64:AU64"/>
    <mergeCell ref="T65:AU65"/>
    <mergeCell ref="T51:T54"/>
    <mergeCell ref="AB51:AB54"/>
    <mergeCell ref="AC51:AC53"/>
    <mergeCell ref="AU39:AU43"/>
    <mergeCell ref="T40:T43"/>
    <mergeCell ref="V40:Z40"/>
    <mergeCell ref="AU51:AU55"/>
    <mergeCell ref="Y44:Z44"/>
    <mergeCell ref="AQ44:AR44"/>
    <mergeCell ref="V41:W42"/>
    <mergeCell ref="X41:Z42"/>
    <mergeCell ref="Y43:Z43"/>
    <mergeCell ref="E2:E17"/>
    <mergeCell ref="F3:F16"/>
    <mergeCell ref="G4:G15"/>
    <mergeCell ref="H5:H14"/>
    <mergeCell ref="V5:AA5"/>
    <mergeCell ref="X8:X11"/>
    <mergeCell ref="Y8:Y11"/>
    <mergeCell ref="Z8:Z11"/>
    <mergeCell ref="AA8:AA11"/>
    <mergeCell ref="V2:AA2"/>
    <mergeCell ref="I6:I13"/>
    <mergeCell ref="P6:P13"/>
    <mergeCell ref="V6:AA6"/>
    <mergeCell ref="J7:J12"/>
    <mergeCell ref="Q7:Q12"/>
    <mergeCell ref="V7:AA7"/>
    <mergeCell ref="K8:K11"/>
    <mergeCell ref="S8:S11"/>
    <mergeCell ref="T8:T11"/>
    <mergeCell ref="R8:R11"/>
    <mergeCell ref="E45:E61"/>
    <mergeCell ref="V45:AA45"/>
    <mergeCell ref="AB45:AT45"/>
    <mergeCell ref="F46:F59"/>
    <mergeCell ref="V46:AA46"/>
    <mergeCell ref="AB46:AT46"/>
    <mergeCell ref="G47:G58"/>
    <mergeCell ref="V47:AA47"/>
    <mergeCell ref="AB47:AT47"/>
    <mergeCell ref="H48:H57"/>
    <mergeCell ref="V48:AA48"/>
    <mergeCell ref="AB48:AT48"/>
    <mergeCell ref="I49:I56"/>
    <mergeCell ref="P49:P56"/>
    <mergeCell ref="V49:AA49"/>
    <mergeCell ref="AB49:AT49"/>
    <mergeCell ref="J50:J55"/>
    <mergeCell ref="Q50:Q55"/>
    <mergeCell ref="V50:AA50"/>
    <mergeCell ref="AB50:AT50"/>
    <mergeCell ref="K51:K54"/>
    <mergeCell ref="S51:S54"/>
    <mergeCell ref="AQ43:AR43"/>
    <mergeCell ref="AN41:AO42"/>
    <mergeCell ref="AP41:AR42"/>
    <mergeCell ref="S40:S43"/>
    <mergeCell ref="S39:AT39"/>
    <mergeCell ref="AN40:AR40"/>
    <mergeCell ref="AB40:AE43"/>
    <mergeCell ref="AF40:AI43"/>
    <mergeCell ref="S35:T35"/>
    <mergeCell ref="V35:Z35"/>
    <mergeCell ref="AB35:AR35"/>
    <mergeCell ref="V38:AA38"/>
    <mergeCell ref="AB38:AS38"/>
    <mergeCell ref="AA40:AA43"/>
    <mergeCell ref="AS40:AS43"/>
    <mergeCell ref="AT40:AT43"/>
    <mergeCell ref="AB2:AT2"/>
    <mergeCell ref="V3:AA3"/>
    <mergeCell ref="AB3:AT3"/>
    <mergeCell ref="V4:AA4"/>
    <mergeCell ref="AB4:AT4"/>
    <mergeCell ref="AB5:AT5"/>
    <mergeCell ref="AB6:AT6"/>
    <mergeCell ref="AB7:AT7"/>
    <mergeCell ref="S36:T36"/>
    <mergeCell ref="V36:Z36"/>
    <mergeCell ref="AB36:AR36"/>
    <mergeCell ref="S27:AR27"/>
    <mergeCell ref="S28:AR28"/>
    <mergeCell ref="S30:T30"/>
    <mergeCell ref="V30:Z30"/>
    <mergeCell ref="AB30:AR30"/>
    <mergeCell ref="S31:T31"/>
    <mergeCell ref="V31:Z31"/>
    <mergeCell ref="AB31:AR31"/>
    <mergeCell ref="AE8:AE10"/>
    <mergeCell ref="AF8:AF10"/>
    <mergeCell ref="AG8:AG9"/>
    <mergeCell ref="AH8:AH9"/>
    <mergeCell ref="AU8:AU12"/>
    <mergeCell ref="AJ8:AJ9"/>
    <mergeCell ref="AB8:AB11"/>
    <mergeCell ref="AC8:AC10"/>
    <mergeCell ref="AD8:AD10"/>
    <mergeCell ref="AI8:AI9"/>
    <mergeCell ref="S33:T33"/>
    <mergeCell ref="V33:Z33"/>
    <mergeCell ref="AB33:AR33"/>
    <mergeCell ref="S32:T32"/>
    <mergeCell ref="V32:Z32"/>
    <mergeCell ref="AB32:AR32"/>
  </mergeCells>
  <dataValidations count="8">
    <dataValidation allowBlank="1" showInputMessage="1" showErrorMessage="1" prompt="Для выбора выполните двойной щелчок левой клавиши мыши по соответствующей ячейке." sqref="Y65590 Y131126 Y196662 Y262198 Y327734 Y393270 Y458806 Y524342 Y589878 Y655414 Y720950 Y786486 Y852022 Y917558 Y983094 AA131126 AA458806 AA196662 AA262198 AA327734 AA393270 AA524342 AA589878 AA655414 AA720950 AA786486 AA852022 AA917558 AA983094 AA65590 AA8:AA10 Y8:Y10 AQ65590 AQ131126 AQ196662 AQ262198 AQ327734 AQ393270 AQ458806 AQ524342 AQ589878 AQ655414 AQ720950 AQ786486 AQ852022 AQ917558 AQ983094 AS131126 AS458806 AS196662 AS262198 AS327734 AS393270 AS524342 AS589878 AS655414 AS720950 AS786486 AS852022 AS917558 AS983094 AS65590 AQ8 AB8 AE8:AF8 AI8:AJ8 AQ19 AS51 AS19 AB19 AE19:AF19 AI19:AJ19 AI51:AJ51 AE51:AF51 AA51:AB51 AS8 AQ51 Y51"/>
    <dataValidation type="textLength" operator="lessThanOrEqual" allowBlank="1" showInputMessage="1" showErrorMessage="1" errorTitle="Ошибка" error="Допускается ввод не более 900 символов!" sqref="AU65584:AU65591 AU131120:AU131127 AU196656:AU196663 AU262192:AU262199 AU327728:AU327735 AU393264:AU393271 AU458800:AU458807 AU524336:AU524343 AU589872:AU589879 AU655408:AU655415 AU720944:AU720951 AU786480:AU786487 AU852016:AU852023 AU917552:AU917559 AU983088:AU983095 T8:T11 T51:T54">
      <formula1>900</formula1>
    </dataValidation>
    <dataValidation allowBlank="1" promptTitle="checkPeriodRange" sqref="W65591 W131127 W196663 W262199 W327735 W393271 W458807 W524343 W589879 W655415 W720951 W786487 W852023 W917559 W983095 AO54 W11 AO65591 AO131127 AO196663 AO262199 AO327735 AO393271 AO458807 AO524343 AO589879 AO655415 AO720951 AO786487 AO852023 AO917559 AO983095 AO11 W54"/>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65590 X131126 X196662 X262198 X327734 X393270 X458806 X524342 X589878 X655414 X720950 X786486 X852022 X917558 X983094 Z65590 Z131126 Z196662 Z262198 Z327734 Z393270 Z458806 Z524342 Z589878 Z655414 Z720950 Z786486 Z852022 Z917558 Z983094 X8:X10 Z8:Z10 AP65590 AP131126 AP196662 AP262198 AP327734 AP393270 AP458806 AP524342 AP589878 AP655414 AP720950 AP786486 AP852022 AP917558 AP983094 AR65590 AR131126 AR196662 AR262198 AR327734 AR393270 AR458806 AR524342 AR589878 AR655414 AR720950 AR786486 AR852022 AR917558 AR983094 AR8 AR51 AR19 AP19 AP8 AP51 Z51 X51"/>
    <dataValidation type="list" allowBlank="1" showInputMessage="1" showErrorMessage="1" errorTitle="Ошибка" error="Выберите значение из списка" sqref="AB983092:AM983092 AB65588:AM65588 AB131124:AM131124 AB196660:AM196660 AB262196:AM262196 AB327732:AM327732 AB393268:AM393268 AB458804:AM458804 AB524340:AM524340 AB589876:AM589876 AB655412:AM655412 AB720948:AM720948 AB786484:AM786484 AB852020:AM852020 AB917556:AM917556">
      <formula1>kind_of_scheme_in</formula1>
    </dataValidation>
    <dataValidation type="list" allowBlank="1" showInputMessage="1" showErrorMessage="1" errorTitle="Ошибка" error="Выберите значение из списка" sqref="T65590 T131126 T196662 T262198 T327734 T393270 T458806 T524342 T589878 T655414 T720950 T786486 T852022 T917558 T983094">
      <formula1>kind_of_heat_transfer</formula1>
    </dataValidation>
    <dataValidation allowBlank="1" sqref="S131128:AU131134 S196664:AU196670 S262200:AU262206 S327736:AU327742 S393272:AU393278 S458808:AU458814 S524344:AU524350 S589880:AU589886 S655416:AU655422 S720952:AU720958 S786488:AU786494 S852024:AU852030 S917560:AU917566 S983096:AU983102 S65592:AU65598"/>
    <dataValidation type="list" allowBlank="1" showInputMessage="1" errorTitle="Ошибка" error="Выберите значение из списка" prompt="Выберите значение из списка" sqref="V917557:AT917557 V983093:AT983093 V65589:AT65589 V131125:AT131125 V196661:AT196661 V262197:AT262197 V327733:AT327733 V393269:AT393269 V458805:AT458805 V524341:AT524341 V589877:AT589877 V655413:AT655413 V720949:AT720949 V786485:AT786485 V852021:AT852021">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EEF8CCB-32FE-A86E-C8F3-65A680AD923B}" mc:Ignorable="x14ac xr xr2 xr3">
  <sheetPr>
    <tabColor theme="6" tint="0.4"/>
  </sheetPr>
  <dimension ref="A1:AC40"/>
  <sheetViews>
    <sheetView topLeftCell="I4" showGridLines="0" workbookViewId="0">
      <selection activeCell="A1" sqref="A1"/>
    </sheetView>
  </sheetViews>
  <sheetFormatPr defaultColWidth="10.57421875" customHeight="1" defaultRowHeight="14.25"/>
  <cols>
    <col min="1" max="1" style="11074" width="10.57421875" hidden="1"/>
    <col min="2" max="2" style="11074" width="11.00390625" hidden="1" customWidth="1"/>
    <col min="3" max="3" style="11074" width="10.57421875" hidden="1"/>
    <col min="4" max="4" style="11074" width="11.8515625" hidden="1" customWidth="1"/>
    <col min="5" max="5" style="11074" width="12.28125" hidden="1" customWidth="1"/>
    <col min="6" max="8" style="9887" width="12.28125" hidden="1" customWidth="1"/>
    <col min="9" max="9" style="11241" width="3.7109375" customWidth="1"/>
    <col min="10" max="11" style="10046" width="3.7109375" customWidth="1"/>
    <col min="12" max="12" style="11124" width="12.7109375" customWidth="1"/>
    <col min="13" max="13" style="11126" width="32.00390625" customWidth="1"/>
    <col min="14" max="14" style="11126" width="1.7109375" customWidth="1"/>
    <col min="15" max="18" style="11126" width="24.7109375" customWidth="1"/>
    <col min="19" max="19" style="11126" width="11.7109375" customWidth="1"/>
    <col min="20" max="20" style="11126" width="3.7109375" customWidth="1"/>
    <col min="21" max="21" style="11126" width="11.7109375" customWidth="1"/>
    <col min="22" max="22" style="11126" width="8.57421875" customWidth="1"/>
    <col min="23" max="23" style="11126" width="4.7109375" customWidth="1"/>
    <col min="24" max="24" style="11126" width="115.7109375" customWidth="1"/>
    <col min="25" max="26" style="10863" width="10.57421875"/>
    <col min="27" max="27" style="10863" width="11.140625" customWidth="1"/>
    <col min="28" max="29" style="10863" width="10.57421875"/>
  </cols>
  <sheetData>
    <row customHeight="1" ht="14.25" hidden="1">
      <c r="R1" s="548"/>
      <c r="S1" s="548"/>
    </row>
    <row customHeight="1" ht="14.25" hidden="1">
      <c r="V2" s="548"/>
    </row>
    <row customHeight="1" ht="14.25" hidden="1"/>
    <row customHeight="1" ht="14.25">
      <c r="J4" s="602"/>
      <c r="K4" s="602"/>
      <c r="L4" s="1565"/>
      <c r="M4" s="586"/>
      <c r="N4" s="586"/>
      <c r="O4" s="746"/>
      <c r="P4" s="746"/>
      <c r="Q4" s="746"/>
      <c r="R4" s="746"/>
      <c r="S4" s="746"/>
      <c r="T4" s="746"/>
      <c r="U4" s="746"/>
      <c r="V4" s="746"/>
    </row>
    <row customHeight="1" ht="64.5">
      <c r="J5" s="602"/>
      <c r="K5" s="602"/>
      <c r="L5" s="2414" t="s">
        <v>484</v>
      </c>
      <c r="M5" s="2414"/>
      <c r="N5" s="2414"/>
      <c r="O5" s="2414"/>
      <c r="P5" s="2414"/>
      <c r="Q5" s="2414"/>
      <c r="R5" s="2414"/>
      <c r="S5" s="2414"/>
      <c r="T5" s="2414"/>
      <c r="U5" s="2414"/>
      <c r="V5" s="1521"/>
    </row>
    <row customHeight="1" ht="14.25">
      <c r="J6" s="602"/>
      <c r="K6" s="602"/>
      <c r="L6" s="2415" t="str">
        <f>IF(org=0,"Не определено",org)</f>
        <v>ООО "СамРЭК-Тепло Жигулевск"</v>
      </c>
      <c r="M6" s="2415"/>
      <c r="N6" s="2415"/>
      <c r="O6" s="2415"/>
      <c r="P6" s="2415"/>
      <c r="Q6" s="2415"/>
      <c r="R6" s="2415"/>
      <c r="S6" s="2415"/>
      <c r="T6" s="2415"/>
      <c r="U6" s="2415"/>
      <c r="V6" s="1521"/>
    </row>
    <row customHeight="1" ht="14.25">
      <c r="J7" s="602"/>
      <c r="K7" s="602"/>
      <c r="L7" s="1565"/>
      <c r="M7" s="586"/>
      <c r="N7" s="586"/>
      <c r="O7" s="541"/>
      <c r="P7" s="541"/>
      <c r="Q7" s="541"/>
      <c r="R7" s="541"/>
      <c r="S7" s="541"/>
      <c r="T7" s="541"/>
      <c r="U7" s="541"/>
      <c r="V7" s="541"/>
      <c r="W7" s="746"/>
    </row>
    <row s="10859" customFormat="1" customHeight="1" ht="45">
      <c r="A8" s="1664"/>
      <c r="B8" s="1664"/>
      <c r="C8" s="1664"/>
      <c r="D8" s="1664"/>
      <c r="E8" s="1664"/>
      <c r="F8" s="1664"/>
      <c r="G8" s="1664"/>
      <c r="H8" s="1664"/>
      <c r="L8" s="1566"/>
      <c r="M8" s="505" t="s">
        <v>39</v>
      </c>
      <c r="N8" s="514"/>
      <c r="O8" s="2417" t="str">
        <f>IF(TITLE_NAME_OR_PR_CHANGE="",IF(TITLE_NAME_OR_PR="","",TITLE_NAME_OR_PR),TITLE_NAME_OR_PR_CHANGE)</f>
        <v/>
      </c>
      <c r="P8" s="2417"/>
      <c r="Q8" s="2417"/>
      <c r="R8" s="2417"/>
      <c r="S8" s="2417"/>
      <c r="T8" s="2417"/>
      <c r="U8" s="2417"/>
      <c r="V8" s="547"/>
      <c r="W8" s="547"/>
      <c r="X8" s="490"/>
      <c r="Y8" s="593"/>
      <c r="Z8" s="593"/>
      <c r="AA8" s="593"/>
      <c r="AB8" s="593"/>
      <c r="AC8" s="593"/>
    </row>
    <row s="10859" customFormat="1" customHeight="1" ht="22.5">
      <c r="A9" s="1664"/>
      <c r="B9" s="1664"/>
      <c r="C9" s="1664"/>
      <c r="D9" s="1664"/>
      <c r="E9" s="1664"/>
      <c r="F9" s="1664"/>
      <c r="G9" s="1664"/>
      <c r="H9" s="1664"/>
      <c r="L9" s="1566"/>
      <c r="M9" s="505" t="s">
        <v>1540</v>
      </c>
      <c r="N9" s="514"/>
      <c r="O9" s="2417" t="str">
        <f>IF(TITLE_DATE_CHANGE_PERIOD="",IF(TITLE_DATE_PR="","",TITLE_DATE_PR),TITLE_DATE_CHANGE_PERIOD)</f>
        <v/>
      </c>
      <c r="P9" s="2417"/>
      <c r="Q9" s="2417"/>
      <c r="R9" s="2417"/>
      <c r="S9" s="2417"/>
      <c r="T9" s="2417"/>
      <c r="U9" s="2417"/>
      <c r="V9" s="547"/>
      <c r="W9" s="547"/>
      <c r="X9" s="490"/>
      <c r="Y9" s="593"/>
      <c r="Z9" s="593"/>
      <c r="AA9" s="593"/>
      <c r="AB9" s="593"/>
      <c r="AC9" s="593"/>
    </row>
    <row s="10859" customFormat="1" customHeight="1" ht="22.5">
      <c r="A10" s="1664"/>
      <c r="B10" s="1664"/>
      <c r="C10" s="1664"/>
      <c r="D10" s="1664"/>
      <c r="E10" s="1664"/>
      <c r="F10" s="1664"/>
      <c r="G10" s="1664"/>
      <c r="H10" s="1664"/>
      <c r="L10" s="1529"/>
      <c r="M10" s="505" t="s">
        <v>1541</v>
      </c>
      <c r="N10" s="514"/>
      <c r="O10" s="2417" t="str">
        <f>IF(TITLE_NUMBER_PR_CHANGE="",IF(TITLE_NUMBER_PR="","",TITLE_NUMBER_PR),TITLE_NUMBER_PR_CHANGE)</f>
        <v/>
      </c>
      <c r="P10" s="2417"/>
      <c r="Q10" s="2417"/>
      <c r="R10" s="2417"/>
      <c r="S10" s="2417"/>
      <c r="T10" s="2417"/>
      <c r="U10" s="2417"/>
      <c r="V10" s="547"/>
      <c r="W10" s="547"/>
      <c r="X10" s="490"/>
      <c r="Y10" s="593"/>
      <c r="Z10" s="593"/>
      <c r="AA10" s="593"/>
      <c r="AB10" s="593"/>
      <c r="AC10" s="593"/>
    </row>
    <row s="10859" customFormat="1" customHeight="1" ht="22.5">
      <c r="A11" s="1664"/>
      <c r="B11" s="1664"/>
      <c r="C11" s="1664"/>
      <c r="D11" s="1664"/>
      <c r="E11" s="1664"/>
      <c r="F11" s="1664"/>
      <c r="G11" s="1664"/>
      <c r="H11" s="1664"/>
      <c r="L11" s="1529"/>
      <c r="M11" s="505" t="s">
        <v>40</v>
      </c>
      <c r="N11" s="514"/>
      <c r="O11" s="2417" t="str">
        <f>IF(TITLE_IST_PUB_CHANGE="",IF(TITLE_IST_PUB="","",TITLE_IST_PUB),TITLE_IST_PUB_CHANGE)</f>
        <v/>
      </c>
      <c r="P11" s="2417"/>
      <c r="Q11" s="2417"/>
      <c r="R11" s="2417"/>
      <c r="S11" s="2417"/>
      <c r="T11" s="2417"/>
      <c r="U11" s="2417"/>
      <c r="V11" s="547"/>
      <c r="W11" s="547"/>
      <c r="X11" s="490"/>
      <c r="Y11" s="593"/>
      <c r="Z11" s="593"/>
      <c r="AA11" s="593"/>
      <c r="AB11" s="593"/>
      <c r="AC11" s="593"/>
    </row>
    <row s="10859" customFormat="1" customHeight="1" ht="11.25" hidden="1">
      <c r="A12" s="1664"/>
      <c r="B12" s="1664"/>
      <c r="C12" s="1664"/>
      <c r="D12" s="1664"/>
      <c r="E12" s="1664"/>
      <c r="F12" s="1664"/>
      <c r="G12" s="1664"/>
      <c r="H12" s="1664"/>
      <c r="L12" s="2517"/>
      <c r="M12" s="2517"/>
      <c r="N12" s="1577"/>
      <c r="O12" s="547"/>
      <c r="P12" s="547"/>
      <c r="Q12" s="547"/>
      <c r="R12" s="547"/>
      <c r="S12" s="547"/>
      <c r="T12" s="547"/>
      <c r="U12" s="547"/>
      <c r="V12" s="488" t="s">
        <v>1544</v>
      </c>
      <c r="Y12" s="593"/>
      <c r="Z12" s="593"/>
      <c r="AA12" s="593"/>
      <c r="AB12" s="593"/>
      <c r="AC12" s="593"/>
    </row>
    <row customHeight="1" ht="14.25">
      <c r="J13" s="602"/>
      <c r="K13" s="602"/>
      <c r="L13" s="1565"/>
      <c r="M13" s="586"/>
      <c r="N13" s="1522"/>
      <c r="O13" s="2418"/>
      <c r="P13" s="2418"/>
      <c r="Q13" s="2418"/>
      <c r="R13" s="2418"/>
      <c r="S13" s="2418"/>
      <c r="T13" s="2418"/>
      <c r="U13" s="2418"/>
      <c r="V13" s="2418"/>
    </row>
    <row customHeight="1" ht="14.25">
      <c r="J14" s="602"/>
      <c r="K14" s="602"/>
      <c r="L14" s="2277" t="s">
        <v>362</v>
      </c>
      <c r="M14" s="2277"/>
      <c r="N14" s="2277"/>
      <c r="O14" s="2277"/>
      <c r="P14" s="2277"/>
      <c r="Q14" s="2277"/>
      <c r="R14" s="2277"/>
      <c r="S14" s="2277"/>
      <c r="T14" s="2277"/>
      <c r="U14" s="2277"/>
      <c r="V14" s="2277"/>
      <c r="W14" s="2277"/>
      <c r="X14" s="2277" t="s">
        <v>363</v>
      </c>
    </row>
    <row customHeight="1" ht="14.25">
      <c r="J15" s="602"/>
      <c r="K15" s="602"/>
      <c r="L15" s="2440" t="s">
        <v>88</v>
      </c>
      <c r="M15" s="2301" t="s">
        <v>1545</v>
      </c>
      <c r="N15" s="511"/>
      <c r="O15" s="2441" t="s">
        <v>1610</v>
      </c>
      <c r="P15" s="2442"/>
      <c r="Q15" s="2442"/>
      <c r="R15" s="2442"/>
      <c r="S15" s="2442"/>
      <c r="T15" s="2442"/>
      <c r="U15" s="2443"/>
      <c r="V15" s="2444" t="s">
        <v>1547</v>
      </c>
      <c r="W15" s="2447" t="s">
        <v>1611</v>
      </c>
      <c r="X15" s="2277"/>
    </row>
    <row customHeight="1" ht="33.75">
      <c r="J16" s="602"/>
      <c r="K16" s="602"/>
      <c r="L16" s="2440"/>
      <c r="M16" s="2301"/>
      <c r="N16" s="1289"/>
      <c r="O16" s="2426" t="s">
        <v>1550</v>
      </c>
      <c r="P16" s="2426" t="s">
        <v>1551</v>
      </c>
      <c r="Q16" s="2428" t="s">
        <v>1552</v>
      </c>
      <c r="R16" s="2429"/>
      <c r="S16" s="2434" t="s">
        <v>1571</v>
      </c>
      <c r="T16" s="2435"/>
      <c r="U16" s="2436"/>
      <c r="V16" s="2445"/>
      <c r="W16" s="2448"/>
      <c r="X16" s="2277"/>
    </row>
    <row customHeight="1" ht="33.75">
      <c r="A17" s="1666" t="s">
        <v>211</v>
      </c>
      <c r="B17" s="1666" t="s">
        <v>212</v>
      </c>
      <c r="C17" s="1666" t="s">
        <v>213</v>
      </c>
      <c r="D17" s="1666" t="s">
        <v>214</v>
      </c>
      <c r="E17" s="1666"/>
      <c r="J17" s="602"/>
      <c r="K17" s="602"/>
      <c r="L17" s="2440"/>
      <c r="M17" s="2301"/>
      <c r="N17" s="512"/>
      <c r="O17" s="2427"/>
      <c r="P17" s="2427"/>
      <c r="Q17" s="1497" t="s">
        <v>1561</v>
      </c>
      <c r="R17" s="1497" t="s">
        <v>1562</v>
      </c>
      <c r="S17" s="1582" t="s">
        <v>1563</v>
      </c>
      <c r="T17" s="2437" t="s">
        <v>1564</v>
      </c>
      <c r="U17" s="2438"/>
      <c r="V17" s="2446"/>
      <c r="W17" s="2449"/>
      <c r="X17" s="2277"/>
    </row>
    <row s="10822" customFormat="1" customHeight="1" ht="11.25">
      <c r="A18" s="1666"/>
      <c r="B18" s="1666"/>
      <c r="C18" s="1666"/>
      <c r="D18" s="1666"/>
      <c r="E18" s="1666"/>
      <c r="F18" s="1658"/>
      <c r="G18" s="1658"/>
      <c r="H18" s="1658"/>
      <c r="I18" s="1524"/>
      <c r="J18" s="1525"/>
      <c r="K18" s="1540">
        <v>1</v>
      </c>
      <c r="L18" s="1567" t="s">
        <v>109</v>
      </c>
      <c r="M18" s="1541" t="s">
        <v>110</v>
      </c>
      <c r="N18" s="1523" t="str">
        <f>OFFSET(N18,0,-1)</f>
        <v>2</v>
      </c>
      <c r="O18" s="1579">
        <f>OFFSET(O18,0,-1)+1</f>
        <v>3</v>
      </c>
      <c r="P18" s="1579"/>
      <c r="Q18" s="1579">
        <f>OFFSET(Q18,0,-1)+1</f>
        <v>1</v>
      </c>
      <c r="R18" s="1579">
        <f>OFFSET(R18,0,-1)+1</f>
        <v>2</v>
      </c>
      <c r="S18" s="1579">
        <f>OFFSET(S18,0,-1)+1</f>
        <v>3</v>
      </c>
      <c r="T18" s="2439">
        <f>OFFSET(T18,0,-1)+1</f>
        <v>4</v>
      </c>
      <c r="U18" s="2439"/>
      <c r="V18" s="1579">
        <f>OFFSET(V18,0,-2)+1</f>
        <v>5</v>
      </c>
      <c r="W18" s="1523">
        <f>OFFSET(W18,0,-1)</f>
        <v>5</v>
      </c>
      <c r="X18" s="1579">
        <f>OFFSET(X18,0,-1)+1</f>
        <v>6</v>
      </c>
      <c r="Y18" s="748"/>
      <c r="Z18" s="748"/>
      <c r="AA18" s="748"/>
      <c r="AB18" s="748"/>
      <c r="AC18" s="748"/>
    </row>
    <row customHeight="1" ht="21">
      <c r="A19" s="1659" t="s">
        <v>241</v>
      </c>
      <c r="B19" s="1659" t="s">
        <v>242</v>
      </c>
      <c r="C19" s="1659" t="s">
        <v>243</v>
      </c>
      <c r="D19" s="1659" t="s">
        <v>244</v>
      </c>
      <c r="E19" s="1659"/>
      <c r="F19" s="1661"/>
      <c r="G19" s="1661"/>
      <c r="H19" s="1661"/>
      <c r="I19" s="582"/>
      <c r="J19" s="581"/>
      <c r="K19" s="576"/>
      <c r="L19" s="1583">
        <f>INDEX(PT_DIFFERENTIATION_NUM_NTAR,MATCH(A19,PT_DIFFERENTIATION_NTAR_ID,0))</f>
        <v>0</v>
      </c>
      <c r="M19" s="508" t="s">
        <v>200</v>
      </c>
      <c r="N19" s="510"/>
      <c r="O19" s="4328" t="str">
        <f>INDEX(PT_DIFFERENTIATION_NTAR,MATCH(A19,PT_DIFFERENTIATION_NTAR_ID,0))</f>
        <v/>
      </c>
      <c r="P19" s="4328"/>
      <c r="Q19" s="4328"/>
      <c r="R19" s="4328"/>
      <c r="S19" s="4328"/>
      <c r="T19" s="4328"/>
      <c r="U19" s="4328"/>
      <c r="V19" s="4328"/>
      <c r="W19" s="4328"/>
      <c r="X19" s="1546" t="s">
        <v>1516</v>
      </c>
      <c r="Z19" s="737"/>
      <c r="AA19" s="737" t="str">
        <f>IF(M19="","",M19)</f>
        <v>Наименование тарифа</v>
      </c>
      <c r="AB19" s="737"/>
      <c r="AC19" s="737"/>
    </row>
    <row customHeight="1" ht="21">
      <c r="A20" s="1659" t="s">
        <v>241</v>
      </c>
      <c r="B20" s="1659" t="s">
        <v>242</v>
      </c>
      <c r="C20" s="1659" t="s">
        <v>243</v>
      </c>
      <c r="D20" s="1659" t="s">
        <v>244</v>
      </c>
      <c r="E20" s="1659"/>
      <c r="F20" s="1661"/>
      <c r="G20" s="1661"/>
      <c r="H20" s="1661"/>
      <c r="I20" s="1580"/>
      <c r="J20" s="573"/>
      <c r="K20" s="574"/>
      <c r="L20" s="1583" t="str">
        <f>INDEX(PT_DIFFERENTIATION_NUM_TER,MATCH(B19,PT_DIFFERENTIATION_TER_ID,0))</f>
        <v>.</v>
      </c>
      <c r="M20" s="520" t="s">
        <v>1517</v>
      </c>
      <c r="N20" s="510"/>
      <c r="O20" s="4328" t="str">
        <f>INDEX(PT_DIFFERENTIATION_TER,MATCH(B19,PT_DIFFERENTIATION_TER_ID,0))</f>
        <v/>
      </c>
      <c r="P20" s="4328"/>
      <c r="Q20" s="4328"/>
      <c r="R20" s="4328"/>
      <c r="S20" s="4328"/>
      <c r="T20" s="4328"/>
      <c r="U20" s="4328"/>
      <c r="V20" s="4328"/>
      <c r="W20" s="4328"/>
      <c r="X20" s="1546" t="s">
        <v>1518</v>
      </c>
      <c r="Z20" s="737"/>
      <c r="AA20" s="737" t="str">
        <f>IF(M20="","",M20)</f>
        <v>Территория действия тарифа</v>
      </c>
      <c r="AB20" s="737"/>
      <c r="AC20" s="737"/>
    </row>
    <row customHeight="1" ht="22.5">
      <c r="A21" s="1659" t="s">
        <v>241</v>
      </c>
      <c r="B21" s="1659" t="s">
        <v>242</v>
      </c>
      <c r="C21" s="1659" t="s">
        <v>243</v>
      </c>
      <c r="D21" s="1659" t="s">
        <v>244</v>
      </c>
      <c r="E21" s="1659"/>
      <c r="F21" s="1661"/>
      <c r="G21" s="1661"/>
      <c r="H21" s="1661"/>
      <c r="I21" s="575"/>
      <c r="J21" s="573"/>
      <c r="K21" s="574"/>
      <c r="L21" s="1583" t="str">
        <f>INDEX(PT_DIFFERENTIATION_NUM_CS,MATCH(C19,PT_DIFFERENTIATION_CS_ID,0))</f>
        <v>..</v>
      </c>
      <c r="M21" s="521" t="s">
        <v>1519</v>
      </c>
      <c r="N21" s="510"/>
      <c r="O21" s="4328" t="str">
        <f>INDEX(PT_DIFFERENTIATION_CS,MATCH(C19,PT_DIFFERENTIATION_CS_ID,0))</f>
        <v/>
      </c>
      <c r="P21" s="4328"/>
      <c r="Q21" s="4328"/>
      <c r="R21" s="4328"/>
      <c r="S21" s="4328"/>
      <c r="T21" s="4328"/>
      <c r="U21" s="4328"/>
      <c r="V21" s="4328"/>
      <c r="W21" s="4328"/>
      <c r="X21" s="1546" t="s">
        <v>1520</v>
      </c>
      <c r="Z21" s="737"/>
      <c r="AA21" s="737" t="str">
        <f>IF(M21="","",M21)</f>
        <v>Наименование системы теплоснабжения </v>
      </c>
      <c r="AB21" s="737"/>
      <c r="AC21" s="737"/>
    </row>
    <row customHeight="1" ht="21">
      <c r="A22" s="1659" t="s">
        <v>241</v>
      </c>
      <c r="B22" s="1659" t="s">
        <v>242</v>
      </c>
      <c r="C22" s="1659" t="s">
        <v>243</v>
      </c>
      <c r="D22" s="1659" t="s">
        <v>244</v>
      </c>
      <c r="E22" s="1659"/>
      <c r="F22" s="1661"/>
      <c r="G22" s="1661"/>
      <c r="H22" s="1661"/>
      <c r="I22" s="575"/>
      <c r="J22" s="573"/>
      <c r="K22" s="574"/>
      <c r="L22" s="1583" t="str">
        <f>INDEX(PT_DIFFERENTIATION_NUM_IST_TE,MATCH(D19,PT_DIFFERENTIATION_IST_TE_ID,0))</f>
        <v>...</v>
      </c>
      <c r="M22" s="522" t="s">
        <v>1521</v>
      </c>
      <c r="N22" s="510"/>
      <c r="O22" s="4328" t="str">
        <f>INDEX(PT_DIFFERENTIATION_IST_TE,MATCH(D19,PT_DIFFERENTIATION_IST_TE_ID,0))</f>
        <v/>
      </c>
      <c r="P22" s="4328"/>
      <c r="Q22" s="4328"/>
      <c r="R22" s="4328"/>
      <c r="S22" s="4328"/>
      <c r="T22" s="4328"/>
      <c r="U22" s="4328"/>
      <c r="V22" s="4328"/>
      <c r="W22" s="4328"/>
      <c r="X22" s="1546" t="s">
        <v>1522</v>
      </c>
      <c r="Z22" s="737"/>
      <c r="AA22" s="737" t="str">
        <f>IF(M22="","",M22)</f>
        <v>Источник тепловой энергии  </v>
      </c>
      <c r="AB22" s="737"/>
      <c r="AC22" s="737"/>
    </row>
    <row customHeight="1" ht="94.5">
      <c r="A23" s="1659" t="s">
        <v>241</v>
      </c>
      <c r="B23" s="1659" t="s">
        <v>242</v>
      </c>
      <c r="C23" s="1659" t="s">
        <v>243</v>
      </c>
      <c r="D23" s="1659" t="s">
        <v>244</v>
      </c>
      <c r="E23" s="1659"/>
      <c r="F23" s="2519" t="str">
        <f>L22&amp;".1"</f>
        <v>....1</v>
      </c>
      <c r="I23" s="2423">
        <v>1</v>
      </c>
      <c r="J23" s="1581"/>
      <c r="K23" s="577"/>
      <c r="L23" s="1583" t="str">
        <f>$F$23</f>
        <v>....1</v>
      </c>
      <c r="M23" s="495" t="s">
        <v>1524</v>
      </c>
      <c r="N23" s="510"/>
      <c r="O23" s="2520"/>
      <c r="P23" s="2520"/>
      <c r="Q23" s="2520"/>
      <c r="R23" s="2520"/>
      <c r="S23" s="2520"/>
      <c r="T23" s="2520"/>
      <c r="U23" s="2520"/>
      <c r="V23" s="2520"/>
      <c r="W23" s="2520"/>
      <c r="X23" s="1546" t="s">
        <v>1525</v>
      </c>
      <c r="Z23" s="737"/>
      <c r="AA23" s="737" t="str">
        <f>IF(M23="","",M23)</f>
        <v>Схема подключения теплопотребляющей установки к коллектору источника тепловой энергии</v>
      </c>
      <c r="AB23" s="737"/>
      <c r="AC23" s="737"/>
    </row>
    <row customHeight="1" ht="84">
      <c r="A24" s="1659" t="s">
        <v>241</v>
      </c>
      <c r="B24" s="1659" t="s">
        <v>242</v>
      </c>
      <c r="C24" s="1659" t="s">
        <v>243</v>
      </c>
      <c r="D24" s="1659" t="s">
        <v>244</v>
      </c>
      <c r="E24" s="1659"/>
      <c r="F24" s="2519"/>
      <c r="G24" s="2515" t="str">
        <f>F23&amp;".1"</f>
        <v>....1.1</v>
      </c>
      <c r="I24" s="2423"/>
      <c r="J24" s="2423">
        <v>1</v>
      </c>
      <c r="K24" s="578"/>
      <c r="L24" s="1583" t="str">
        <f>$G$24</f>
        <v>....1.1</v>
      </c>
      <c r="M24" s="496" t="s">
        <v>1527</v>
      </c>
      <c r="N24" s="510"/>
      <c r="O24" s="2521"/>
      <c r="P24" s="2522"/>
      <c r="Q24" s="2522"/>
      <c r="R24" s="2522"/>
      <c r="S24" s="2522"/>
      <c r="T24" s="2522"/>
      <c r="U24" s="2522"/>
      <c r="V24" s="2522"/>
      <c r="W24" s="2523"/>
      <c r="X24" s="1546" t="s">
        <v>1528</v>
      </c>
      <c r="Z24" s="737"/>
      <c r="AA24" s="737" t="str">
        <f>IF(M24="","",M24)</f>
        <v>Группа потребителей</v>
      </c>
      <c r="AB24" s="737"/>
      <c r="AC24" s="737"/>
    </row>
    <row customHeight="1" ht="11.25">
      <c r="A25" s="1659" t="s">
        <v>241</v>
      </c>
      <c r="B25" s="1659" t="s">
        <v>242</v>
      </c>
      <c r="C25" s="1659" t="s">
        <v>243</v>
      </c>
      <c r="D25" s="1659" t="s">
        <v>244</v>
      </c>
      <c r="E25" s="1659"/>
      <c r="F25" s="2519"/>
      <c r="G25" s="2515"/>
      <c r="H25" s="2515" t="str">
        <f>G24&amp;".1"</f>
        <v>....1.1.1</v>
      </c>
      <c r="I25" s="2423"/>
      <c r="J25" s="2423"/>
      <c r="K25" s="578">
        <v>1</v>
      </c>
      <c r="L25" s="1583" t="str">
        <f>$H$25</f>
        <v>....1.1.1</v>
      </c>
      <c r="M25" s="1547"/>
      <c r="N25" s="510"/>
      <c r="O25" s="4065"/>
      <c r="P25" s="4066"/>
      <c r="Q25" s="4065"/>
      <c r="R25" s="4067"/>
      <c r="S25" s="2516"/>
      <c r="T25" s="2142" t="s">
        <v>67</v>
      </c>
      <c r="U25" s="2516"/>
      <c r="V25" s="2142" t="s">
        <v>57</v>
      </c>
      <c r="W25" s="4066"/>
      <c r="X25" s="2419" t="s">
        <v>1530</v>
      </c>
      <c r="Y25" s="748">
        <f>STRCHECKDATE(O26:W26)</f>
      </c>
      <c r="Z25" s="737"/>
      <c r="AA25" s="737" t="str">
        <f>IF(M25="","",M25)</f>
        <v/>
      </c>
      <c r="AB25" s="737"/>
      <c r="AC25" s="737"/>
    </row>
    <row customHeight="1" ht="11.25">
      <c r="A26" s="1659" t="s">
        <v>241</v>
      </c>
      <c r="B26" s="1659" t="s">
        <v>242</v>
      </c>
      <c r="C26" s="1659" t="s">
        <v>243</v>
      </c>
      <c r="D26" s="1659" t="s">
        <v>244</v>
      </c>
      <c r="E26" s="1659"/>
      <c r="F26" s="2519"/>
      <c r="G26" s="2515"/>
      <c r="H26" s="2515"/>
      <c r="I26" s="2423"/>
      <c r="J26" s="2423"/>
      <c r="K26" s="578"/>
      <c r="L26" s="1584"/>
      <c r="M26" s="510"/>
      <c r="N26" s="510"/>
      <c r="O26" s="4066"/>
      <c r="P26" s="4066"/>
      <c r="Q26" s="4066"/>
      <c r="R26" s="4071" t="str">
        <f>S25&amp;"-"&amp;U25</f>
        <v>-</v>
      </c>
      <c r="S26" s="2431"/>
      <c r="T26" s="2142"/>
      <c r="U26" s="2431"/>
      <c r="V26" s="2142"/>
      <c r="W26" s="4066"/>
      <c r="X26" s="2420"/>
      <c r="Z26" s="737"/>
      <c r="AA26" s="737" t="str">
        <f>IF(M26="","",M26)</f>
        <v/>
      </c>
      <c r="AB26" s="737"/>
      <c r="AC26" s="737"/>
    </row>
    <row customHeight="1" ht="15">
      <c r="A27" s="1659" t="s">
        <v>241</v>
      </c>
      <c r="B27" s="1659" t="s">
        <v>242</v>
      </c>
      <c r="C27" s="1659" t="s">
        <v>243</v>
      </c>
      <c r="D27" s="1659" t="s">
        <v>244</v>
      </c>
      <c r="E27" s="1659"/>
      <c r="F27" s="2519"/>
      <c r="G27" s="2515"/>
      <c r="I27" s="2423"/>
      <c r="J27" s="2423"/>
      <c r="K27" s="577"/>
      <c r="L27" s="1568"/>
      <c r="M27" s="498" t="s">
        <v>1531</v>
      </c>
      <c r="N27" s="592"/>
      <c r="O27" s="592"/>
      <c r="P27" s="592"/>
      <c r="Q27" s="592"/>
      <c r="R27" s="592"/>
      <c r="S27" s="592"/>
      <c r="T27" s="592"/>
      <c r="U27" s="592"/>
      <c r="V27" s="592"/>
      <c r="W27" s="544"/>
      <c r="X27" s="2421"/>
      <c r="Z27" s="737"/>
      <c r="AA27" s="737" t="str">
        <f>IF(M27="","",M27)</f>
        <v>Добавить вид теплоносителя (параметры теплоносителя)</v>
      </c>
      <c r="AB27" s="737"/>
      <c r="AC27" s="737"/>
    </row>
    <row customHeight="1" ht="15">
      <c r="A28" s="1659" t="s">
        <v>241</v>
      </c>
      <c r="B28" s="1659" t="s">
        <v>242</v>
      </c>
      <c r="C28" s="1659" t="s">
        <v>243</v>
      </c>
      <c r="D28" s="1659" t="s">
        <v>244</v>
      </c>
      <c r="E28" s="1659"/>
      <c r="F28" s="2519"/>
      <c r="I28" s="2423"/>
      <c r="J28" s="1581"/>
      <c r="K28" s="577"/>
      <c r="L28" s="1568"/>
      <c r="M28" s="497" t="s">
        <v>1532</v>
      </c>
      <c r="N28" s="592"/>
      <c r="O28" s="592"/>
      <c r="P28" s="592"/>
      <c r="Q28" s="592"/>
      <c r="R28" s="592"/>
      <c r="S28" s="592"/>
      <c r="T28" s="592"/>
      <c r="U28" s="592"/>
      <c r="V28" s="591"/>
      <c r="W28" s="592"/>
      <c r="X28" s="513"/>
      <c r="Z28" s="737"/>
      <c r="AA28" s="737" t="str">
        <f>IF(M28="","",M28)</f>
        <v>Добавить группу потребителей</v>
      </c>
      <c r="AB28" s="737"/>
      <c r="AC28" s="737"/>
    </row>
    <row customHeight="1" ht="14.25">
      <c r="A29" s="1659" t="s">
        <v>241</v>
      </c>
      <c r="B29" s="1659" t="s">
        <v>242</v>
      </c>
      <c r="C29" s="1659" t="s">
        <v>243</v>
      </c>
      <c r="D29" s="1659" t="s">
        <v>244</v>
      </c>
      <c r="E29" s="1659"/>
      <c r="F29" s="1661"/>
      <c r="G29" s="1661"/>
      <c r="H29" s="774"/>
      <c r="I29" s="581"/>
      <c r="J29" s="601"/>
      <c r="K29" s="576"/>
      <c r="L29" s="1568"/>
      <c r="M29" s="589" t="s">
        <v>1533</v>
      </c>
      <c r="N29" s="592"/>
      <c r="O29" s="592"/>
      <c r="P29" s="592"/>
      <c r="Q29" s="592"/>
      <c r="R29" s="592"/>
      <c r="S29" s="592"/>
      <c r="T29" s="592"/>
      <c r="U29" s="592"/>
      <c r="V29" s="591"/>
      <c r="W29" s="592"/>
      <c r="X29" s="513"/>
      <c r="Z29" s="737"/>
      <c r="AA29" s="737" t="str">
        <f>IF(M29="","",M29)</f>
        <v>Добавить схему подключения</v>
      </c>
      <c r="AB29" s="737"/>
      <c r="AC29" s="737"/>
    </row>
    <row customHeight="1" ht="14.25">
      <c r="A30" s="1659" t="s">
        <v>241</v>
      </c>
      <c r="B30" s="1659" t="s">
        <v>242</v>
      </c>
      <c r="C30" s="1659" t="s">
        <v>243</v>
      </c>
      <c r="D30" s="1659"/>
      <c r="E30" s="1659" t="s">
        <v>1612</v>
      </c>
      <c r="F30" s="1661"/>
      <c r="G30" s="1661"/>
      <c r="H30" s="774"/>
      <c r="I30" s="581"/>
      <c r="J30" s="601"/>
      <c r="K30" s="576"/>
      <c r="L30" s="1569"/>
      <c r="M30" s="1558"/>
      <c r="N30" s="1559"/>
      <c r="O30" s="1559"/>
      <c r="P30" s="1559"/>
      <c r="Q30" s="1559"/>
      <c r="R30" s="1559"/>
      <c r="S30" s="1559"/>
      <c r="T30" s="1559"/>
      <c r="U30" s="1559"/>
      <c r="V30" s="1560"/>
      <c r="W30" s="1559"/>
      <c r="X30" s="1561"/>
      <c r="Z30" s="737"/>
      <c r="AA30" s="737" t="str">
        <f>IF(M30="","",M30)</f>
        <v/>
      </c>
      <c r="AB30" s="737"/>
      <c r="AC30" s="737"/>
    </row>
    <row customHeight="1" ht="14.25">
      <c r="A31" s="1659" t="s">
        <v>241</v>
      </c>
      <c r="B31" s="1659" t="s">
        <v>242</v>
      </c>
      <c r="C31" s="1659"/>
      <c r="D31" s="1659"/>
      <c r="E31" s="1659" t="s">
        <v>1613</v>
      </c>
      <c r="F31" s="1818"/>
      <c r="G31" s="1818"/>
      <c r="H31" s="774"/>
      <c r="I31" s="579"/>
      <c r="J31" s="601"/>
      <c r="K31" s="580"/>
      <c r="L31" s="1569"/>
      <c r="M31" s="1562"/>
      <c r="N31" s="1559"/>
      <c r="O31" s="1559"/>
      <c r="P31" s="1559"/>
      <c r="Q31" s="1559"/>
      <c r="R31" s="1559"/>
      <c r="S31" s="1559"/>
      <c r="T31" s="1559"/>
      <c r="U31" s="1559"/>
      <c r="V31" s="1560"/>
      <c r="W31" s="1559"/>
      <c r="X31" s="1561"/>
      <c r="Z31" s="737"/>
      <c r="AA31" s="737" t="str">
        <f>IF(M31="","",M31)</f>
        <v/>
      </c>
      <c r="AB31" s="737"/>
      <c r="AC31" s="737"/>
    </row>
    <row customHeight="1" ht="14.25">
      <c r="A32" s="1659" t="s">
        <v>1614</v>
      </c>
      <c r="B32" s="1659"/>
      <c r="C32" s="1659"/>
      <c r="D32" s="1659"/>
      <c r="E32" s="1659" t="s">
        <v>104</v>
      </c>
      <c r="F32" s="1818"/>
      <c r="G32" s="1818"/>
      <c r="H32" s="774"/>
      <c r="I32" s="581"/>
      <c r="J32" s="601"/>
      <c r="K32" s="576"/>
      <c r="L32" s="1569"/>
      <c r="M32" s="1563"/>
      <c r="N32" s="1559"/>
      <c r="O32" s="1559"/>
      <c r="P32" s="1559"/>
      <c r="Q32" s="1559"/>
      <c r="R32" s="1559"/>
      <c r="S32" s="1559"/>
      <c r="T32" s="1559"/>
      <c r="U32" s="1559"/>
      <c r="V32" s="1560"/>
      <c r="W32" s="1559"/>
      <c r="X32" s="1561"/>
      <c r="Z32" s="737"/>
      <c r="AA32" s="737" t="str">
        <f>IF(M32="","",M32)</f>
        <v/>
      </c>
      <c r="AB32" s="737"/>
      <c r="AC32" s="737"/>
    </row>
    <row s="11403" customFormat="1" customHeight="1" ht="11.25">
      <c r="A33" s="1659"/>
      <c r="B33" s="1659"/>
      <c r="C33" s="1659"/>
      <c r="D33" s="1659"/>
      <c r="E33" s="1659" t="s">
        <v>1495</v>
      </c>
      <c r="F33" s="1819"/>
      <c r="G33" s="1820"/>
      <c r="H33" s="774"/>
      <c r="L33" s="1570"/>
      <c r="M33" s="1564"/>
      <c r="N33" s="1559"/>
      <c r="O33" s="1559"/>
      <c r="P33" s="1559"/>
      <c r="Q33" s="1559"/>
      <c r="R33" s="1559"/>
      <c r="S33" s="1559"/>
      <c r="T33" s="1559"/>
      <c r="U33" s="1559"/>
      <c r="V33" s="1560"/>
      <c r="W33" s="1559"/>
      <c r="X33" s="1561"/>
      <c r="Y33" s="608"/>
      <c r="Z33" s="608"/>
      <c r="AA33" s="608"/>
      <c r="AB33" s="608"/>
      <c r="AC33" s="608"/>
    </row>
    <row customHeight="1" ht="11.25">
      <c r="F34" s="1421"/>
      <c r="G34" s="1421"/>
      <c r="H34" s="774"/>
      <c r="I34" s="1416"/>
      <c r="J34" s="1416"/>
      <c r="K34" s="1416"/>
      <c r="Y34" s="1416"/>
      <c r="Z34" s="1416"/>
      <c r="AA34" s="1416"/>
      <c r="AB34" s="1416"/>
      <c r="AC34" s="1416"/>
    </row>
    <row customHeight="1" ht="27">
      <c r="H35" s="774"/>
      <c r="L35" s="1578" t="s">
        <v>1565</v>
      </c>
      <c r="M35" s="2452" t="s">
        <v>1572</v>
      </c>
      <c r="N35" s="2452"/>
      <c r="O35" s="2452"/>
      <c r="P35" s="2452"/>
      <c r="Q35" s="2452"/>
      <c r="R35" s="2452"/>
      <c r="S35" s="2452"/>
      <c r="T35" s="2452"/>
      <c r="U35" s="2452"/>
      <c r="V35" s="2452"/>
      <c r="W35" s="2452"/>
      <c r="X35" s="2452"/>
    </row>
    <row customHeight="1" ht="104.25">
      <c r="H36" s="774"/>
      <c r="I36" s="1597"/>
      <c r="M36" s="2452" t="s">
        <v>1567</v>
      </c>
      <c r="N36" s="2452"/>
      <c r="O36" s="2452"/>
      <c r="P36" s="2452"/>
      <c r="Q36" s="2452"/>
      <c r="R36" s="2452"/>
      <c r="S36" s="2452"/>
      <c r="T36" s="2452"/>
      <c r="U36" s="2452"/>
      <c r="V36" s="2452"/>
      <c r="W36" s="2452"/>
      <c r="X36" s="2452"/>
    </row>
    <row customHeight="1" ht="14.25">
      <c r="H37" s="774"/>
    </row>
    <row customHeight="1" ht="14.25">
      <c r="H38" s="774"/>
    </row>
    <row customHeight="1" ht="14.25">
      <c r="H39" s="774"/>
    </row>
    <row customHeight="1" ht="14.25">
      <c r="H40" s="774"/>
    </row>
  </sheetData>
  <sheetProtection formatColumns="0" formatRows="0" autoFilter="0" sort="0" insertRows="0" insertColumns="1" deleteRows="0" deleteColumns="0"/>
  <mergeCells count="39">
    <mergeCell ref="O19:W19"/>
    <mergeCell ref="O20:W20"/>
    <mergeCell ref="O21:W21"/>
    <mergeCell ref="O22:W22"/>
    <mergeCell ref="F23:F28"/>
    <mergeCell ref="I23:I28"/>
    <mergeCell ref="O23:W23"/>
    <mergeCell ref="G24:G27"/>
    <mergeCell ref="J24:J27"/>
    <mergeCell ref="O24:W24"/>
    <mergeCell ref="O11:U11"/>
    <mergeCell ref="L12:M12"/>
    <mergeCell ref="O13:V13"/>
    <mergeCell ref="L14:W14"/>
    <mergeCell ref="T18:U18"/>
    <mergeCell ref="L5:U5"/>
    <mergeCell ref="L6:U6"/>
    <mergeCell ref="O8:U8"/>
    <mergeCell ref="O9:U9"/>
    <mergeCell ref="O10:U10"/>
    <mergeCell ref="X14:X17"/>
    <mergeCell ref="L15:L17"/>
    <mergeCell ref="M15:M17"/>
    <mergeCell ref="O15:U15"/>
    <mergeCell ref="V15:V17"/>
    <mergeCell ref="W15:W17"/>
    <mergeCell ref="O16:O17"/>
    <mergeCell ref="P16:P17"/>
    <mergeCell ref="Q16:R16"/>
    <mergeCell ref="S16:U16"/>
    <mergeCell ref="T17:U17"/>
    <mergeCell ref="X25:X27"/>
    <mergeCell ref="M35:X35"/>
    <mergeCell ref="M36:X36"/>
    <mergeCell ref="H25:H26"/>
    <mergeCell ref="S25:S26"/>
    <mergeCell ref="T25:T26"/>
    <mergeCell ref="U25:U26"/>
    <mergeCell ref="V25:V26"/>
  </mergeCells>
  <dataValidations count="8">
    <dataValidation type="list" allowBlank="1" showInputMessage="1" showErrorMessage="1" errorTitle="Ошибка" error="Выберите значение из списка" sqref="O983063:P983063 O65559:P65559 O131095:P131095 O196631:P196631 O262167:P262167 O327703:P327703 O393239:P393239 O458775:P458775 O524311:P524311 O589847:P589847 O655383:P655383 O720919:P720919 O786455:P786455 O851991:P851991 O917527:P917527">
      <formula1>kind_of_scheme_in</formula1>
    </dataValidation>
    <dataValidation type="textLength" operator="lessThanOrEqual" allowBlank="1" showInputMessage="1" showErrorMessage="1" errorTitle="Ошибка" error="Допускается ввод не более 900 символов!" sqref="X65555:X65562 X131091:X131098 X196627:X196634 X262163:X262170 X327699:X327706 X393235:X393242 X458771:X458778 X524307:X524314 X589843:X589850 X655379:X655386 X720915:X720922 X786451:X786458 X851987:X851994 X917523:X917530 X983059:X983066">
      <formula1>900</formula1>
    </dataValidation>
    <dataValidation type="list" allowBlank="1" showInputMessage="1" errorTitle="Ошибка" error="Выберите значение из списка" prompt="Выберите значение из списка" sqref="O983064:W983064 O65560:W65560 O131096:W131096 O196632:W196632 O262168:W262168 O327704:W327704 O393240:W393240 O458776:W458776 O524312:W524312 O589848:W589848 O655384:W655384 O720920:W720920 O786456:W786456 O851992:W851992 O917528:W917528">
      <formula1>kind_of_cons</formula1>
    </dataValidation>
    <dataValidation type="list" allowBlank="1" showInputMessage="1" showErrorMessage="1" errorTitle="Ошибка" error="Выберите значение из списка" sqref="M65561 M131097 M196633 M262169 M327705 M393241 M458777 M524313 M589849 M655385 M720921 M786457 M851993 M917529 M983065">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S65561 S131097 S196633 S262169 S327705 S393241 S458777 S524313 S589849 S655385 S720921 S786457 S851993 S917529 S983065 U65561 U131097 U196633 U262169 U327705 U393241 U458777 U524313 U589849 U655385 U720921 U786457 U851993 U917529 U983065 U25 S25"/>
    <dataValidation allowBlank="1" showInputMessage="1" showErrorMessage="1" prompt="Для выбора выполните двойной щелчок левой клавиши мыши по соответствующей ячейке." sqref="T65561 T131097 T196633 T262169 T327705 T393241 T458777 T524313 T589849 T655385 T720921 T786457 T851993 T917529 T983065 V589849 V655385 V720921 V786457 V851993 V917529 V983065 V65561 V131097 V458777 V196633 V262169 V327705 V393241 V25 T25 V524313"/>
    <dataValidation allowBlank="1" promptTitle="checkPeriodRange" sqref="R26 R65562 R131098 R196634 R262170 R327706 R393242 R458778 R524314 R589850 R655386 R720922 R786458 R851994 R917530 R983066"/>
    <dataValidation allowBlank="1" sqref="L131099:X131105 L196635:X196641 L262171:X262177 L327707:X327713 L393243:X393249 L458779:X458785 L524315:X524321 L589851:X589857 L655387:X655393 L720923:X720929 L786459:X786465 L851995:X852001 L917531:X917537 L983067:X983073 L65563:X65569"/>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0B1A579-9408-D928-A557-2233C7AF23F1}" mc:Ignorable="x14ac xr xr2 xr3">
  <sheetPr>
    <tabColor theme="6" tint="0.4"/>
  </sheetPr>
  <dimension ref="A1:AC40"/>
  <sheetViews>
    <sheetView topLeftCell="A4" showGridLines="0" workbookViewId="0">
      <selection activeCell="A1" sqref="A1"/>
    </sheetView>
  </sheetViews>
  <sheetFormatPr defaultColWidth="10.57421875" customHeight="1" defaultRowHeight="14.25"/>
  <cols>
    <col min="1" max="1" style="11126" width="11.57421875" customWidth="1"/>
    <col min="2" max="2" style="11126" width="10.7109375" customWidth="1"/>
    <col min="3" max="3" style="11126" width="10.00390625" customWidth="1"/>
    <col min="4" max="4" style="11126" width="12.8515625" customWidth="1"/>
    <col min="5" max="5" style="11126" width="12.28125" customWidth="1"/>
    <col min="6" max="8" style="11241" width="12.28125" customWidth="1"/>
    <col min="9" max="9" style="11241" width="3.7109375" customWidth="1"/>
    <col min="10" max="11" style="10046" width="3.7109375" customWidth="1"/>
    <col min="12" max="12" style="11124" width="12.7109375" customWidth="1"/>
    <col min="13" max="13" style="11126" width="32.00390625" customWidth="1"/>
    <col min="14" max="14" style="11126" width="1.7109375" customWidth="1"/>
    <col min="15" max="18" style="11126" width="24.7109375" customWidth="1"/>
    <col min="19" max="19" style="11126" width="11.7109375" customWidth="1"/>
    <col min="20" max="20" style="11126" width="3.7109375" customWidth="1"/>
    <col min="21" max="21" style="11126" width="11.7109375" customWidth="1"/>
    <col min="22" max="22" style="11126" width="8.57421875" customWidth="1"/>
    <col min="23" max="23" style="11126" width="4.7109375" customWidth="1"/>
    <col min="24" max="24" style="11126" width="115.7109375" customWidth="1"/>
    <col min="25" max="26" style="10863" width="10.57421875"/>
    <col min="27" max="27" style="10863" width="11.140625" customWidth="1"/>
    <col min="28" max="29" style="10863" width="10.57421875"/>
  </cols>
  <sheetData>
    <row customHeight="1" ht="14.25" hidden="1">
      <c r="R1" s="548"/>
      <c r="S1" s="548"/>
    </row>
    <row customHeight="1" ht="14.25" hidden="1">
      <c r="V2" s="548"/>
    </row>
    <row customHeight="1" ht="14.25" hidden="1"/>
    <row customHeight="1" ht="14.25">
      <c r="J4" s="602"/>
      <c r="K4" s="602"/>
      <c r="L4" s="1565"/>
      <c r="M4" s="586"/>
      <c r="N4" s="586"/>
      <c r="O4" s="746"/>
      <c r="P4" s="746"/>
      <c r="Q4" s="746"/>
      <c r="R4" s="746"/>
      <c r="S4" s="746"/>
      <c r="T4" s="746"/>
      <c r="U4" s="746"/>
      <c r="V4" s="746"/>
    </row>
    <row customHeight="1" ht="64.5">
      <c r="J5" s="602"/>
      <c r="K5" s="602"/>
      <c r="L5" s="2414" t="s">
        <v>484</v>
      </c>
      <c r="M5" s="2414"/>
      <c r="N5" s="2414"/>
      <c r="O5" s="2414"/>
      <c r="P5" s="2414"/>
      <c r="Q5" s="2414"/>
      <c r="R5" s="2414"/>
      <c r="S5" s="2414"/>
      <c r="T5" s="2414"/>
      <c r="U5" s="2414"/>
      <c r="V5" s="1521"/>
    </row>
    <row customHeight="1" ht="14.25">
      <c r="J6" s="602"/>
      <c r="K6" s="602"/>
      <c r="L6" s="2415" t="str">
        <f>IF(org=0,"Не определено",org)</f>
        <v>ООО "СамРЭК-Тепло Жигулевск"</v>
      </c>
      <c r="M6" s="2415"/>
      <c r="N6" s="2415"/>
      <c r="O6" s="2415"/>
      <c r="P6" s="2415"/>
      <c r="Q6" s="2415"/>
      <c r="R6" s="2415"/>
      <c r="S6" s="2415"/>
      <c r="T6" s="2415"/>
      <c r="U6" s="2415"/>
      <c r="V6" s="1521"/>
    </row>
    <row customHeight="1" ht="14.25">
      <c r="J7" s="602"/>
      <c r="K7" s="602"/>
      <c r="L7" s="1565"/>
      <c r="M7" s="586"/>
      <c r="N7" s="586"/>
      <c r="O7" s="541"/>
      <c r="P7" s="541"/>
      <c r="Q7" s="541"/>
      <c r="R7" s="541"/>
      <c r="S7" s="541"/>
      <c r="T7" s="541"/>
      <c r="U7" s="541"/>
      <c r="V7" s="541"/>
      <c r="W7" s="746"/>
    </row>
    <row s="10859" customFormat="1" customHeight="1" ht="45">
      <c r="F8" s="1527"/>
      <c r="G8" s="1527"/>
      <c r="H8" s="1527"/>
      <c r="L8" s="1566"/>
      <c r="M8" s="505" t="s">
        <v>39</v>
      </c>
      <c r="N8" s="514"/>
      <c r="O8" s="2417" t="str">
        <f>IF(TITLE_NAME_OR_PR_CHANGE="",IF(TITLE_NAME_OR_PR="","",TITLE_NAME_OR_PR),TITLE_NAME_OR_PR_CHANGE)</f>
        <v/>
      </c>
      <c r="P8" s="2417"/>
      <c r="Q8" s="2417"/>
      <c r="R8" s="2417"/>
      <c r="S8" s="2417"/>
      <c r="T8" s="2417"/>
      <c r="U8" s="2417"/>
      <c r="V8" s="547"/>
      <c r="W8" s="547"/>
      <c r="X8" s="490"/>
      <c r="Y8" s="593"/>
      <c r="Z8" s="593"/>
      <c r="AA8" s="593"/>
      <c r="AB8" s="593"/>
      <c r="AC8" s="593"/>
    </row>
    <row s="10859" customFormat="1" customHeight="1" ht="22.5">
      <c r="F9" s="1527"/>
      <c r="G9" s="1527"/>
      <c r="H9" s="1527"/>
      <c r="L9" s="1566"/>
      <c r="M9" s="505" t="s">
        <v>1540</v>
      </c>
      <c r="N9" s="514"/>
      <c r="O9" s="2417" t="str">
        <f>IF(TITLE_DATE_CHANGE_PERIOD="",IF(TITLE_DATE_PR="","",TITLE_DATE_PR),TITLE_DATE_CHANGE_PERIOD)</f>
        <v/>
      </c>
      <c r="P9" s="2417"/>
      <c r="Q9" s="2417"/>
      <c r="R9" s="2417"/>
      <c r="S9" s="2417"/>
      <c r="T9" s="2417"/>
      <c r="U9" s="2417"/>
      <c r="V9" s="547"/>
      <c r="W9" s="547"/>
      <c r="X9" s="490"/>
      <c r="Y9" s="593"/>
      <c r="Z9" s="593"/>
      <c r="AA9" s="593"/>
      <c r="AB9" s="593"/>
      <c r="AC9" s="593"/>
    </row>
    <row s="10859" customFormat="1" customHeight="1" ht="22.5">
      <c r="F10" s="1527"/>
      <c r="G10" s="1527"/>
      <c r="H10" s="1527"/>
      <c r="L10" s="1529"/>
      <c r="M10" s="505" t="s">
        <v>1541</v>
      </c>
      <c r="N10" s="514"/>
      <c r="O10" s="2417" t="str">
        <f>IF(TITLE_NUMBER_PR_CHANGE="",IF(TITLE_NUMBER_PR="","",TITLE_NUMBER_PR),TITLE_NUMBER_PR_CHANGE)</f>
        <v/>
      </c>
      <c r="P10" s="2417"/>
      <c r="Q10" s="2417"/>
      <c r="R10" s="2417"/>
      <c r="S10" s="2417"/>
      <c r="T10" s="2417"/>
      <c r="U10" s="2417"/>
      <c r="V10" s="547"/>
      <c r="W10" s="547"/>
      <c r="X10" s="490"/>
      <c r="Y10" s="593"/>
      <c r="Z10" s="593"/>
      <c r="AA10" s="593"/>
      <c r="AB10" s="593"/>
      <c r="AC10" s="593"/>
    </row>
    <row s="10859" customFormat="1" customHeight="1" ht="22.5">
      <c r="F11" s="1527"/>
      <c r="G11" s="1527"/>
      <c r="H11" s="1527"/>
      <c r="L11" s="1529"/>
      <c r="M11" s="505" t="s">
        <v>40</v>
      </c>
      <c r="N11" s="514"/>
      <c r="O11" s="2417" t="str">
        <f>IF(TITLE_IST_PUB_CHANGE="",IF(TITLE_IST_PUB="","",TITLE_IST_PUB),TITLE_IST_PUB_CHANGE)</f>
        <v/>
      </c>
      <c r="P11" s="2417"/>
      <c r="Q11" s="2417"/>
      <c r="R11" s="2417"/>
      <c r="S11" s="2417"/>
      <c r="T11" s="2417"/>
      <c r="U11" s="2417"/>
      <c r="V11" s="547"/>
      <c r="W11" s="547"/>
      <c r="X11" s="490"/>
      <c r="Y11" s="593"/>
      <c r="Z11" s="593"/>
      <c r="AA11" s="593"/>
      <c r="AB11" s="593"/>
      <c r="AC11" s="593"/>
    </row>
    <row s="10859" customFormat="1" customHeight="1" ht="11.25" hidden="1">
      <c r="F12" s="1527"/>
      <c r="G12" s="1527"/>
      <c r="H12" s="1527"/>
      <c r="L12" s="2517"/>
      <c r="M12" s="2517"/>
      <c r="N12" s="1577"/>
      <c r="O12" s="547"/>
      <c r="P12" s="547"/>
      <c r="Q12" s="547"/>
      <c r="R12" s="547"/>
      <c r="S12" s="547"/>
      <c r="T12" s="547"/>
      <c r="U12" s="547"/>
      <c r="V12" s="488" t="s">
        <v>1544</v>
      </c>
      <c r="Y12" s="593"/>
      <c r="Z12" s="593"/>
      <c r="AA12" s="593"/>
      <c r="AB12" s="593"/>
      <c r="AC12" s="593"/>
    </row>
    <row customHeight="1" ht="14.25">
      <c r="J13" s="602"/>
      <c r="K13" s="602"/>
      <c r="L13" s="1565"/>
      <c r="M13" s="586"/>
      <c r="N13" s="1522"/>
      <c r="O13" s="2418"/>
      <c r="P13" s="2418"/>
      <c r="Q13" s="2418"/>
      <c r="R13" s="2418"/>
      <c r="S13" s="2418"/>
      <c r="T13" s="2418"/>
      <c r="U13" s="2418"/>
      <c r="V13" s="2418"/>
    </row>
    <row customHeight="1" ht="14.25">
      <c r="J14" s="602"/>
      <c r="K14" s="602"/>
      <c r="L14" s="2277" t="s">
        <v>362</v>
      </c>
      <c r="M14" s="2277"/>
      <c r="N14" s="2277"/>
      <c r="O14" s="2277"/>
      <c r="P14" s="2277"/>
      <c r="Q14" s="2277"/>
      <c r="R14" s="2277"/>
      <c r="S14" s="2277"/>
      <c r="T14" s="2277"/>
      <c r="U14" s="2277"/>
      <c r="V14" s="2277"/>
      <c r="W14" s="2277"/>
      <c r="X14" s="2277" t="s">
        <v>363</v>
      </c>
    </row>
    <row customHeight="1" ht="14.25">
      <c r="J15" s="602"/>
      <c r="K15" s="602"/>
      <c r="L15" s="2440" t="s">
        <v>88</v>
      </c>
      <c r="M15" s="2301" t="s">
        <v>1545</v>
      </c>
      <c r="N15" s="511"/>
      <c r="O15" s="2441" t="s">
        <v>1610</v>
      </c>
      <c r="P15" s="2442"/>
      <c r="Q15" s="2442"/>
      <c r="R15" s="2442"/>
      <c r="S15" s="2442"/>
      <c r="T15" s="2442"/>
      <c r="U15" s="2443"/>
      <c r="V15" s="2444" t="s">
        <v>1547</v>
      </c>
      <c r="W15" s="2447" t="s">
        <v>1611</v>
      </c>
      <c r="X15" s="2277"/>
    </row>
    <row customHeight="1" ht="33.75">
      <c r="J16" s="602"/>
      <c r="K16" s="602"/>
      <c r="L16" s="2440"/>
      <c r="M16" s="2301"/>
      <c r="N16" s="1289"/>
      <c r="O16" s="2426" t="s">
        <v>1550</v>
      </c>
      <c r="P16" s="2426" t="s">
        <v>1551</v>
      </c>
      <c r="Q16" s="2428" t="s">
        <v>1552</v>
      </c>
      <c r="R16" s="2429"/>
      <c r="S16" s="2434" t="s">
        <v>1571</v>
      </c>
      <c r="T16" s="2435"/>
      <c r="U16" s="2436"/>
      <c r="V16" s="2445"/>
      <c r="W16" s="2448"/>
      <c r="X16" s="2277"/>
    </row>
    <row customHeight="1" ht="33.75">
      <c r="A17" s="1548" t="s">
        <v>211</v>
      </c>
      <c r="B17" s="1548" t="s">
        <v>212</v>
      </c>
      <c r="C17" s="1548" t="s">
        <v>213</v>
      </c>
      <c r="D17" s="1548" t="s">
        <v>214</v>
      </c>
      <c r="E17" s="1548"/>
      <c r="J17" s="602"/>
      <c r="K17" s="602"/>
      <c r="L17" s="2440"/>
      <c r="M17" s="2301"/>
      <c r="N17" s="512"/>
      <c r="O17" s="2427"/>
      <c r="P17" s="2427"/>
      <c r="Q17" s="1497" t="s">
        <v>1561</v>
      </c>
      <c r="R17" s="1497" t="s">
        <v>1562</v>
      </c>
      <c r="S17" s="1582" t="s">
        <v>1563</v>
      </c>
      <c r="T17" s="2437" t="s">
        <v>1564</v>
      </c>
      <c r="U17" s="2438"/>
      <c r="V17" s="2446"/>
      <c r="W17" s="2449"/>
      <c r="X17" s="2277"/>
    </row>
    <row s="10822" customFormat="1" customHeight="1" ht="11.25">
      <c r="A18" s="1548"/>
      <c r="B18" s="1548"/>
      <c r="C18" s="1548"/>
      <c r="D18" s="1548"/>
      <c r="E18" s="1548"/>
      <c r="F18" s="1576"/>
      <c r="G18" s="1576"/>
      <c r="H18" s="1576"/>
      <c r="I18" s="1524"/>
      <c r="J18" s="1525"/>
      <c r="K18" s="1540">
        <v>1</v>
      </c>
      <c r="L18" s="1567" t="s">
        <v>109</v>
      </c>
      <c r="M18" s="1541" t="s">
        <v>110</v>
      </c>
      <c r="N18" s="1523" t="str">
        <f>OFFSET(N18,0,-1)</f>
        <v>2</v>
      </c>
      <c r="O18" s="1579">
        <f>OFFSET(O18,0,-1)+1</f>
        <v>3</v>
      </c>
      <c r="P18" s="1579"/>
      <c r="Q18" s="1579">
        <f>OFFSET(Q18,0,-1)+1</f>
        <v>1</v>
      </c>
      <c r="R18" s="1579">
        <f>OFFSET(R18,0,-1)+1</f>
        <v>2</v>
      </c>
      <c r="S18" s="1579">
        <f>OFFSET(S18,0,-1)+1</f>
        <v>3</v>
      </c>
      <c r="T18" s="2439">
        <f>OFFSET(T18,0,-1)+1</f>
        <v>4</v>
      </c>
      <c r="U18" s="2439"/>
      <c r="V18" s="1579">
        <f>OFFSET(V18,0,-2)+1</f>
        <v>5</v>
      </c>
      <c r="W18" s="1523">
        <f>OFFSET(W18,0,-1)</f>
        <v>5</v>
      </c>
      <c r="X18" s="1579">
        <f>OFFSET(X18,0,-1)+1</f>
        <v>6</v>
      </c>
      <c r="Y18" s="748"/>
      <c r="Z18" s="748"/>
      <c r="AA18" s="748"/>
      <c r="AB18" s="748"/>
      <c r="AC18" s="748"/>
    </row>
    <row customHeight="1" ht="21">
      <c r="A19" s="1556" t="s">
        <v>1615</v>
      </c>
      <c r="B19" s="1556" t="s">
        <v>1616</v>
      </c>
      <c r="C19" s="1556" t="s">
        <v>1617</v>
      </c>
      <c r="D19" s="1556" t="s">
        <v>1618</v>
      </c>
      <c r="E19" s="1556"/>
      <c r="F19" s="925"/>
      <c r="G19" s="925"/>
      <c r="H19" s="925"/>
      <c r="I19" s="582"/>
      <c r="J19" s="581"/>
      <c r="K19" s="576"/>
      <c r="L19" s="1583">
        <f>INDEX(PT_DIFFERENTIATION_NUM_NTAR,MATCH(A19,PT_DIFFERENTIATION_NTAR_ID,0))</f>
      </c>
      <c r="M19" s="508" t="s">
        <v>200</v>
      </c>
      <c r="N19" s="510"/>
      <c r="O19" s="4328">
        <f>INDEX(PT_DIFFERENTIATION_NTAR,MATCH(A19,PT_DIFFERENTIATION_NTAR_ID,0))</f>
      </c>
      <c r="P19" s="4328"/>
      <c r="Q19" s="4328"/>
      <c r="R19" s="4328"/>
      <c r="S19" s="4328"/>
      <c r="T19" s="4328"/>
      <c r="U19" s="4328"/>
      <c r="V19" s="4328"/>
      <c r="W19" s="4328"/>
      <c r="X19" s="1546" t="s">
        <v>1516</v>
      </c>
      <c r="Z19" s="737"/>
      <c r="AA19" s="737" t="str">
        <f>IF(M19="","",M19)</f>
        <v>Наименование тарифа</v>
      </c>
      <c r="AB19" s="737"/>
      <c r="AC19" s="737"/>
    </row>
    <row customHeight="1" ht="21">
      <c r="A20" s="1556" t="s">
        <v>1615</v>
      </c>
      <c r="B20" s="1556" t="s">
        <v>1616</v>
      </c>
      <c r="C20" s="1556" t="s">
        <v>1617</v>
      </c>
      <c r="D20" s="1556" t="s">
        <v>1618</v>
      </c>
      <c r="E20" s="1556"/>
      <c r="F20" s="925"/>
      <c r="G20" s="925"/>
      <c r="H20" s="925"/>
      <c r="I20" s="1580"/>
      <c r="J20" s="573"/>
      <c r="K20" s="574"/>
      <c r="L20" s="1583">
        <f>INDEX(PT_DIFFERENTIATION_NUM_TER,MATCH(B19,PT_DIFFERENTIATION_TER_ID,0))</f>
      </c>
      <c r="M20" s="520" t="s">
        <v>1517</v>
      </c>
      <c r="N20" s="510"/>
      <c r="O20" s="4328">
        <f>INDEX(PT_DIFFERENTIATION_TER,MATCH(B19,PT_DIFFERENTIATION_TER_ID,0))</f>
      </c>
      <c r="P20" s="4328"/>
      <c r="Q20" s="4328"/>
      <c r="R20" s="4328"/>
      <c r="S20" s="4328"/>
      <c r="T20" s="4328"/>
      <c r="U20" s="4328"/>
      <c r="V20" s="4328"/>
      <c r="W20" s="4328"/>
      <c r="X20" s="1546" t="s">
        <v>1518</v>
      </c>
      <c r="Z20" s="737"/>
      <c r="AA20" s="737" t="str">
        <f>IF(M20="","",M20)</f>
        <v>Территория действия тарифа</v>
      </c>
      <c r="AB20" s="737"/>
      <c r="AC20" s="737"/>
    </row>
    <row customHeight="1" ht="22.5">
      <c r="A21" s="1556" t="s">
        <v>1615</v>
      </c>
      <c r="B21" s="1556" t="s">
        <v>1616</v>
      </c>
      <c r="C21" s="1556" t="s">
        <v>1617</v>
      </c>
      <c r="D21" s="1556" t="s">
        <v>1618</v>
      </c>
      <c r="E21" s="1556"/>
      <c r="F21" s="925"/>
      <c r="G21" s="925"/>
      <c r="H21" s="925"/>
      <c r="I21" s="575"/>
      <c r="J21" s="573"/>
      <c r="K21" s="574"/>
      <c r="L21" s="1583">
        <f>INDEX(PT_DIFFERENTIATION_NUM_CS,MATCH(C19,PT_DIFFERENTIATION_CS_ID,0))</f>
      </c>
      <c r="M21" s="521" t="s">
        <v>1519</v>
      </c>
      <c r="N21" s="510"/>
      <c r="O21" s="4328">
        <f>INDEX(PT_DIFFERENTIATION_CS,MATCH(C19,PT_DIFFERENTIATION_CS_ID,0))</f>
      </c>
      <c r="P21" s="4328"/>
      <c r="Q21" s="4328"/>
      <c r="R21" s="4328"/>
      <c r="S21" s="4328"/>
      <c r="T21" s="4328"/>
      <c r="U21" s="4328"/>
      <c r="V21" s="4328"/>
      <c r="W21" s="4328"/>
      <c r="X21" s="1546" t="s">
        <v>1520</v>
      </c>
      <c r="Z21" s="737"/>
      <c r="AA21" s="737" t="str">
        <f>IF(M21="","",M21)</f>
        <v>Наименование системы теплоснабжения </v>
      </c>
      <c r="AB21" s="737"/>
      <c r="AC21" s="737"/>
    </row>
    <row customHeight="1" ht="21">
      <c r="A22" s="1556" t="s">
        <v>1615</v>
      </c>
      <c r="B22" s="1556" t="s">
        <v>1616</v>
      </c>
      <c r="C22" s="1556" t="s">
        <v>1617</v>
      </c>
      <c r="D22" s="1556" t="s">
        <v>1618</v>
      </c>
      <c r="E22" s="1556"/>
      <c r="F22" s="925"/>
      <c r="G22" s="925"/>
      <c r="H22" s="925"/>
      <c r="I22" s="575"/>
      <c r="J22" s="573"/>
      <c r="K22" s="574"/>
      <c r="L22" s="1583">
        <f>INDEX(PT_DIFFERENTIATION_NUM_IST_TE,MATCH(D19,PT_DIFFERENTIATION_IST_TE_ID,0))</f>
      </c>
      <c r="M22" s="522" t="s">
        <v>1521</v>
      </c>
      <c r="N22" s="510"/>
      <c r="O22" s="4328">
        <f>INDEX(PT_DIFFERENTIATION_IST_TE,MATCH(D19,PT_DIFFERENTIATION_IST_TE_ID,0))</f>
      </c>
      <c r="P22" s="4328"/>
      <c r="Q22" s="4328"/>
      <c r="R22" s="4328"/>
      <c r="S22" s="4328"/>
      <c r="T22" s="4328"/>
      <c r="U22" s="4328"/>
      <c r="V22" s="4328"/>
      <c r="W22" s="4328"/>
      <c r="X22" s="1546" t="s">
        <v>1522</v>
      </c>
      <c r="Z22" s="737"/>
      <c r="AA22" s="737" t="str">
        <f>IF(M22="","",M22)</f>
        <v>Источник тепловой энергии  </v>
      </c>
      <c r="AB22" s="737"/>
      <c r="AC22" s="737"/>
    </row>
    <row customHeight="1" ht="94.5">
      <c r="A23" s="1556" t="s">
        <v>1615</v>
      </c>
      <c r="B23" s="1556" t="s">
        <v>1616</v>
      </c>
      <c r="C23" s="1556" t="s">
        <v>1617</v>
      </c>
      <c r="D23" s="1556" t="s">
        <v>1618</v>
      </c>
      <c r="E23" s="1556"/>
      <c r="F23" s="2524">
        <f>L22&amp;".1"</f>
      </c>
      <c r="I23" s="2423">
        <v>1</v>
      </c>
      <c r="J23" s="1581"/>
      <c r="K23" s="577"/>
      <c r="L23" s="1583">
        <f>$F$23</f>
      </c>
      <c r="M23" s="495" t="s">
        <v>1524</v>
      </c>
      <c r="N23" s="510"/>
      <c r="O23" s="2520"/>
      <c r="P23" s="2520"/>
      <c r="Q23" s="2520"/>
      <c r="R23" s="2520"/>
      <c r="S23" s="2520"/>
      <c r="T23" s="2520"/>
      <c r="U23" s="2520"/>
      <c r="V23" s="2520"/>
      <c r="W23" s="2520"/>
      <c r="X23" s="1546" t="s">
        <v>1525</v>
      </c>
      <c r="Z23" s="737"/>
      <c r="AA23" s="737" t="str">
        <f>IF(M23="","",M23)</f>
        <v>Схема подключения теплопотребляющей установки к коллектору источника тепловой энергии</v>
      </c>
      <c r="AB23" s="737"/>
      <c r="AC23" s="737"/>
    </row>
    <row customHeight="1" ht="84">
      <c r="A24" s="1556" t="s">
        <v>1615</v>
      </c>
      <c r="B24" s="1556" t="s">
        <v>1616</v>
      </c>
      <c r="C24" s="1556" t="s">
        <v>1617</v>
      </c>
      <c r="D24" s="1556" t="s">
        <v>1618</v>
      </c>
      <c r="E24" s="1556"/>
      <c r="F24" s="2524"/>
      <c r="G24" s="2525">
        <f>F23&amp;".1"</f>
      </c>
      <c r="I24" s="2423"/>
      <c r="J24" s="2423">
        <v>1</v>
      </c>
      <c r="K24" s="578"/>
      <c r="L24" s="1583">
        <f>$G$24</f>
      </c>
      <c r="M24" s="496" t="s">
        <v>1527</v>
      </c>
      <c r="N24" s="510"/>
      <c r="O24" s="2521"/>
      <c r="P24" s="2522"/>
      <c r="Q24" s="2522"/>
      <c r="R24" s="2522"/>
      <c r="S24" s="2522"/>
      <c r="T24" s="2522"/>
      <c r="U24" s="2522"/>
      <c r="V24" s="2522"/>
      <c r="W24" s="2523"/>
      <c r="X24" s="1546" t="s">
        <v>1528</v>
      </c>
      <c r="Z24" s="737"/>
      <c r="AA24" s="737" t="str">
        <f>IF(M24="","",M24)</f>
        <v>Группа потребителей</v>
      </c>
      <c r="AB24" s="737"/>
      <c r="AC24" s="737"/>
    </row>
    <row customHeight="1" ht="11.25">
      <c r="A25" s="1556" t="s">
        <v>1615</v>
      </c>
      <c r="B25" s="1556" t="s">
        <v>1616</v>
      </c>
      <c r="C25" s="1556" t="s">
        <v>1617</v>
      </c>
      <c r="D25" s="1556" t="s">
        <v>1618</v>
      </c>
      <c r="E25" s="1556"/>
      <c r="F25" s="2524"/>
      <c r="G25" s="2525"/>
      <c r="H25" s="2525">
        <f>G24&amp;".1"</f>
      </c>
      <c r="I25" s="2423"/>
      <c r="J25" s="2423"/>
      <c r="K25" s="578">
        <v>1</v>
      </c>
      <c r="L25" s="1583">
        <f>$H$25</f>
      </c>
      <c r="M25" s="1547"/>
      <c r="N25" s="510"/>
      <c r="O25" s="4065"/>
      <c r="P25" s="4066"/>
      <c r="Q25" s="4065"/>
      <c r="R25" s="4067"/>
      <c r="S25" s="2516"/>
      <c r="T25" s="2142" t="s">
        <v>67</v>
      </c>
      <c r="U25" s="2516"/>
      <c r="V25" s="2142" t="s">
        <v>57</v>
      </c>
      <c r="W25" s="4066"/>
      <c r="X25" s="2419" t="s">
        <v>1530</v>
      </c>
      <c r="Y25" s="748">
        <f>STRCHECKDATE(O26:W26)</f>
      </c>
      <c r="Z25" s="737"/>
      <c r="AA25" s="737" t="str">
        <f>IF(M25="","",M25)</f>
        <v/>
      </c>
      <c r="AB25" s="737"/>
      <c r="AC25" s="737"/>
    </row>
    <row customHeight="1" ht="11.25">
      <c r="A26" s="1556" t="s">
        <v>1615</v>
      </c>
      <c r="B26" s="1556" t="s">
        <v>1616</v>
      </c>
      <c r="C26" s="1556" t="s">
        <v>1617</v>
      </c>
      <c r="D26" s="1556" t="s">
        <v>1618</v>
      </c>
      <c r="E26" s="1556"/>
      <c r="F26" s="2524"/>
      <c r="G26" s="2525"/>
      <c r="H26" s="2525"/>
      <c r="I26" s="2423"/>
      <c r="J26" s="2423"/>
      <c r="K26" s="578"/>
      <c r="L26" s="1584"/>
      <c r="M26" s="510"/>
      <c r="N26" s="510"/>
      <c r="O26" s="4066"/>
      <c r="P26" s="4066"/>
      <c r="Q26" s="4066"/>
      <c r="R26" s="4071" t="str">
        <f>S25&amp;"-"&amp;U25</f>
        <v>-</v>
      </c>
      <c r="S26" s="2431"/>
      <c r="T26" s="2142"/>
      <c r="U26" s="2431"/>
      <c r="V26" s="2142"/>
      <c r="W26" s="4066"/>
      <c r="X26" s="2420"/>
      <c r="Z26" s="737"/>
      <c r="AA26" s="737" t="str">
        <f>IF(M26="","",M26)</f>
        <v/>
      </c>
      <c r="AB26" s="737"/>
      <c r="AC26" s="737"/>
    </row>
    <row customHeight="1" ht="15">
      <c r="A27" s="1556" t="s">
        <v>1615</v>
      </c>
      <c r="B27" s="1556" t="s">
        <v>1616</v>
      </c>
      <c r="C27" s="1556" t="s">
        <v>1617</v>
      </c>
      <c r="D27" s="1556" t="s">
        <v>1618</v>
      </c>
      <c r="E27" s="1556"/>
      <c r="F27" s="2524"/>
      <c r="G27" s="2525"/>
      <c r="I27" s="2423"/>
      <c r="J27" s="2423"/>
      <c r="K27" s="577"/>
      <c r="L27" s="1568"/>
      <c r="M27" s="498" t="s">
        <v>1531</v>
      </c>
      <c r="N27" s="592"/>
      <c r="O27" s="592"/>
      <c r="P27" s="592"/>
      <c r="Q27" s="592"/>
      <c r="R27" s="592"/>
      <c r="S27" s="592"/>
      <c r="T27" s="592"/>
      <c r="U27" s="592"/>
      <c r="V27" s="592"/>
      <c r="W27" s="544"/>
      <c r="X27" s="2421"/>
      <c r="Z27" s="737"/>
      <c r="AA27" s="737" t="str">
        <f>IF(M27="","",M27)</f>
        <v>Добавить вид теплоносителя (параметры теплоносителя)</v>
      </c>
      <c r="AB27" s="737"/>
      <c r="AC27" s="737"/>
    </row>
    <row customHeight="1" ht="15">
      <c r="A28" s="1556" t="s">
        <v>1615</v>
      </c>
      <c r="B28" s="1556" t="s">
        <v>1616</v>
      </c>
      <c r="C28" s="1556" t="s">
        <v>1617</v>
      </c>
      <c r="D28" s="1556" t="s">
        <v>1618</v>
      </c>
      <c r="E28" s="1556"/>
      <c r="F28" s="2524"/>
      <c r="I28" s="2423"/>
      <c r="J28" s="1581"/>
      <c r="K28" s="577"/>
      <c r="L28" s="1568"/>
      <c r="M28" s="497" t="s">
        <v>1532</v>
      </c>
      <c r="N28" s="592"/>
      <c r="O28" s="592"/>
      <c r="P28" s="592"/>
      <c r="Q28" s="592"/>
      <c r="R28" s="592"/>
      <c r="S28" s="592"/>
      <c r="T28" s="592"/>
      <c r="U28" s="592"/>
      <c r="V28" s="591"/>
      <c r="W28" s="592"/>
      <c r="X28" s="513"/>
      <c r="Z28" s="737"/>
      <c r="AA28" s="737" t="str">
        <f>IF(M28="","",M28)</f>
        <v>Добавить группу потребителей</v>
      </c>
      <c r="AB28" s="737"/>
      <c r="AC28" s="737"/>
    </row>
    <row customHeight="1" ht="14.25">
      <c r="A29" s="1556" t="s">
        <v>1615</v>
      </c>
      <c r="B29" s="1556" t="s">
        <v>1616</v>
      </c>
      <c r="C29" s="1556" t="s">
        <v>1617</v>
      </c>
      <c r="D29" s="1556" t="s">
        <v>1618</v>
      </c>
      <c r="E29" s="1556"/>
      <c r="F29" s="925"/>
      <c r="G29" s="925"/>
      <c r="H29" s="746"/>
      <c r="I29" s="581"/>
      <c r="J29" s="601"/>
      <c r="K29" s="576"/>
      <c r="L29" s="1568"/>
      <c r="M29" s="589" t="s">
        <v>1533</v>
      </c>
      <c r="N29" s="592"/>
      <c r="O29" s="592"/>
      <c r="P29" s="592"/>
      <c r="Q29" s="592"/>
      <c r="R29" s="592"/>
      <c r="S29" s="592"/>
      <c r="T29" s="592"/>
      <c r="U29" s="592"/>
      <c r="V29" s="591"/>
      <c r="W29" s="592"/>
      <c r="X29" s="513"/>
      <c r="Z29" s="737"/>
      <c r="AA29" s="737" t="str">
        <f>IF(M29="","",M29)</f>
        <v>Добавить схему подключения</v>
      </c>
      <c r="AB29" s="737"/>
      <c r="AC29" s="737"/>
    </row>
    <row customHeight="1" ht="14.25">
      <c r="A30" s="1556" t="s">
        <v>1615</v>
      </c>
      <c r="B30" s="1556" t="s">
        <v>1616</v>
      </c>
      <c r="C30" s="1556" t="s">
        <v>1617</v>
      </c>
      <c r="D30" s="1556"/>
      <c r="E30" s="1556" t="s">
        <v>1612</v>
      </c>
      <c r="F30" s="925"/>
      <c r="G30" s="925"/>
      <c r="H30" s="746"/>
      <c r="I30" s="581"/>
      <c r="J30" s="601"/>
      <c r="K30" s="576"/>
      <c r="L30" s="1569"/>
      <c r="M30" s="1558"/>
      <c r="N30" s="1559"/>
      <c r="O30" s="1559"/>
      <c r="P30" s="1559"/>
      <c r="Q30" s="1559"/>
      <c r="R30" s="1559"/>
      <c r="S30" s="1559"/>
      <c r="T30" s="1559"/>
      <c r="U30" s="1559"/>
      <c r="V30" s="1560"/>
      <c r="W30" s="1559"/>
      <c r="X30" s="1561"/>
      <c r="Z30" s="737"/>
      <c r="AA30" s="737" t="str">
        <f>IF(M30="","",M30)</f>
        <v/>
      </c>
      <c r="AB30" s="737"/>
      <c r="AC30" s="737"/>
    </row>
    <row customHeight="1" ht="14.25">
      <c r="A31" s="1556" t="s">
        <v>1615</v>
      </c>
      <c r="B31" s="1556" t="s">
        <v>1616</v>
      </c>
      <c r="C31" s="1556"/>
      <c r="D31" s="1556"/>
      <c r="E31" s="1556" t="s">
        <v>1613</v>
      </c>
      <c r="F31" s="1543"/>
      <c r="G31" s="1543"/>
      <c r="H31" s="746"/>
      <c r="I31" s="579"/>
      <c r="J31" s="601"/>
      <c r="K31" s="580"/>
      <c r="L31" s="1569"/>
      <c r="M31" s="1562"/>
      <c r="N31" s="1559"/>
      <c r="O31" s="1559"/>
      <c r="P31" s="1559"/>
      <c r="Q31" s="1559"/>
      <c r="R31" s="1559"/>
      <c r="S31" s="1559"/>
      <c r="T31" s="1559"/>
      <c r="U31" s="1559"/>
      <c r="V31" s="1560"/>
      <c r="W31" s="1559"/>
      <c r="X31" s="1561"/>
      <c r="Z31" s="737"/>
      <c r="AA31" s="737" t="str">
        <f>IF(M31="","",M31)</f>
        <v/>
      </c>
      <c r="AB31" s="737"/>
      <c r="AC31" s="737"/>
    </row>
    <row customHeight="1" ht="14.25">
      <c r="A32" s="1556" t="s">
        <v>1619</v>
      </c>
      <c r="B32" s="1556"/>
      <c r="C32" s="1556"/>
      <c r="D32" s="1556"/>
      <c r="E32" s="1556" t="s">
        <v>104</v>
      </c>
      <c r="F32" s="1543"/>
      <c r="G32" s="1543"/>
      <c r="H32" s="746"/>
      <c r="I32" s="581"/>
      <c r="J32" s="601"/>
      <c r="K32" s="576"/>
      <c r="L32" s="1569"/>
      <c r="M32" s="1563"/>
      <c r="N32" s="1559"/>
      <c r="O32" s="1559"/>
      <c r="P32" s="1559"/>
      <c r="Q32" s="1559"/>
      <c r="R32" s="1559"/>
      <c r="S32" s="1559"/>
      <c r="T32" s="1559"/>
      <c r="U32" s="1559"/>
      <c r="V32" s="1560"/>
      <c r="W32" s="1559"/>
      <c r="X32" s="1561"/>
      <c r="Z32" s="737"/>
      <c r="AA32" s="737" t="str">
        <f>IF(M32="","",M32)</f>
        <v/>
      </c>
      <c r="AB32" s="737"/>
      <c r="AC32" s="737"/>
    </row>
    <row s="11403" customFormat="1" customHeight="1" ht="11.25">
      <c r="A33" s="1556"/>
      <c r="B33" s="1556"/>
      <c r="C33" s="1556"/>
      <c r="D33" s="1556"/>
      <c r="E33" s="1556" t="s">
        <v>1495</v>
      </c>
      <c r="F33" s="1557"/>
      <c r="G33" s="1544"/>
      <c r="H33" s="746"/>
      <c r="L33" s="1570"/>
      <c r="M33" s="1564"/>
      <c r="N33" s="1559"/>
      <c r="O33" s="1559"/>
      <c r="P33" s="1559"/>
      <c r="Q33" s="1559"/>
      <c r="R33" s="1559"/>
      <c r="S33" s="1559"/>
      <c r="T33" s="1559"/>
      <c r="U33" s="1559"/>
      <c r="V33" s="1560"/>
      <c r="W33" s="1559"/>
      <c r="X33" s="1561"/>
      <c r="Y33" s="608"/>
      <c r="Z33" s="608"/>
      <c r="AA33" s="608"/>
      <c r="AB33" s="608"/>
      <c r="AC33" s="608"/>
    </row>
    <row customHeight="1" ht="11.25">
      <c r="F34" s="1416"/>
      <c r="G34" s="1416"/>
      <c r="H34" s="746"/>
      <c r="I34" s="1416"/>
      <c r="J34" s="1416"/>
      <c r="K34" s="1416"/>
      <c r="Y34" s="1416"/>
      <c r="Z34" s="1416"/>
      <c r="AA34" s="1416"/>
      <c r="AB34" s="1416"/>
      <c r="AC34" s="1416"/>
    </row>
    <row customHeight="1" ht="27">
      <c r="H35" s="746"/>
      <c r="L35" s="1578" t="s">
        <v>1565</v>
      </c>
      <c r="M35" s="2452" t="s">
        <v>1572</v>
      </c>
      <c r="N35" s="2452"/>
      <c r="O35" s="2452"/>
      <c r="P35" s="2452"/>
      <c r="Q35" s="2452"/>
      <c r="R35" s="2452"/>
      <c r="S35" s="2452"/>
      <c r="T35" s="2452"/>
      <c r="U35" s="2452"/>
      <c r="V35" s="2452"/>
      <c r="W35" s="2452"/>
      <c r="X35" s="2452"/>
    </row>
    <row customHeight="1" ht="104.25">
      <c r="F36" s="1597"/>
      <c r="G36" s="1597"/>
      <c r="H36" s="746"/>
      <c r="I36" s="1597"/>
      <c r="M36" s="2452" t="s">
        <v>1567</v>
      </c>
      <c r="N36" s="2452"/>
      <c r="O36" s="2452"/>
      <c r="P36" s="2452"/>
      <c r="Q36" s="2452"/>
      <c r="R36" s="2452"/>
      <c r="S36" s="2452"/>
      <c r="T36" s="2452"/>
      <c r="U36" s="2452"/>
      <c r="V36" s="2452"/>
      <c r="W36" s="2452"/>
      <c r="X36" s="2452"/>
    </row>
    <row customHeight="1" ht="14.25">
      <c r="H37" s="746"/>
    </row>
    <row customHeight="1" ht="14.25">
      <c r="H38" s="746"/>
    </row>
    <row customHeight="1" ht="14.25">
      <c r="H39" s="746"/>
    </row>
    <row customHeight="1" ht="14.25">
      <c r="H40" s="746"/>
    </row>
  </sheetData>
  <sheetProtection formatColumns="0" formatRows="0" autoFilter="0" sort="0" insertRows="0" insertColumns="1" deleteRows="0" deleteColumns="0"/>
  <mergeCells count="39">
    <mergeCell ref="O19:W19"/>
    <mergeCell ref="O20:W20"/>
    <mergeCell ref="O21:W21"/>
    <mergeCell ref="O22:W22"/>
    <mergeCell ref="F23:F28"/>
    <mergeCell ref="I23:I28"/>
    <mergeCell ref="O23:W23"/>
    <mergeCell ref="G24:G27"/>
    <mergeCell ref="J24:J27"/>
    <mergeCell ref="O24:W24"/>
    <mergeCell ref="H25:H26"/>
    <mergeCell ref="O11:U11"/>
    <mergeCell ref="L12:M12"/>
    <mergeCell ref="O13:V13"/>
    <mergeCell ref="L14:W14"/>
    <mergeCell ref="T18:U18"/>
    <mergeCell ref="L5:U5"/>
    <mergeCell ref="L6:U6"/>
    <mergeCell ref="O8:U8"/>
    <mergeCell ref="O9:U9"/>
    <mergeCell ref="O10:U10"/>
    <mergeCell ref="X14:X17"/>
    <mergeCell ref="L15:L17"/>
    <mergeCell ref="M15:M17"/>
    <mergeCell ref="O15:U15"/>
    <mergeCell ref="V15:V17"/>
    <mergeCell ref="W15:W17"/>
    <mergeCell ref="O16:O17"/>
    <mergeCell ref="P16:P17"/>
    <mergeCell ref="Q16:R16"/>
    <mergeCell ref="S16:U16"/>
    <mergeCell ref="T17:U17"/>
    <mergeCell ref="M35:X35"/>
    <mergeCell ref="M36:X36"/>
    <mergeCell ref="S25:S26"/>
    <mergeCell ref="T25:T26"/>
    <mergeCell ref="U25:U26"/>
    <mergeCell ref="V25:V26"/>
    <mergeCell ref="X25:X27"/>
  </mergeCells>
  <dataValidations count="8">
    <dataValidation allowBlank="1" sqref="L131099:X131105 L196635:X196641 L262171:X262177 L327707:X327713 L393243:X393249 L458779:X458785 L524315:X524321 L589851:X589857 L655387:X655393 L720923:X720929 L786459:X786465 L851995:X852001 L917531:X917537 L983067:X983073 L65563:X65569"/>
    <dataValidation allowBlank="1" promptTitle="checkPeriodRange" sqref="R26 R65562 R131098 R196634 R262170 R327706 R393242 R458778 R524314 R589850 R655386 R720922 R786458 R851994 R917530 R983066"/>
    <dataValidation allowBlank="1" showInputMessage="1" showErrorMessage="1" prompt="Для выбора выполните двойной щелчок левой клавиши мыши по соответствующей ячейке." sqref="T65561 T131097 T196633 T262169 T327705 T393241 T458777 T524313 T589849 T655385 T720921 T786457 T851993 T917529 T983065 V589849 V655385 V720921 V786457 V851993 V917529 V983065 V65561 V131097 V458777 V196633 V262169 V327705 V393241 V25 T25 V52431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S65561 S131097 S196633 S262169 S327705 S393241 S458777 S524313 S589849 S655385 S720921 S786457 S851993 S917529 S983065 U65561 U131097 U196633 U262169 U327705 U393241 U458777 U524313 U589849 U655385 U720921 U786457 U851993 U917529 U983065 U25 S25"/>
    <dataValidation type="list" allowBlank="1" showInputMessage="1" showErrorMessage="1" errorTitle="Ошибка" error="Выберите значение из списка" sqref="M65561 M131097 M196633 M262169 M327705 M393241 M458777 M524313 M589849 M655385 M720921 M786457 M851993 M917529 M983065">
      <formula1>kind_of_heat_transfer</formula1>
    </dataValidation>
    <dataValidation type="textLength" operator="lessThanOrEqual" allowBlank="1" showInputMessage="1" showErrorMessage="1" errorTitle="Ошибка" error="Допускается ввод не более 900 символов!" sqref="X65555:X65562 X131091:X131098 X196627:X196634 X262163:X262170 X327699:X327706 X393235:X393242 X458771:X458778 X524307:X524314 X589843:X589850 X655379:X655386 X720915:X720922 X786451:X786458 X851987:X851994 X917523:X917530 X983059:X983066">
      <formula1>900</formula1>
    </dataValidation>
    <dataValidation type="list" allowBlank="1" showInputMessage="1" errorTitle="Ошибка" error="Выберите значение из списка" prompt="Выберите значение из списка" sqref="O983064:W983064 O65560:W65560 O131096:W131096 O196632:W196632 O262168:W262168 O327704:W327704 O393240:W393240 O458776:W458776 O524312:W524312 O589848:W589848 O655384:W655384 O720920:W720920 O786456:W786456 O851992:W851992 O917528:W917528">
      <formula1>kind_of_cons</formula1>
    </dataValidation>
    <dataValidation type="list" allowBlank="1" showInputMessage="1" showErrorMessage="1" errorTitle="Ошибка" error="Выберите значение из списка" sqref="O983063:P983063 O65559:P65559 O131095:P131095 O196631:P196631 O262167:P262167 O327703:P327703 O393239:P393239 O458775:P458775 O524311:P524311 O589847:P589847 O655383:P655383 O720919:P720919 O786455:P786455 O851991:P851991 O917527:P917527">
      <formula1>kind_of_scheme_in</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FB297A8-731D-A0AB-B3F1-0E9A19BF2BE1}" mc:Ignorable="x14ac xr xr2 xr3">
  <sheetPr>
    <tabColor theme="6" tint="0.4"/>
  </sheetPr>
  <dimension ref="A1:AC40"/>
  <sheetViews>
    <sheetView topLeftCell="A4" showGridLines="0" workbookViewId="0">
      <selection activeCell="A1" sqref="A1"/>
    </sheetView>
  </sheetViews>
  <sheetFormatPr defaultColWidth="10.57421875" customHeight="1" defaultRowHeight="14.25"/>
  <cols>
    <col min="1" max="1" style="11126" width="10.57421875"/>
    <col min="2" max="2" style="11126" width="11.00390625" customWidth="1"/>
    <col min="3" max="3" style="11126" width="10.57421875"/>
    <col min="4" max="4" style="11126" width="11.8515625" customWidth="1"/>
    <col min="5" max="5" style="11126" width="12.28125" customWidth="1"/>
    <col min="6" max="8" style="11241" width="12.28125" customWidth="1"/>
    <col min="9" max="9" style="11241" width="3.7109375" customWidth="1"/>
    <col min="10" max="11" style="10046" width="3.7109375" customWidth="1"/>
    <col min="12" max="12" style="11124" width="12.7109375" customWidth="1"/>
    <col min="13" max="13" style="11126" width="32.00390625" customWidth="1"/>
    <col min="14" max="14" style="11126" width="1.7109375" customWidth="1"/>
    <col min="15" max="18" style="11126" width="24.7109375" customWidth="1"/>
    <col min="19" max="19" style="11126" width="11.7109375" customWidth="1"/>
    <col min="20" max="20" style="11126" width="3.7109375" customWidth="1"/>
    <col min="21" max="21" style="11126" width="11.7109375" customWidth="1"/>
    <col min="22" max="22" style="11126" width="8.57421875" customWidth="1"/>
    <col min="23" max="23" style="11126" width="4.7109375" customWidth="1"/>
    <col min="24" max="24" style="11126" width="115.7109375" customWidth="1"/>
    <col min="25" max="26" style="10863" width="10.57421875"/>
    <col min="27" max="27" style="10863" width="11.140625" customWidth="1"/>
    <col min="28" max="29" style="10863" width="10.57421875"/>
  </cols>
  <sheetData>
    <row customHeight="1" ht="14.25" hidden="1">
      <c r="R1" s="548"/>
      <c r="S1" s="548"/>
    </row>
    <row customHeight="1" ht="14.25" hidden="1">
      <c r="V2" s="548"/>
    </row>
    <row customHeight="1" ht="14.25" hidden="1"/>
    <row customHeight="1" ht="14.25">
      <c r="J4" s="602"/>
      <c r="K4" s="602"/>
      <c r="L4" s="1565"/>
      <c r="M4" s="586"/>
      <c r="N4" s="586"/>
      <c r="O4" s="746"/>
      <c r="P4" s="746"/>
      <c r="Q4" s="746"/>
      <c r="R4" s="746"/>
      <c r="S4" s="746"/>
      <c r="T4" s="746"/>
      <c r="U4" s="746"/>
      <c r="V4" s="746"/>
    </row>
    <row customHeight="1" ht="64.5">
      <c r="J5" s="602"/>
      <c r="K5" s="602"/>
      <c r="L5" s="2414" t="s">
        <v>484</v>
      </c>
      <c r="M5" s="2414"/>
      <c r="N5" s="2414"/>
      <c r="O5" s="2414"/>
      <c r="P5" s="2414"/>
      <c r="Q5" s="2414"/>
      <c r="R5" s="2414"/>
      <c r="S5" s="2414"/>
      <c r="T5" s="2414"/>
      <c r="U5" s="2414"/>
      <c r="V5" s="1521"/>
    </row>
    <row customHeight="1" ht="14.25">
      <c r="J6" s="602"/>
      <c r="K6" s="602"/>
      <c r="L6" s="2415" t="str">
        <f>IF(org=0,"Не определено",org)</f>
        <v>ООО "СамРЭК-Тепло Жигулевск"</v>
      </c>
      <c r="M6" s="2415"/>
      <c r="N6" s="2415"/>
      <c r="O6" s="2415"/>
      <c r="P6" s="2415"/>
      <c r="Q6" s="2415"/>
      <c r="R6" s="2415"/>
      <c r="S6" s="2415"/>
      <c r="T6" s="2415"/>
      <c r="U6" s="2415"/>
      <c r="V6" s="1521"/>
    </row>
    <row customHeight="1" ht="14.25">
      <c r="J7" s="602"/>
      <c r="K7" s="602"/>
      <c r="L7" s="1565"/>
      <c r="M7" s="586"/>
      <c r="N7" s="586"/>
      <c r="O7" s="541"/>
      <c r="P7" s="541"/>
      <c r="Q7" s="541"/>
      <c r="R7" s="541"/>
      <c r="S7" s="541"/>
      <c r="T7" s="541"/>
      <c r="U7" s="541"/>
      <c r="V7" s="541"/>
      <c r="W7" s="746"/>
    </row>
    <row s="10859" customFormat="1" customHeight="1" ht="45">
      <c r="F8" s="1527"/>
      <c r="G8" s="1527"/>
      <c r="H8" s="1527"/>
      <c r="L8" s="1566"/>
      <c r="M8" s="505" t="s">
        <v>39</v>
      </c>
      <c r="N8" s="514"/>
      <c r="O8" s="2417" t="str">
        <f>IF(TITLE_NAME_OR_PR_CHANGE="",IF(TITLE_NAME_OR_PR="","",TITLE_NAME_OR_PR),TITLE_NAME_OR_PR_CHANGE)</f>
        <v/>
      </c>
      <c r="P8" s="2417"/>
      <c r="Q8" s="2417"/>
      <c r="R8" s="2417"/>
      <c r="S8" s="2417"/>
      <c r="T8" s="2417"/>
      <c r="U8" s="2417"/>
      <c r="V8" s="547"/>
      <c r="W8" s="547"/>
      <c r="X8" s="490"/>
      <c r="Y8" s="593"/>
      <c r="Z8" s="593"/>
      <c r="AA8" s="593"/>
      <c r="AB8" s="593"/>
      <c r="AC8" s="593"/>
    </row>
    <row s="10859" customFormat="1" customHeight="1" ht="22.5">
      <c r="F9" s="1527"/>
      <c r="G9" s="1527"/>
      <c r="H9" s="1527"/>
      <c r="L9" s="1566"/>
      <c r="M9" s="505" t="s">
        <v>1540</v>
      </c>
      <c r="N9" s="514"/>
      <c r="O9" s="2417" t="str">
        <f>IF(TITLE_DATE_CHANGE_PERIOD="",IF(TITLE_DATE_PR="","",TITLE_DATE_PR),TITLE_DATE_CHANGE_PERIOD)</f>
        <v/>
      </c>
      <c r="P9" s="2417"/>
      <c r="Q9" s="2417"/>
      <c r="R9" s="2417"/>
      <c r="S9" s="2417"/>
      <c r="T9" s="2417"/>
      <c r="U9" s="2417"/>
      <c r="V9" s="547"/>
      <c r="W9" s="547"/>
      <c r="X9" s="490"/>
      <c r="Y9" s="593"/>
      <c r="Z9" s="593"/>
      <c r="AA9" s="593"/>
      <c r="AB9" s="593"/>
      <c r="AC9" s="593"/>
    </row>
    <row s="10859" customFormat="1" customHeight="1" ht="22.5">
      <c r="F10" s="1527"/>
      <c r="G10" s="1527"/>
      <c r="H10" s="1527"/>
      <c r="L10" s="1529"/>
      <c r="M10" s="505" t="s">
        <v>1541</v>
      </c>
      <c r="N10" s="514"/>
      <c r="O10" s="2417" t="str">
        <f>IF(TITLE_NUMBER_PR_CHANGE="",IF(TITLE_NUMBER_PR="","",TITLE_NUMBER_PR),TITLE_NUMBER_PR_CHANGE)</f>
        <v/>
      </c>
      <c r="P10" s="2417"/>
      <c r="Q10" s="2417"/>
      <c r="R10" s="2417"/>
      <c r="S10" s="2417"/>
      <c r="T10" s="2417"/>
      <c r="U10" s="2417"/>
      <c r="V10" s="547"/>
      <c r="W10" s="547"/>
      <c r="X10" s="490"/>
      <c r="Y10" s="593"/>
      <c r="Z10" s="593"/>
      <c r="AA10" s="593"/>
      <c r="AB10" s="593"/>
      <c r="AC10" s="593"/>
    </row>
    <row s="10859" customFormat="1" customHeight="1" ht="22.5">
      <c r="F11" s="1527"/>
      <c r="G11" s="1527"/>
      <c r="H11" s="1527"/>
      <c r="L11" s="1529"/>
      <c r="M11" s="505" t="s">
        <v>40</v>
      </c>
      <c r="N11" s="514"/>
      <c r="O11" s="2417" t="str">
        <f>IF(TITLE_IST_PUB_CHANGE="",IF(TITLE_IST_PUB="","",TITLE_IST_PUB),TITLE_IST_PUB_CHANGE)</f>
        <v/>
      </c>
      <c r="P11" s="2417"/>
      <c r="Q11" s="2417"/>
      <c r="R11" s="2417"/>
      <c r="S11" s="2417"/>
      <c r="T11" s="2417"/>
      <c r="U11" s="2417"/>
      <c r="V11" s="547"/>
      <c r="W11" s="547"/>
      <c r="X11" s="490"/>
      <c r="Y11" s="593"/>
      <c r="Z11" s="593"/>
      <c r="AA11" s="593"/>
      <c r="AB11" s="593"/>
      <c r="AC11" s="593"/>
    </row>
    <row s="10859" customFormat="1" customHeight="1" ht="11.25" hidden="1">
      <c r="F12" s="1527"/>
      <c r="G12" s="1527"/>
      <c r="H12" s="1527"/>
      <c r="L12" s="2517"/>
      <c r="M12" s="2517"/>
      <c r="N12" s="1577"/>
      <c r="O12" s="547"/>
      <c r="P12" s="547"/>
      <c r="Q12" s="547"/>
      <c r="R12" s="547"/>
      <c r="S12" s="547"/>
      <c r="T12" s="547"/>
      <c r="U12" s="547"/>
      <c r="V12" s="488" t="s">
        <v>1544</v>
      </c>
      <c r="Y12" s="593"/>
      <c r="Z12" s="593"/>
      <c r="AA12" s="593"/>
      <c r="AB12" s="593"/>
      <c r="AC12" s="593"/>
    </row>
    <row customHeight="1" ht="14.25">
      <c r="J13" s="602"/>
      <c r="K13" s="602"/>
      <c r="L13" s="1565"/>
      <c r="M13" s="586"/>
      <c r="N13" s="1522"/>
      <c r="O13" s="2418"/>
      <c r="P13" s="2418"/>
      <c r="Q13" s="2418"/>
      <c r="R13" s="2418"/>
      <c r="S13" s="2418"/>
      <c r="T13" s="2418"/>
      <c r="U13" s="2418"/>
      <c r="V13" s="2418"/>
    </row>
    <row customHeight="1" ht="14.25">
      <c r="J14" s="602"/>
      <c r="K14" s="602"/>
      <c r="L14" s="2277" t="s">
        <v>362</v>
      </c>
      <c r="M14" s="2277"/>
      <c r="N14" s="2277"/>
      <c r="O14" s="2277"/>
      <c r="P14" s="2277"/>
      <c r="Q14" s="2277"/>
      <c r="R14" s="2277"/>
      <c r="S14" s="2277"/>
      <c r="T14" s="2277"/>
      <c r="U14" s="2277"/>
      <c r="V14" s="2277"/>
      <c r="W14" s="2277"/>
      <c r="X14" s="2277" t="s">
        <v>363</v>
      </c>
    </row>
    <row customHeight="1" ht="14.25">
      <c r="J15" s="602"/>
      <c r="K15" s="602"/>
      <c r="L15" s="2440" t="s">
        <v>88</v>
      </c>
      <c r="M15" s="2301" t="s">
        <v>1545</v>
      </c>
      <c r="N15" s="511"/>
      <c r="O15" s="2441" t="s">
        <v>1610</v>
      </c>
      <c r="P15" s="2442"/>
      <c r="Q15" s="2442"/>
      <c r="R15" s="2442"/>
      <c r="S15" s="2442"/>
      <c r="T15" s="2442"/>
      <c r="U15" s="2443"/>
      <c r="V15" s="2444" t="s">
        <v>1547</v>
      </c>
      <c r="W15" s="2447" t="s">
        <v>1611</v>
      </c>
      <c r="X15" s="2277"/>
    </row>
    <row customHeight="1" ht="33.75">
      <c r="J16" s="602"/>
      <c r="K16" s="602"/>
      <c r="L16" s="2440"/>
      <c r="M16" s="2301"/>
      <c r="N16" s="1289"/>
      <c r="O16" s="2426" t="s">
        <v>1550</v>
      </c>
      <c r="P16" s="2426" t="s">
        <v>1551</v>
      </c>
      <c r="Q16" s="2428" t="s">
        <v>1552</v>
      </c>
      <c r="R16" s="2429"/>
      <c r="S16" s="2434" t="s">
        <v>1571</v>
      </c>
      <c r="T16" s="2435"/>
      <c r="U16" s="2436"/>
      <c r="V16" s="2445"/>
      <c r="W16" s="2448"/>
      <c r="X16" s="2277"/>
    </row>
    <row customHeight="1" ht="33.75">
      <c r="A17" s="1548" t="s">
        <v>211</v>
      </c>
      <c r="B17" s="1548" t="s">
        <v>212</v>
      </c>
      <c r="C17" s="1548" t="s">
        <v>213</v>
      </c>
      <c r="D17" s="1548" t="s">
        <v>214</v>
      </c>
      <c r="E17" s="1548"/>
      <c r="J17" s="602"/>
      <c r="K17" s="602"/>
      <c r="L17" s="2440"/>
      <c r="M17" s="2301"/>
      <c r="N17" s="512"/>
      <c r="O17" s="2427"/>
      <c r="P17" s="2427"/>
      <c r="Q17" s="1497" t="s">
        <v>1561</v>
      </c>
      <c r="R17" s="1497" t="s">
        <v>1562</v>
      </c>
      <c r="S17" s="1582" t="s">
        <v>1563</v>
      </c>
      <c r="T17" s="2437" t="s">
        <v>1564</v>
      </c>
      <c r="U17" s="2438"/>
      <c r="V17" s="2446"/>
      <c r="W17" s="2449"/>
      <c r="X17" s="2277"/>
    </row>
    <row s="10822" customFormat="1" customHeight="1" ht="11.25">
      <c r="A18" s="1548"/>
      <c r="B18" s="1548"/>
      <c r="C18" s="1548"/>
      <c r="D18" s="1548"/>
      <c r="E18" s="1548"/>
      <c r="F18" s="1576"/>
      <c r="G18" s="1576"/>
      <c r="H18" s="1576"/>
      <c r="I18" s="1524"/>
      <c r="J18" s="1525"/>
      <c r="K18" s="1540">
        <v>1</v>
      </c>
      <c r="L18" s="1567" t="s">
        <v>109</v>
      </c>
      <c r="M18" s="1541" t="s">
        <v>110</v>
      </c>
      <c r="N18" s="1523" t="str">
        <f>OFFSET(N18,0,-1)</f>
        <v>2</v>
      </c>
      <c r="O18" s="1579">
        <f>OFFSET(O18,0,-1)+1</f>
        <v>3</v>
      </c>
      <c r="P18" s="1579"/>
      <c r="Q18" s="1579">
        <f>OFFSET(Q18,0,-1)+1</f>
        <v>1</v>
      </c>
      <c r="R18" s="1579">
        <f>OFFSET(R18,0,-1)+1</f>
        <v>2</v>
      </c>
      <c r="S18" s="1579">
        <f>OFFSET(S18,0,-1)+1</f>
        <v>3</v>
      </c>
      <c r="T18" s="2439">
        <f>OFFSET(T18,0,-1)+1</f>
        <v>4</v>
      </c>
      <c r="U18" s="2439"/>
      <c r="V18" s="1579">
        <f>OFFSET(V18,0,-2)+1</f>
        <v>5</v>
      </c>
      <c r="W18" s="1523">
        <f>OFFSET(W18,0,-1)</f>
        <v>5</v>
      </c>
      <c r="X18" s="1579">
        <f>OFFSET(X18,0,-1)+1</f>
        <v>6</v>
      </c>
      <c r="Y18" s="748"/>
      <c r="Z18" s="748"/>
      <c r="AA18" s="748"/>
      <c r="AB18" s="748"/>
      <c r="AC18" s="748"/>
    </row>
    <row customHeight="1" ht="21">
      <c r="A19" s="1556" t="s">
        <v>1620</v>
      </c>
      <c r="B19" s="1556" t="s">
        <v>1621</v>
      </c>
      <c r="C19" s="1556" t="s">
        <v>1622</v>
      </c>
      <c r="D19" s="1556" t="s">
        <v>1623</v>
      </c>
      <c r="E19" s="1556"/>
      <c r="F19" s="925"/>
      <c r="G19" s="925"/>
      <c r="H19" s="925"/>
      <c r="I19" s="582"/>
      <c r="J19" s="581"/>
      <c r="K19" s="576"/>
      <c r="L19" s="1583">
        <f>INDEX(PT_DIFFERENTIATION_NUM_NTAR,MATCH(A19,PT_DIFFERENTIATION_NTAR_ID,0))</f>
      </c>
      <c r="M19" s="508" t="s">
        <v>200</v>
      </c>
      <c r="N19" s="510"/>
      <c r="O19" s="4328">
        <f>INDEX(PT_DIFFERENTIATION_NTAR,MATCH(A19,PT_DIFFERENTIATION_NTAR_ID,0))</f>
      </c>
      <c r="P19" s="4328"/>
      <c r="Q19" s="4328"/>
      <c r="R19" s="4328"/>
      <c r="S19" s="4328"/>
      <c r="T19" s="4328"/>
      <c r="U19" s="4328"/>
      <c r="V19" s="4328"/>
      <c r="W19" s="4328"/>
      <c r="X19" s="1546" t="s">
        <v>1516</v>
      </c>
      <c r="Z19" s="737"/>
      <c r="AA19" s="737" t="str">
        <f>IF(M19="","",M19)</f>
        <v>Наименование тарифа</v>
      </c>
      <c r="AB19" s="737"/>
      <c r="AC19" s="737"/>
    </row>
    <row customHeight="1" ht="21">
      <c r="A20" s="1556" t="s">
        <v>1620</v>
      </c>
      <c r="B20" s="1556" t="s">
        <v>1621</v>
      </c>
      <c r="C20" s="1556" t="s">
        <v>1622</v>
      </c>
      <c r="D20" s="1556" t="s">
        <v>1623</v>
      </c>
      <c r="E20" s="1556"/>
      <c r="F20" s="925"/>
      <c r="G20" s="925"/>
      <c r="H20" s="925"/>
      <c r="I20" s="1580"/>
      <c r="J20" s="573"/>
      <c r="K20" s="574"/>
      <c r="L20" s="1583">
        <f>INDEX(PT_DIFFERENTIATION_NUM_TER,MATCH(B19,PT_DIFFERENTIATION_TER_ID,0))</f>
      </c>
      <c r="M20" s="520" t="s">
        <v>1517</v>
      </c>
      <c r="N20" s="510"/>
      <c r="O20" s="4328">
        <f>INDEX(PT_DIFFERENTIATION_TER,MATCH(B19,PT_DIFFERENTIATION_TER_ID,0))</f>
      </c>
      <c r="P20" s="4328"/>
      <c r="Q20" s="4328"/>
      <c r="R20" s="4328"/>
      <c r="S20" s="4328"/>
      <c r="T20" s="4328"/>
      <c r="U20" s="4328"/>
      <c r="V20" s="4328"/>
      <c r="W20" s="4328"/>
      <c r="X20" s="1546" t="s">
        <v>1518</v>
      </c>
      <c r="Z20" s="737"/>
      <c r="AA20" s="737" t="str">
        <f>IF(M20="","",M20)</f>
        <v>Территория действия тарифа</v>
      </c>
      <c r="AB20" s="737"/>
      <c r="AC20" s="737"/>
    </row>
    <row customHeight="1" ht="22.5">
      <c r="A21" s="1556" t="s">
        <v>1620</v>
      </c>
      <c r="B21" s="1556" t="s">
        <v>1621</v>
      </c>
      <c r="C21" s="1556" t="s">
        <v>1622</v>
      </c>
      <c r="D21" s="1556" t="s">
        <v>1623</v>
      </c>
      <c r="E21" s="1556"/>
      <c r="F21" s="925"/>
      <c r="G21" s="925"/>
      <c r="H21" s="925"/>
      <c r="I21" s="575"/>
      <c r="J21" s="573"/>
      <c r="K21" s="574"/>
      <c r="L21" s="1583">
        <f>INDEX(PT_DIFFERENTIATION_NUM_CS,MATCH(C19,PT_DIFFERENTIATION_CS_ID,0))</f>
      </c>
      <c r="M21" s="521" t="s">
        <v>1519</v>
      </c>
      <c r="N21" s="510"/>
      <c r="O21" s="4328">
        <f>INDEX(PT_DIFFERENTIATION_CS,MATCH(C19,PT_DIFFERENTIATION_CS_ID,0))</f>
      </c>
      <c r="P21" s="4328"/>
      <c r="Q21" s="4328"/>
      <c r="R21" s="4328"/>
      <c r="S21" s="4328"/>
      <c r="T21" s="4328"/>
      <c r="U21" s="4328"/>
      <c r="V21" s="4328"/>
      <c r="W21" s="4328"/>
      <c r="X21" s="1546" t="s">
        <v>1520</v>
      </c>
      <c r="Z21" s="737"/>
      <c r="AA21" s="737" t="str">
        <f>IF(M21="","",M21)</f>
        <v>Наименование системы теплоснабжения </v>
      </c>
      <c r="AB21" s="737"/>
      <c r="AC21" s="737"/>
    </row>
    <row customHeight="1" ht="21">
      <c r="A22" s="1556" t="s">
        <v>1620</v>
      </c>
      <c r="B22" s="1556" t="s">
        <v>1621</v>
      </c>
      <c r="C22" s="1556" t="s">
        <v>1622</v>
      </c>
      <c r="D22" s="1556" t="s">
        <v>1623</v>
      </c>
      <c r="E22" s="1556"/>
      <c r="F22" s="925"/>
      <c r="G22" s="925"/>
      <c r="H22" s="925"/>
      <c r="I22" s="575"/>
      <c r="J22" s="573"/>
      <c r="K22" s="574"/>
      <c r="L22" s="1583">
        <f>INDEX(PT_DIFFERENTIATION_NUM_IST_TE,MATCH(D19,PT_DIFFERENTIATION_IST_TE_ID,0))</f>
      </c>
      <c r="M22" s="522" t="s">
        <v>1521</v>
      </c>
      <c r="N22" s="510"/>
      <c r="O22" s="4328">
        <f>INDEX(PT_DIFFERENTIATION_IST_TE,MATCH(D19,PT_DIFFERENTIATION_IST_TE_ID,0))</f>
      </c>
      <c r="P22" s="4328"/>
      <c r="Q22" s="4328"/>
      <c r="R22" s="4328"/>
      <c r="S22" s="4328"/>
      <c r="T22" s="4328"/>
      <c r="U22" s="4328"/>
      <c r="V22" s="4328"/>
      <c r="W22" s="4328"/>
      <c r="X22" s="1546" t="s">
        <v>1522</v>
      </c>
      <c r="Z22" s="737"/>
      <c r="AA22" s="737" t="str">
        <f>IF(M22="","",M22)</f>
        <v>Источник тепловой энергии  </v>
      </c>
      <c r="AB22" s="737"/>
      <c r="AC22" s="737"/>
    </row>
    <row customHeight="1" ht="94.5">
      <c r="A23" s="1556" t="s">
        <v>1620</v>
      </c>
      <c r="B23" s="1556" t="s">
        <v>1621</v>
      </c>
      <c r="C23" s="1556" t="s">
        <v>1622</v>
      </c>
      <c r="D23" s="1556" t="s">
        <v>1623</v>
      </c>
      <c r="E23" s="1556"/>
      <c r="F23" s="2524">
        <f>L22&amp;".1"</f>
      </c>
      <c r="I23" s="2423">
        <v>1</v>
      </c>
      <c r="J23" s="1581"/>
      <c r="K23" s="577"/>
      <c r="L23" s="1583">
        <f>$F$23</f>
      </c>
      <c r="M23" s="495" t="s">
        <v>1524</v>
      </c>
      <c r="N23" s="510"/>
      <c r="O23" s="2520"/>
      <c r="P23" s="2520"/>
      <c r="Q23" s="2520"/>
      <c r="R23" s="2520"/>
      <c r="S23" s="2520"/>
      <c r="T23" s="2520"/>
      <c r="U23" s="2520"/>
      <c r="V23" s="2520"/>
      <c r="W23" s="2520"/>
      <c r="X23" s="1546" t="s">
        <v>1525</v>
      </c>
      <c r="Z23" s="737"/>
      <c r="AA23" s="737" t="str">
        <f>IF(M23="","",M23)</f>
        <v>Схема подключения теплопотребляющей установки к коллектору источника тепловой энергии</v>
      </c>
      <c r="AB23" s="737"/>
      <c r="AC23" s="737"/>
    </row>
    <row customHeight="1" ht="84">
      <c r="A24" s="1556" t="s">
        <v>1620</v>
      </c>
      <c r="B24" s="1556" t="s">
        <v>1621</v>
      </c>
      <c r="C24" s="1556" t="s">
        <v>1622</v>
      </c>
      <c r="D24" s="1556" t="s">
        <v>1623</v>
      </c>
      <c r="E24" s="1556"/>
      <c r="F24" s="2524"/>
      <c r="G24" s="2525">
        <f>F23&amp;".1"</f>
      </c>
      <c r="I24" s="2423"/>
      <c r="J24" s="2423">
        <v>1</v>
      </c>
      <c r="K24" s="578"/>
      <c r="L24" s="1583">
        <f>$G$24</f>
      </c>
      <c r="M24" s="496" t="s">
        <v>1527</v>
      </c>
      <c r="N24" s="510"/>
      <c r="O24" s="2521"/>
      <c r="P24" s="2522"/>
      <c r="Q24" s="2522"/>
      <c r="R24" s="2522"/>
      <c r="S24" s="2522"/>
      <c r="T24" s="2522"/>
      <c r="U24" s="2522"/>
      <c r="V24" s="2522"/>
      <c r="W24" s="2523"/>
      <c r="X24" s="1546" t="s">
        <v>1528</v>
      </c>
      <c r="Z24" s="737"/>
      <c r="AA24" s="737" t="str">
        <f>IF(M24="","",M24)</f>
        <v>Группа потребителей</v>
      </c>
      <c r="AB24" s="737"/>
      <c r="AC24" s="737"/>
    </row>
    <row customHeight="1" ht="11.25">
      <c r="A25" s="1556" t="s">
        <v>1620</v>
      </c>
      <c r="B25" s="1556" t="s">
        <v>1621</v>
      </c>
      <c r="C25" s="1556" t="s">
        <v>1622</v>
      </c>
      <c r="D25" s="1556" t="s">
        <v>1623</v>
      </c>
      <c r="E25" s="1556"/>
      <c r="F25" s="2524"/>
      <c r="G25" s="2525"/>
      <c r="H25" s="2525">
        <f>G24&amp;".1"</f>
      </c>
      <c r="I25" s="2423"/>
      <c r="J25" s="2423"/>
      <c r="K25" s="578">
        <v>1</v>
      </c>
      <c r="L25" s="1583">
        <f>$H$25</f>
      </c>
      <c r="M25" s="1547"/>
      <c r="N25" s="510"/>
      <c r="O25" s="4065"/>
      <c r="P25" s="4066"/>
      <c r="Q25" s="4065"/>
      <c r="R25" s="4067"/>
      <c r="S25" s="2516"/>
      <c r="T25" s="2142" t="s">
        <v>67</v>
      </c>
      <c r="U25" s="2516"/>
      <c r="V25" s="2142" t="s">
        <v>57</v>
      </c>
      <c r="W25" s="4066"/>
      <c r="X25" s="2419" t="s">
        <v>1530</v>
      </c>
      <c r="Y25" s="748">
        <f>STRCHECKDATE(O26:W26)</f>
      </c>
      <c r="Z25" s="737"/>
      <c r="AA25" s="737" t="str">
        <f>IF(M25="","",M25)</f>
        <v/>
      </c>
      <c r="AB25" s="737"/>
      <c r="AC25" s="737"/>
    </row>
    <row customHeight="1" ht="11.25">
      <c r="A26" s="1556" t="s">
        <v>1620</v>
      </c>
      <c r="B26" s="1556" t="s">
        <v>1621</v>
      </c>
      <c r="C26" s="1556" t="s">
        <v>1622</v>
      </c>
      <c r="D26" s="1556" t="s">
        <v>1623</v>
      </c>
      <c r="E26" s="1556"/>
      <c r="F26" s="2524"/>
      <c r="G26" s="2525"/>
      <c r="H26" s="2525"/>
      <c r="I26" s="2423"/>
      <c r="J26" s="2423"/>
      <c r="K26" s="578"/>
      <c r="L26" s="1584"/>
      <c r="M26" s="510"/>
      <c r="N26" s="510"/>
      <c r="O26" s="4066"/>
      <c r="P26" s="4066"/>
      <c r="Q26" s="4066"/>
      <c r="R26" s="4071" t="str">
        <f>S25&amp;"-"&amp;U25</f>
        <v>-</v>
      </c>
      <c r="S26" s="2431"/>
      <c r="T26" s="2142"/>
      <c r="U26" s="2431"/>
      <c r="V26" s="2142"/>
      <c r="W26" s="4066"/>
      <c r="X26" s="2420"/>
      <c r="Z26" s="737"/>
      <c r="AA26" s="737" t="str">
        <f>IF(M26="","",M26)</f>
        <v/>
      </c>
      <c r="AB26" s="737"/>
      <c r="AC26" s="737"/>
    </row>
    <row customHeight="1" ht="15">
      <c r="A27" s="1556" t="s">
        <v>1620</v>
      </c>
      <c r="B27" s="1556" t="s">
        <v>1621</v>
      </c>
      <c r="C27" s="1556" t="s">
        <v>1622</v>
      </c>
      <c r="D27" s="1556" t="s">
        <v>1623</v>
      </c>
      <c r="E27" s="1556"/>
      <c r="F27" s="2524"/>
      <c r="G27" s="2525"/>
      <c r="I27" s="2423"/>
      <c r="J27" s="2423"/>
      <c r="K27" s="577"/>
      <c r="L27" s="1568"/>
      <c r="M27" s="498" t="s">
        <v>1531</v>
      </c>
      <c r="N27" s="592"/>
      <c r="O27" s="592"/>
      <c r="P27" s="592"/>
      <c r="Q27" s="592"/>
      <c r="R27" s="592"/>
      <c r="S27" s="592"/>
      <c r="T27" s="592"/>
      <c r="U27" s="592"/>
      <c r="V27" s="592"/>
      <c r="W27" s="544"/>
      <c r="X27" s="2421"/>
      <c r="Z27" s="737"/>
      <c r="AA27" s="737" t="str">
        <f>IF(M27="","",M27)</f>
        <v>Добавить вид теплоносителя (параметры теплоносителя)</v>
      </c>
      <c r="AB27" s="737"/>
      <c r="AC27" s="737"/>
    </row>
    <row customHeight="1" ht="15">
      <c r="A28" s="1556" t="s">
        <v>1620</v>
      </c>
      <c r="B28" s="1556" t="s">
        <v>1621</v>
      </c>
      <c r="C28" s="1556" t="s">
        <v>1622</v>
      </c>
      <c r="D28" s="1556" t="s">
        <v>1623</v>
      </c>
      <c r="E28" s="1556"/>
      <c r="F28" s="2524"/>
      <c r="I28" s="2423"/>
      <c r="J28" s="1581"/>
      <c r="K28" s="577"/>
      <c r="L28" s="1568"/>
      <c r="M28" s="497" t="s">
        <v>1532</v>
      </c>
      <c r="N28" s="592"/>
      <c r="O28" s="592"/>
      <c r="P28" s="592"/>
      <c r="Q28" s="592"/>
      <c r="R28" s="592"/>
      <c r="S28" s="592"/>
      <c r="T28" s="592"/>
      <c r="U28" s="592"/>
      <c r="V28" s="591"/>
      <c r="W28" s="592"/>
      <c r="X28" s="513"/>
      <c r="Z28" s="737"/>
      <c r="AA28" s="737" t="str">
        <f>IF(M28="","",M28)</f>
        <v>Добавить группу потребителей</v>
      </c>
      <c r="AB28" s="737"/>
      <c r="AC28" s="737"/>
    </row>
    <row customHeight="1" ht="14.25">
      <c r="A29" s="1556" t="s">
        <v>1620</v>
      </c>
      <c r="B29" s="1556" t="s">
        <v>1621</v>
      </c>
      <c r="C29" s="1556" t="s">
        <v>1622</v>
      </c>
      <c r="D29" s="1556" t="s">
        <v>1623</v>
      </c>
      <c r="E29" s="1556"/>
      <c r="F29" s="925"/>
      <c r="G29" s="925"/>
      <c r="H29" s="746"/>
      <c r="I29" s="581"/>
      <c r="J29" s="601"/>
      <c r="K29" s="576"/>
      <c r="L29" s="1568"/>
      <c r="M29" s="589" t="s">
        <v>1533</v>
      </c>
      <c r="N29" s="592"/>
      <c r="O29" s="592"/>
      <c r="P29" s="592"/>
      <c r="Q29" s="592"/>
      <c r="R29" s="592"/>
      <c r="S29" s="592"/>
      <c r="T29" s="592"/>
      <c r="U29" s="592"/>
      <c r="V29" s="591"/>
      <c r="W29" s="592"/>
      <c r="X29" s="513"/>
      <c r="Z29" s="737"/>
      <c r="AA29" s="737" t="str">
        <f>IF(M29="","",M29)</f>
        <v>Добавить схему подключения</v>
      </c>
      <c r="AB29" s="737"/>
      <c r="AC29" s="737"/>
    </row>
    <row customHeight="1" ht="14.25">
      <c r="A30" s="1556" t="s">
        <v>1620</v>
      </c>
      <c r="B30" s="1556" t="s">
        <v>1621</v>
      </c>
      <c r="C30" s="1556" t="s">
        <v>1622</v>
      </c>
      <c r="D30" s="1556"/>
      <c r="E30" s="1556" t="s">
        <v>1612</v>
      </c>
      <c r="F30" s="925"/>
      <c r="G30" s="925"/>
      <c r="H30" s="746"/>
      <c r="I30" s="581"/>
      <c r="J30" s="601"/>
      <c r="K30" s="576"/>
      <c r="L30" s="1569"/>
      <c r="M30" s="1558"/>
      <c r="N30" s="1559"/>
      <c r="O30" s="1559"/>
      <c r="P30" s="1559"/>
      <c r="Q30" s="1559"/>
      <c r="R30" s="1559"/>
      <c r="S30" s="1559"/>
      <c r="T30" s="1559"/>
      <c r="U30" s="1559"/>
      <c r="V30" s="1560"/>
      <c r="W30" s="1559"/>
      <c r="X30" s="1561"/>
      <c r="Z30" s="737"/>
      <c r="AA30" s="737" t="str">
        <f>IF(M30="","",M30)</f>
        <v/>
      </c>
      <c r="AB30" s="737"/>
      <c r="AC30" s="737"/>
    </row>
    <row customHeight="1" ht="14.25">
      <c r="A31" s="1556" t="s">
        <v>1620</v>
      </c>
      <c r="B31" s="1556" t="s">
        <v>1621</v>
      </c>
      <c r="C31" s="1556"/>
      <c r="D31" s="1556"/>
      <c r="E31" s="1556" t="s">
        <v>1613</v>
      </c>
      <c r="F31" s="1543"/>
      <c r="G31" s="1543"/>
      <c r="H31" s="746"/>
      <c r="I31" s="579"/>
      <c r="J31" s="601"/>
      <c r="K31" s="580"/>
      <c r="L31" s="1569"/>
      <c r="M31" s="1562"/>
      <c r="N31" s="1559"/>
      <c r="O31" s="1559"/>
      <c r="P31" s="1559"/>
      <c r="Q31" s="1559"/>
      <c r="R31" s="1559"/>
      <c r="S31" s="1559"/>
      <c r="T31" s="1559"/>
      <c r="U31" s="1559"/>
      <c r="V31" s="1560"/>
      <c r="W31" s="1559"/>
      <c r="X31" s="1561"/>
      <c r="Z31" s="737"/>
      <c r="AA31" s="737" t="str">
        <f>IF(M31="","",M31)</f>
        <v/>
      </c>
      <c r="AB31" s="737"/>
      <c r="AC31" s="737"/>
    </row>
    <row customHeight="1" ht="14.25">
      <c r="A32" s="1556" t="s">
        <v>1624</v>
      </c>
      <c r="B32" s="1556"/>
      <c r="C32" s="1556"/>
      <c r="D32" s="1556"/>
      <c r="E32" s="1556" t="s">
        <v>104</v>
      </c>
      <c r="F32" s="1543"/>
      <c r="G32" s="1543"/>
      <c r="H32" s="746"/>
      <c r="I32" s="581"/>
      <c r="J32" s="601"/>
      <c r="K32" s="576"/>
      <c r="L32" s="1569"/>
      <c r="M32" s="1563"/>
      <c r="N32" s="1559"/>
      <c r="O32" s="1559"/>
      <c r="P32" s="1559"/>
      <c r="Q32" s="1559"/>
      <c r="R32" s="1559"/>
      <c r="S32" s="1559"/>
      <c r="T32" s="1559"/>
      <c r="U32" s="1559"/>
      <c r="V32" s="1560"/>
      <c r="W32" s="1559"/>
      <c r="X32" s="1561"/>
      <c r="Z32" s="737"/>
      <c r="AA32" s="737" t="str">
        <f>IF(M32="","",M32)</f>
        <v/>
      </c>
      <c r="AB32" s="737"/>
      <c r="AC32" s="737"/>
    </row>
    <row s="11403" customFormat="1" customHeight="1" ht="11.25">
      <c r="A33" s="1556"/>
      <c r="B33" s="1556"/>
      <c r="C33" s="1556"/>
      <c r="D33" s="1556"/>
      <c r="E33" s="1556" t="s">
        <v>1495</v>
      </c>
      <c r="F33" s="1557"/>
      <c r="G33" s="1544"/>
      <c r="H33" s="746"/>
      <c r="L33" s="1570"/>
      <c r="M33" s="1564"/>
      <c r="N33" s="1559"/>
      <c r="O33" s="1559"/>
      <c r="P33" s="1559"/>
      <c r="Q33" s="1559"/>
      <c r="R33" s="1559"/>
      <c r="S33" s="1559"/>
      <c r="T33" s="1559"/>
      <c r="U33" s="1559"/>
      <c r="V33" s="1560"/>
      <c r="W33" s="1559"/>
      <c r="X33" s="1561"/>
      <c r="Y33" s="608"/>
      <c r="Z33" s="608"/>
      <c r="AA33" s="608"/>
      <c r="AB33" s="608"/>
      <c r="AC33" s="608"/>
    </row>
    <row customHeight="1" ht="11.25">
      <c r="F34" s="1416"/>
      <c r="G34" s="1416"/>
      <c r="H34" s="746"/>
      <c r="I34" s="1416"/>
      <c r="J34" s="1416"/>
      <c r="K34" s="1416"/>
      <c r="Y34" s="1416"/>
      <c r="Z34" s="1416"/>
      <c r="AA34" s="1416"/>
      <c r="AB34" s="1416"/>
      <c r="AC34" s="1416"/>
    </row>
    <row customHeight="1" ht="27">
      <c r="H35" s="746"/>
      <c r="L35" s="1578" t="s">
        <v>1565</v>
      </c>
      <c r="M35" s="2452" t="s">
        <v>1572</v>
      </c>
      <c r="N35" s="2452"/>
      <c r="O35" s="2452"/>
      <c r="P35" s="2452"/>
      <c r="Q35" s="2452"/>
      <c r="R35" s="2452"/>
      <c r="S35" s="2452"/>
      <c r="T35" s="2452"/>
      <c r="U35" s="2452"/>
      <c r="V35" s="2452"/>
      <c r="W35" s="2452"/>
      <c r="X35" s="2452"/>
    </row>
    <row customHeight="1" ht="104.25">
      <c r="F36" s="1597"/>
      <c r="G36" s="1597"/>
      <c r="H36" s="746"/>
      <c r="I36" s="1597"/>
      <c r="M36" s="2452" t="s">
        <v>1567</v>
      </c>
      <c r="N36" s="2452"/>
      <c r="O36" s="2452"/>
      <c r="P36" s="2452"/>
      <c r="Q36" s="2452"/>
      <c r="R36" s="2452"/>
      <c r="S36" s="2452"/>
      <c r="T36" s="2452"/>
      <c r="U36" s="2452"/>
      <c r="V36" s="2452"/>
      <c r="W36" s="2452"/>
      <c r="X36" s="2452"/>
    </row>
    <row customHeight="1" ht="14.25">
      <c r="H37" s="746"/>
    </row>
    <row customHeight="1" ht="14.25">
      <c r="H38" s="746"/>
    </row>
    <row customHeight="1" ht="14.25">
      <c r="H39" s="746"/>
    </row>
    <row customHeight="1" ht="14.25">
      <c r="H40" s="746"/>
    </row>
  </sheetData>
  <sheetProtection formatColumns="0" formatRows="0" autoFilter="0" sort="0" insertRows="0" insertColumns="1" deleteRows="0" deleteColumns="0"/>
  <mergeCells count="39">
    <mergeCell ref="O19:W19"/>
    <mergeCell ref="O20:W20"/>
    <mergeCell ref="O21:W21"/>
    <mergeCell ref="O22:W22"/>
    <mergeCell ref="F23:F28"/>
    <mergeCell ref="I23:I28"/>
    <mergeCell ref="O23:W23"/>
    <mergeCell ref="G24:G27"/>
    <mergeCell ref="J24:J27"/>
    <mergeCell ref="O24:W24"/>
    <mergeCell ref="H25:H26"/>
    <mergeCell ref="O11:U11"/>
    <mergeCell ref="L12:M12"/>
    <mergeCell ref="O13:V13"/>
    <mergeCell ref="L14:W14"/>
    <mergeCell ref="T18:U18"/>
    <mergeCell ref="L5:U5"/>
    <mergeCell ref="L6:U6"/>
    <mergeCell ref="O8:U8"/>
    <mergeCell ref="O9:U9"/>
    <mergeCell ref="O10:U10"/>
    <mergeCell ref="X14:X17"/>
    <mergeCell ref="L15:L17"/>
    <mergeCell ref="M15:M17"/>
    <mergeCell ref="O15:U15"/>
    <mergeCell ref="V15:V17"/>
    <mergeCell ref="W15:W17"/>
    <mergeCell ref="O16:O17"/>
    <mergeCell ref="P16:P17"/>
    <mergeCell ref="Q16:R16"/>
    <mergeCell ref="S16:U16"/>
    <mergeCell ref="T17:U17"/>
    <mergeCell ref="M35:X35"/>
    <mergeCell ref="M36:X36"/>
    <mergeCell ref="S25:S26"/>
    <mergeCell ref="T25:T26"/>
    <mergeCell ref="U25:U26"/>
    <mergeCell ref="V25:V26"/>
    <mergeCell ref="X25:X27"/>
  </mergeCells>
  <dataValidations count="8">
    <dataValidation type="list" allowBlank="1" showInputMessage="1" showErrorMessage="1" errorTitle="Ошибка" error="Выберите значение из списка" sqref="O983063:P983063 O65559:P65559 O131095:P131095 O196631:P196631 O262167:P262167 O327703:P327703 O393239:P393239 O458775:P458775 O524311:P524311 O589847:P589847 O655383:P655383 O720919:P720919 O786455:P786455 O851991:P851991 O917527:P917527">
      <formula1>kind_of_scheme_in</formula1>
    </dataValidation>
    <dataValidation type="list" allowBlank="1" showInputMessage="1" errorTitle="Ошибка" error="Выберите значение из списка" prompt="Выберите значение из списка" sqref="O983064:W983064 O65560:W65560 O131096:W131096 O196632:W196632 O262168:W262168 O327704:W327704 O393240:W393240 O458776:W458776 O524312:W524312 O589848:W589848 O655384:W655384 O720920:W720920 O786456:W786456 O851992:W851992 O917528:W917528">
      <formula1>kind_of_cons</formula1>
    </dataValidation>
    <dataValidation type="textLength" operator="lessThanOrEqual" allowBlank="1" showInputMessage="1" showErrorMessage="1" errorTitle="Ошибка" error="Допускается ввод не более 900 символов!" sqref="X65555:X65562 X131091:X131098 X196627:X196634 X262163:X262170 X327699:X327706 X393235:X393242 X458771:X458778 X524307:X524314 X589843:X589850 X655379:X655386 X720915:X720922 X786451:X786458 X851987:X851994 X917523:X917530 X983059:X983066">
      <formula1>900</formula1>
    </dataValidation>
    <dataValidation type="list" allowBlank="1" showInputMessage="1" showErrorMessage="1" errorTitle="Ошибка" error="Выберите значение из списка" sqref="M65561 M131097 M196633 M262169 M327705 M393241 M458777 M524313 M589849 M655385 M720921 M786457 M851993 M917529 M983065">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S65561 S131097 S196633 S262169 S327705 S393241 S458777 S524313 S589849 S655385 S720921 S786457 S851993 S917529 S983065 U65561 U131097 U196633 U262169 U327705 U393241 U458777 U524313 U589849 U655385 U720921 U786457 U851993 U917529 U983065 U25 S25"/>
    <dataValidation allowBlank="1" showInputMessage="1" showErrorMessage="1" prompt="Для выбора выполните двойной щелчок левой клавиши мыши по соответствующей ячейке." sqref="T65561 T131097 T196633 T262169 T327705 T393241 T458777 T524313 T589849 T655385 T720921 T786457 T851993 T917529 T983065 V589849 V655385 V720921 V786457 V851993 V917529 V983065 V65561 V131097 V458777 V196633 V262169 V327705 V393241 V25 T25 V524313"/>
    <dataValidation allowBlank="1" promptTitle="checkPeriodRange" sqref="R26 R65562 R131098 R196634 R262170 R327706 R393242 R458778 R524314 R589850 R655386 R720922 R786458 R851994 R917530 R983066"/>
    <dataValidation allowBlank="1" sqref="L131099:X131105 L196635:X196641 L262171:X262177 L327707:X327713 L393243:X393249 L458779:X458785 L524315:X524321 L589851:X589857 L655387:X655393 L720923:X720929 L786459:X786465 L851995:X852001 L917531:X917537 L983067:X983073 L65563:X65569"/>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276A09C-6CCB-9894-BA63-D41BA534E0CC}" mc:Ignorable="x14ac xr xr2 xr3">
  <sheetPr>
    <tabColor theme="6" tint="0.4"/>
  </sheetPr>
  <dimension ref="A1:AC32"/>
  <sheetViews>
    <sheetView topLeftCell="A4" showGridLines="0" workbookViewId="0">
      <selection activeCell="A1" sqref="A1"/>
    </sheetView>
  </sheetViews>
  <sheetFormatPr defaultColWidth="10.57421875" customHeight="1" defaultRowHeight="14.25"/>
  <cols>
    <col min="1" max="6" style="10863" width="10.57421875"/>
    <col min="7" max="8" style="10042" width="9.140625" customWidth="1"/>
    <col min="9" max="9" style="11241" width="3.7109375" customWidth="1"/>
    <col min="10" max="11" style="10046" width="3.7109375" customWidth="1"/>
    <col min="12" max="12" style="11126" width="12.7109375" customWidth="1"/>
    <col min="13" max="13" style="11126" width="47.421875" customWidth="1"/>
    <col min="14" max="14" style="11126" width="2.7109375" hidden="1" customWidth="1"/>
    <col min="15" max="18" style="11126" width="23.7109375" customWidth="1"/>
    <col min="19" max="19" style="11126" width="11.7109375" customWidth="1"/>
    <col min="20" max="20" style="11126" width="3.7109375" customWidth="1"/>
    <col min="21" max="21" style="11126" width="11.7109375" customWidth="1"/>
    <col min="22" max="22" style="11126" width="8.57421875" hidden="1" customWidth="1"/>
    <col min="23" max="23" style="11126" width="4.7109375" customWidth="1"/>
    <col min="24" max="24" style="11126" width="115.7109375" customWidth="1"/>
    <col min="25" max="29" style="10863" width="10.57421875"/>
  </cols>
  <sheetData>
    <row customHeight="1" ht="14.25" hidden="1"/>
    <row customHeight="1" ht="14.25" hidden="1"/>
    <row customHeight="1" ht="14.25" hidden="1"/>
    <row customHeight="1" ht="14.25">
      <c r="J4" s="602"/>
      <c r="K4" s="602"/>
      <c r="L4" s="586"/>
      <c r="M4" s="586"/>
      <c r="N4" s="586"/>
      <c r="O4" s="746"/>
      <c r="P4" s="746"/>
      <c r="Q4" s="746"/>
      <c r="R4" s="746"/>
      <c r="S4" s="746"/>
      <c r="T4" s="746"/>
      <c r="U4" s="746"/>
      <c r="V4" s="586"/>
    </row>
    <row customHeight="1" ht="14.25">
      <c r="J5" s="602"/>
      <c r="K5" s="602"/>
      <c r="L5" s="2526" t="s">
        <v>1625</v>
      </c>
      <c r="M5" s="2526"/>
      <c r="N5" s="2526"/>
      <c r="O5" s="2526"/>
      <c r="P5" s="2526"/>
      <c r="Q5" s="2526"/>
      <c r="R5" s="2526"/>
      <c r="S5" s="2526"/>
      <c r="T5" s="2526"/>
      <c r="U5" s="486"/>
      <c r="V5" s="486"/>
    </row>
    <row customHeight="1" ht="14.25">
      <c r="J6" s="602"/>
      <c r="K6" s="602"/>
      <c r="L6" s="586"/>
      <c r="M6" s="586"/>
      <c r="N6" s="586"/>
      <c r="O6" s="541"/>
      <c r="P6" s="541"/>
      <c r="Q6" s="541"/>
      <c r="R6" s="541"/>
      <c r="S6" s="541"/>
      <c r="T6" s="541"/>
      <c r="U6" s="586"/>
    </row>
    <row s="10859" customFormat="1" customHeight="1" ht="22.5">
      <c r="A7" s="593"/>
      <c r="B7" s="593"/>
      <c r="C7" s="593"/>
      <c r="D7" s="593"/>
      <c r="E7" s="593"/>
      <c r="F7" s="593"/>
      <c r="G7" s="593"/>
      <c r="H7" s="593"/>
      <c r="L7" s="487"/>
      <c r="M7" s="505" t="s">
        <v>39</v>
      </c>
      <c r="N7" s="514"/>
      <c r="O7" s="2527">
        <f>IF(NameOrPr_ch="",IF(NameOrPr="","",NameOrPr),NameOrPr_ch)</f>
      </c>
      <c r="P7" s="2528"/>
      <c r="Q7" s="2528"/>
      <c r="R7" s="2528"/>
      <c r="S7" s="2528"/>
      <c r="T7" s="2529"/>
      <c r="U7" s="1526"/>
      <c r="Y7" s="593"/>
      <c r="Z7" s="593"/>
      <c r="AA7" s="593"/>
      <c r="AB7" s="593"/>
      <c r="AC7" s="593"/>
    </row>
    <row s="10859" customFormat="1" customHeight="1" ht="18.75">
      <c r="A8" s="593"/>
      <c r="B8" s="593"/>
      <c r="C8" s="593"/>
      <c r="D8" s="593"/>
      <c r="E8" s="593"/>
      <c r="F8" s="593"/>
      <c r="G8" s="593"/>
      <c r="H8" s="593"/>
      <c r="L8" s="487"/>
      <c r="M8" s="505" t="s">
        <v>1540</v>
      </c>
      <c r="N8" s="514"/>
      <c r="O8" s="2527">
        <f>IF(datePr_ch="",IF(datePr="","",datePr),datePr_ch)</f>
      </c>
      <c r="P8" s="2528"/>
      <c r="Q8" s="2528"/>
      <c r="R8" s="2528"/>
      <c r="S8" s="2528"/>
      <c r="T8" s="2529"/>
      <c r="U8" s="1526"/>
      <c r="Y8" s="593"/>
      <c r="Z8" s="593"/>
      <c r="AA8" s="593"/>
      <c r="AB8" s="593"/>
      <c r="AC8" s="593"/>
    </row>
    <row s="10859" customFormat="1" customHeight="1" ht="18.75">
      <c r="A9" s="593"/>
      <c r="B9" s="593"/>
      <c r="C9" s="593"/>
      <c r="D9" s="593"/>
      <c r="E9" s="593"/>
      <c r="F9" s="593"/>
      <c r="G9" s="593"/>
      <c r="H9" s="593"/>
      <c r="L9" s="543"/>
      <c r="M9" s="505" t="s">
        <v>1541</v>
      </c>
      <c r="N9" s="514"/>
      <c r="O9" s="2527">
        <f>IF(numberPr_ch="",IF(numberPr="","",numberPr),numberPr_ch)</f>
      </c>
      <c r="P9" s="2528"/>
      <c r="Q9" s="2528"/>
      <c r="R9" s="2528"/>
      <c r="S9" s="2528"/>
      <c r="T9" s="2529"/>
      <c r="U9" s="1526"/>
      <c r="Y9" s="593"/>
      <c r="Z9" s="593"/>
      <c r="AA9" s="593"/>
      <c r="AB9" s="593"/>
      <c r="AC9" s="593"/>
    </row>
    <row s="10859" customFormat="1" customHeight="1" ht="18.75">
      <c r="A10" s="593"/>
      <c r="B10" s="593"/>
      <c r="C10" s="593"/>
      <c r="D10" s="593"/>
      <c r="E10" s="593"/>
      <c r="F10" s="593"/>
      <c r="G10" s="593"/>
      <c r="H10" s="593"/>
      <c r="L10" s="543"/>
      <c r="M10" s="505" t="s">
        <v>40</v>
      </c>
      <c r="N10" s="514"/>
      <c r="O10" s="2527">
        <f>IF(IstPub_ch="",IF(IstPub="","",IstPub),IstPub_ch)</f>
      </c>
      <c r="P10" s="2528"/>
      <c r="Q10" s="2528"/>
      <c r="R10" s="2528"/>
      <c r="S10" s="2528"/>
      <c r="T10" s="2529"/>
      <c r="U10" s="1526"/>
      <c r="Y10" s="593"/>
      <c r="Z10" s="593"/>
      <c r="AA10" s="593"/>
      <c r="AB10" s="593"/>
      <c r="AC10" s="593"/>
    </row>
    <row s="10859" customFormat="1" customHeight="1" ht="18.75" hidden="1">
      <c r="A11" s="1530"/>
      <c r="B11" s="1530"/>
      <c r="C11" s="1530"/>
      <c r="D11" s="1530"/>
      <c r="E11" s="1530"/>
      <c r="F11" s="1530"/>
      <c r="G11" s="1530"/>
      <c r="H11" s="1530"/>
      <c r="L11" s="543"/>
      <c r="M11" s="540"/>
      <c r="O11" s="1531"/>
      <c r="P11" s="1531"/>
      <c r="Q11" s="593" t="s">
        <v>1626</v>
      </c>
      <c r="R11" s="593" t="s">
        <v>1627</v>
      </c>
      <c r="S11" s="1531"/>
      <c r="T11" s="1531"/>
      <c r="U11" s="1526"/>
      <c r="Y11" s="1530"/>
      <c r="Z11" s="1530"/>
      <c r="AA11" s="1530"/>
      <c r="AB11" s="1530"/>
      <c r="AC11" s="1530"/>
    </row>
    <row s="10859" customFormat="1" customHeight="1" ht="11.25" hidden="1">
      <c r="A12" s="593"/>
      <c r="B12" s="593"/>
      <c r="C12" s="593"/>
      <c r="D12" s="593"/>
      <c r="E12" s="593"/>
      <c r="F12" s="593"/>
      <c r="G12" s="593"/>
      <c r="H12" s="593"/>
      <c r="L12" s="2517"/>
      <c r="M12" s="2517"/>
      <c r="N12" s="1493"/>
      <c r="O12" s="547"/>
      <c r="P12" s="547"/>
      <c r="Q12" s="547"/>
      <c r="R12" s="547"/>
      <c r="S12" s="547"/>
      <c r="T12" s="547"/>
      <c r="U12" s="1529"/>
      <c r="V12" s="488" t="s">
        <v>1544</v>
      </c>
      <c r="Y12" s="593"/>
      <c r="Z12" s="593"/>
      <c r="AA12" s="593"/>
      <c r="AB12" s="593"/>
      <c r="AC12" s="593"/>
    </row>
    <row customHeight="1" ht="14.25">
      <c r="J13" s="602"/>
      <c r="K13" s="602"/>
      <c r="L13" s="586"/>
      <c r="M13" s="586"/>
      <c r="N13" s="586"/>
      <c r="O13" s="1532"/>
      <c r="P13" s="1532"/>
      <c r="Q13" s="2530"/>
      <c r="R13" s="2530"/>
      <c r="S13" s="2530"/>
      <c r="T13" s="2530"/>
      <c r="U13" s="2530"/>
      <c r="V13" s="2530"/>
    </row>
    <row customHeight="1" ht="14.25">
      <c r="J14" s="602"/>
      <c r="K14" s="602"/>
      <c r="L14" s="2277" t="s">
        <v>362</v>
      </c>
      <c r="M14" s="2277"/>
      <c r="N14" s="2277"/>
      <c r="O14" s="2277"/>
      <c r="P14" s="2277"/>
      <c r="Q14" s="2277"/>
      <c r="R14" s="2277"/>
      <c r="S14" s="2277"/>
      <c r="T14" s="2277"/>
      <c r="U14" s="2277"/>
      <c r="V14" s="2277"/>
      <c r="W14" s="2277"/>
      <c r="X14" s="2277" t="s">
        <v>363</v>
      </c>
    </row>
    <row customHeight="1" ht="14.25">
      <c r="J15" s="602"/>
      <c r="K15" s="602"/>
      <c r="L15" s="2301" t="s">
        <v>88</v>
      </c>
      <c r="M15" s="2301" t="s">
        <v>1628</v>
      </c>
      <c r="N15" s="1492"/>
      <c r="O15" s="2301" t="s">
        <v>1629</v>
      </c>
      <c r="P15" s="2531" t="s">
        <v>1630</v>
      </c>
      <c r="Q15" s="2531" t="s">
        <v>1610</v>
      </c>
      <c r="R15" s="2531"/>
      <c r="S15" s="2531"/>
      <c r="T15" s="2531"/>
      <c r="U15" s="2531"/>
      <c r="V15" s="2301" t="s">
        <v>1547</v>
      </c>
      <c r="W15" s="2532" t="s">
        <v>1611</v>
      </c>
      <c r="X15" s="2277"/>
    </row>
    <row customHeight="1" ht="25.5">
      <c r="J16" s="602"/>
      <c r="K16" s="602"/>
      <c r="L16" s="2301"/>
      <c r="M16" s="2301"/>
      <c r="N16" s="1492"/>
      <c r="O16" s="2301"/>
      <c r="P16" s="2531"/>
      <c r="Q16" s="2531" t="s">
        <v>1631</v>
      </c>
      <c r="R16" s="2531"/>
      <c r="S16" s="2534" t="s">
        <v>1571</v>
      </c>
      <c r="T16" s="2534"/>
      <c r="U16" s="2534"/>
      <c r="V16" s="2301"/>
      <c r="W16" s="2532"/>
      <c r="X16" s="2277"/>
    </row>
    <row customHeight="1" ht="14.25">
      <c r="J17" s="602"/>
      <c r="K17" s="602"/>
      <c r="L17" s="2301"/>
      <c r="M17" s="2301"/>
      <c r="N17" s="1492"/>
      <c r="O17" s="2301"/>
      <c r="P17" s="2531"/>
      <c r="Q17" s="1492" t="s">
        <v>1606</v>
      </c>
      <c r="R17" s="1492" t="s">
        <v>1607</v>
      </c>
      <c r="S17" s="1496" t="s">
        <v>1563</v>
      </c>
      <c r="T17" s="2535" t="s">
        <v>1564</v>
      </c>
      <c r="U17" s="2535"/>
      <c r="V17" s="2301"/>
      <c r="W17" s="2532"/>
      <c r="X17" s="2277"/>
    </row>
    <row customHeight="1" ht="14.25">
      <c r="J18" s="602"/>
      <c r="K18" s="501">
        <v>1</v>
      </c>
      <c r="L18" s="685" t="s">
        <v>109</v>
      </c>
      <c r="M18" s="685" t="s">
        <v>110</v>
      </c>
      <c r="N18" s="1528" t="s">
        <v>110</v>
      </c>
      <c r="O18" s="1494">
        <f>OFFSET(O18,0,-1)+1</f>
        <v>3</v>
      </c>
      <c r="P18" s="1494">
        <f>OFFSET(P18,0,-1)+1</f>
        <v>4</v>
      </c>
      <c r="Q18" s="1494">
        <f>OFFSET(Q18,0,-1)+1</f>
        <v>5</v>
      </c>
      <c r="R18" s="1494">
        <f>OFFSET(R18,0,-1)+1</f>
        <v>6</v>
      </c>
      <c r="S18" s="1494">
        <f>OFFSET(S18,0,-1)+1</f>
        <v>7</v>
      </c>
      <c r="T18" s="2536">
        <f>OFFSET(T18,0,-1)+1</f>
        <v>8</v>
      </c>
      <c r="U18" s="2536"/>
      <c r="V18" s="1494">
        <f>OFFSET(V18,0,-2)+1</f>
        <v>9</v>
      </c>
      <c r="X18" s="1494">
        <f>OFFSET(X18,0,-2)+1</f>
        <v>10</v>
      </c>
    </row>
    <row customHeight="1" ht="22.5">
      <c r="A19" s="2423">
        <v>1</v>
      </c>
      <c r="B19" s="755"/>
      <c r="C19" s="755"/>
      <c r="D19" s="755"/>
      <c r="E19" s="755"/>
      <c r="F19" s="755"/>
      <c r="G19" s="609"/>
      <c r="H19" s="609"/>
      <c r="I19" s="582"/>
      <c r="J19" s="602"/>
      <c r="K19" s="602"/>
      <c r="L19" s="1501">
        <f>MERGEVALUE(A19)</f>
      </c>
      <c r="M19" s="508" t="s">
        <v>200</v>
      </c>
      <c r="N19" s="527"/>
      <c r="O19" s="2533"/>
      <c r="P19" s="2533"/>
      <c r="Q19" s="2533"/>
      <c r="R19" s="2533"/>
      <c r="S19" s="2533"/>
      <c r="T19" s="2533"/>
      <c r="U19" s="2533"/>
      <c r="V19" s="2533"/>
      <c r="W19" s="2533"/>
      <c r="X19" s="566" t="s">
        <v>1516</v>
      </c>
    </row>
    <row customHeight="1" ht="22.5">
      <c r="A20" s="2423"/>
      <c r="B20" s="2423">
        <v>1</v>
      </c>
      <c r="C20" s="755"/>
      <c r="D20" s="755"/>
      <c r="E20" s="755"/>
      <c r="F20" s="755"/>
      <c r="G20" s="611"/>
      <c r="H20" s="1495"/>
      <c r="I20" s="584"/>
      <c r="J20" s="1502"/>
      <c r="K20" s="1416"/>
      <c r="L20" s="1501">
        <f>MERGEVALUE(A20)&amp;"."&amp;MERGEVALUE(B20)</f>
      </c>
      <c r="M20" s="520" t="s">
        <v>1517</v>
      </c>
      <c r="N20" s="527"/>
      <c r="O20" s="2533"/>
      <c r="P20" s="2533"/>
      <c r="Q20" s="2533"/>
      <c r="R20" s="2533"/>
      <c r="S20" s="2533"/>
      <c r="T20" s="2533"/>
      <c r="U20" s="2533"/>
      <c r="V20" s="2533"/>
      <c r="W20" s="2533"/>
      <c r="X20" s="566" t="s">
        <v>1518</v>
      </c>
    </row>
    <row customHeight="1" ht="22.5">
      <c r="A21" s="2423"/>
      <c r="B21" s="2423"/>
      <c r="C21" s="2423">
        <v>1</v>
      </c>
      <c r="D21" s="755"/>
      <c r="E21" s="755"/>
      <c r="F21" s="755"/>
      <c r="G21" s="611"/>
      <c r="H21" s="1495"/>
      <c r="I21" s="585"/>
      <c r="J21" s="1502"/>
      <c r="K21" s="1416"/>
      <c r="L21" s="1501">
        <f>MERGEVALUE(A21)&amp;"."&amp;MERGEVALUE(B21)&amp;"."&amp;MERGEVALUE(C21)</f>
      </c>
      <c r="M21" s="521" t="s">
        <v>1519</v>
      </c>
      <c r="N21" s="527"/>
      <c r="O21" s="2533"/>
      <c r="P21" s="2533"/>
      <c r="Q21" s="2533"/>
      <c r="R21" s="2533"/>
      <c r="S21" s="2533"/>
      <c r="T21" s="2533"/>
      <c r="U21" s="2533"/>
      <c r="V21" s="2533"/>
      <c r="W21" s="2533"/>
      <c r="X21" s="566" t="s">
        <v>1520</v>
      </c>
    </row>
    <row customHeight="1" ht="14.25">
      <c r="A22" s="2423"/>
      <c r="B22" s="2423"/>
      <c r="C22" s="2423"/>
      <c r="D22" s="2423">
        <v>1</v>
      </c>
      <c r="E22" s="755"/>
      <c r="F22" s="755"/>
      <c r="G22" s="611"/>
      <c r="H22" s="1495"/>
      <c r="I22" s="585"/>
      <c r="J22" s="583"/>
      <c r="K22" s="1416"/>
      <c r="L22" s="1501">
        <f>MERGEVALUE(A22)&amp;"."&amp;MERGEVALUE(B22)&amp;"."&amp;MERGEVALUE(C22)&amp;"."&amp;MERGEVALUE(D22)</f>
      </c>
      <c r="M22" s="522" t="s">
        <v>1521</v>
      </c>
      <c r="N22" s="527"/>
      <c r="O22" s="2533"/>
      <c r="P22" s="2533"/>
      <c r="Q22" s="2533"/>
      <c r="R22" s="2533"/>
      <c r="S22" s="2533"/>
      <c r="T22" s="2533"/>
      <c r="U22" s="2533"/>
      <c r="V22" s="2533"/>
      <c r="W22" s="2533"/>
      <c r="X22" s="558" t="s">
        <v>1632</v>
      </c>
    </row>
    <row customHeight="1" ht="22.5">
      <c r="A23" s="2423"/>
      <c r="B23" s="2423"/>
      <c r="C23" s="2423"/>
      <c r="D23" s="2423"/>
      <c r="E23" s="755">
        <v>1</v>
      </c>
      <c r="F23" s="755"/>
      <c r="G23" s="611"/>
      <c r="H23" s="1495"/>
      <c r="I23" s="585"/>
      <c r="J23" s="583"/>
      <c r="K23" s="688"/>
      <c r="L23" s="1501">
        <f>MERGEVALUE(A23)&amp;"."&amp;MERGEVALUE(B23)&amp;"."&amp;MERGEVALUE(C23)&amp;"."&amp;MERGEVALUE(D23)&amp;"."&amp;MERGEVALUE(E23)</f>
      </c>
      <c r="M23" s="604"/>
      <c r="N23" s="1498"/>
      <c r="O23" s="3302"/>
      <c r="P23" s="607"/>
      <c r="Q23" s="515"/>
      <c r="R23" s="515"/>
      <c r="S23" s="2049"/>
      <c r="T23" s="1490" t="s">
        <v>57</v>
      </c>
      <c r="U23" s="1534"/>
      <c r="V23" s="1490" t="s">
        <v>57</v>
      </c>
      <c r="W23" s="1535"/>
      <c r="X23" s="2287" t="s">
        <v>1633</v>
      </c>
      <c r="Y23" s="748">
        <f>STRCHECKDATETWO(N23:W23)</f>
      </c>
    </row>
    <row customHeight="1" ht="14.25" hidden="1">
      <c r="A24" s="2423"/>
      <c r="B24" s="2423"/>
      <c r="C24" s="2423"/>
      <c r="D24" s="2423"/>
      <c r="E24" s="755"/>
      <c r="F24" s="755"/>
      <c r="G24" s="611"/>
      <c r="H24" s="1495"/>
      <c r="I24" s="585"/>
      <c r="J24" s="583"/>
      <c r="K24" s="688"/>
      <c r="L24" s="1500"/>
      <c r="M24" s="523"/>
      <c r="N24" s="510"/>
      <c r="O24" s="510"/>
      <c r="P24" s="510"/>
      <c r="Q24" s="510"/>
      <c r="R24" s="4071" t="str">
        <f>S23&amp;"-"&amp;U23</f>
        <v>-</v>
      </c>
      <c r="S24" s="531"/>
      <c r="T24" s="528"/>
      <c r="U24" s="531"/>
      <c r="V24" s="510"/>
      <c r="W24" s="1536"/>
      <c r="X24" s="2288"/>
    </row>
    <row customHeight="1" ht="14.25">
      <c r="A25" s="2423"/>
      <c r="B25" s="2423"/>
      <c r="C25" s="2423"/>
      <c r="D25" s="2423"/>
      <c r="E25" s="755"/>
      <c r="F25" s="755"/>
      <c r="G25" s="611"/>
      <c r="H25" s="1495"/>
      <c r="I25" s="585"/>
      <c r="J25" s="583"/>
      <c r="K25" s="688"/>
      <c r="L25" s="519"/>
      <c r="M25" s="589" t="s">
        <v>1597</v>
      </c>
      <c r="N25" s="588"/>
      <c r="O25" s="542"/>
      <c r="P25" s="542"/>
      <c r="Q25" s="542"/>
      <c r="R25" s="542"/>
      <c r="S25" s="546"/>
      <c r="T25" s="592"/>
      <c r="U25" s="591"/>
      <c r="V25" s="588"/>
      <c r="W25" s="588"/>
      <c r="X25" s="2289"/>
    </row>
    <row s="11403" customFormat="1" customHeight="1" ht="14.25">
      <c r="A26" s="2423"/>
      <c r="B26" s="2423"/>
      <c r="C26" s="2423"/>
      <c r="D26" s="610"/>
      <c r="E26" s="610"/>
      <c r="F26" s="610"/>
      <c r="G26" s="611"/>
      <c r="H26" s="610"/>
      <c r="I26" s="585"/>
      <c r="J26" s="601"/>
      <c r="K26" s="603"/>
      <c r="L26" s="519"/>
      <c r="M26" s="597" t="s">
        <v>1612</v>
      </c>
      <c r="N26" s="588"/>
      <c r="O26" s="542"/>
      <c r="P26" s="542"/>
      <c r="Q26" s="542"/>
      <c r="R26" s="542"/>
      <c r="S26" s="546"/>
      <c r="T26" s="592"/>
      <c r="U26" s="591"/>
      <c r="V26" s="588"/>
      <c r="W26" s="592"/>
      <c r="X26" s="1537"/>
      <c r="Y26" s="608"/>
      <c r="Z26" s="608"/>
      <c r="AA26" s="608"/>
      <c r="AB26" s="608"/>
      <c r="AC26" s="608"/>
    </row>
    <row s="11403" customFormat="1" customHeight="1" ht="14.25">
      <c r="A27" s="2423"/>
      <c r="B27" s="2423"/>
      <c r="C27" s="610"/>
      <c r="D27" s="610"/>
      <c r="E27" s="610"/>
      <c r="F27" s="610"/>
      <c r="G27" s="611"/>
      <c r="H27" s="610"/>
      <c r="I27" s="581"/>
      <c r="J27" s="601"/>
      <c r="K27" s="603"/>
      <c r="L27" s="519"/>
      <c r="M27" s="588" t="s">
        <v>1613</v>
      </c>
      <c r="N27" s="588"/>
      <c r="O27" s="542"/>
      <c r="P27" s="542"/>
      <c r="Q27" s="542"/>
      <c r="R27" s="542"/>
      <c r="S27" s="546"/>
      <c r="T27" s="592"/>
      <c r="U27" s="591"/>
      <c r="V27" s="588"/>
      <c r="W27" s="592"/>
      <c r="X27" s="544"/>
      <c r="Y27" s="608"/>
      <c r="Z27" s="608"/>
      <c r="AA27" s="608"/>
      <c r="AB27" s="608"/>
      <c r="AC27" s="608"/>
    </row>
    <row s="11403" customFormat="1" customHeight="1" ht="14.25">
      <c r="A28" s="2423"/>
      <c r="B28" s="610"/>
      <c r="C28" s="610"/>
      <c r="D28" s="610"/>
      <c r="E28" s="610"/>
      <c r="F28" s="610"/>
      <c r="G28" s="611"/>
      <c r="H28" s="610"/>
      <c r="I28" s="581"/>
      <c r="J28" s="601"/>
      <c r="K28" s="603"/>
      <c r="L28" s="519"/>
      <c r="M28" s="651" t="s">
        <v>104</v>
      </c>
      <c r="N28" s="588"/>
      <c r="O28" s="542"/>
      <c r="P28" s="542"/>
      <c r="Q28" s="542"/>
      <c r="R28" s="542"/>
      <c r="S28" s="546"/>
      <c r="T28" s="592"/>
      <c r="U28" s="591"/>
      <c r="V28" s="588"/>
      <c r="W28" s="592"/>
      <c r="X28" s="544"/>
      <c r="Y28" s="608"/>
      <c r="Z28" s="608"/>
      <c r="AA28" s="608"/>
      <c r="AB28" s="608"/>
      <c r="AC28" s="608"/>
    </row>
    <row s="11403" customFormat="1" customHeight="1" ht="14.25">
      <c r="G29" s="590"/>
      <c r="H29" s="603"/>
      <c r="I29" s="600"/>
      <c r="J29" s="601"/>
      <c r="L29" s="519"/>
      <c r="M29" s="652" t="s">
        <v>1495</v>
      </c>
      <c r="N29" s="588"/>
      <c r="O29" s="542"/>
      <c r="P29" s="542"/>
      <c r="Q29" s="542"/>
      <c r="R29" s="542"/>
      <c r="S29" s="546"/>
      <c r="T29" s="592"/>
      <c r="U29" s="591"/>
      <c r="V29" s="588"/>
      <c r="W29" s="592"/>
      <c r="X29" s="544"/>
      <c r="Y29" s="608"/>
      <c r="Z29" s="608"/>
      <c r="AA29" s="608"/>
      <c r="AB29" s="608"/>
      <c r="AC29" s="608"/>
    </row>
    <row r="31" customHeight="1" ht="14.25">
      <c r="L31" s="266">
        <v>1</v>
      </c>
      <c r="M31" s="2452" t="s">
        <v>1634</v>
      </c>
      <c r="N31" s="2452"/>
      <c r="O31" s="2452"/>
      <c r="P31" s="2452"/>
      <c r="Q31" s="2452"/>
      <c r="R31" s="2452"/>
      <c r="S31" s="2452"/>
      <c r="T31" s="2452"/>
      <c r="U31" s="2452"/>
      <c r="V31" s="2452"/>
      <c r="W31" s="2452"/>
      <c r="X31" s="2452"/>
      <c r="Y31" s="1538"/>
      <c r="Z31" s="594"/>
      <c r="AA31" s="594"/>
      <c r="AB31" s="594"/>
      <c r="AC31" s="594"/>
    </row>
    <row customHeight="1" ht="14.25">
      <c r="M32" s="1539"/>
      <c r="N32" s="1539"/>
      <c r="O32" s="1539"/>
      <c r="P32" s="1539"/>
      <c r="Q32" s="1539"/>
      <c r="R32" s="1539"/>
      <c r="S32" s="1539"/>
      <c r="T32" s="1539"/>
      <c r="U32" s="1539"/>
      <c r="V32" s="1539"/>
      <c r="W32" s="1539"/>
      <c r="X32" s="1539"/>
      <c r="Y32" s="747"/>
      <c r="Z32" s="747"/>
      <c r="AA32" s="747"/>
      <c r="AB32" s="747"/>
      <c r="AC32" s="747"/>
    </row>
  </sheetData>
  <sheetProtection formatColumns="0" formatRows="0" autoFilter="0" sort="0" insertRows="0" insertColumns="1" deleteRows="0" deleteColumns="0"/>
  <mergeCells count="30">
    <mergeCell ref="X23:X25"/>
    <mergeCell ref="M31:X31"/>
    <mergeCell ref="Q16:R16"/>
    <mergeCell ref="S16:U16"/>
    <mergeCell ref="T17:U17"/>
    <mergeCell ref="T18:U18"/>
    <mergeCell ref="A19:A28"/>
    <mergeCell ref="O19:W19"/>
    <mergeCell ref="B20:B27"/>
    <mergeCell ref="O20:W20"/>
    <mergeCell ref="C21:C26"/>
    <mergeCell ref="O21:W21"/>
    <mergeCell ref="D22:D25"/>
    <mergeCell ref="O22:W22"/>
    <mergeCell ref="Q13:V13"/>
    <mergeCell ref="L14:W14"/>
    <mergeCell ref="X14:X17"/>
    <mergeCell ref="L15:L17"/>
    <mergeCell ref="M15:M17"/>
    <mergeCell ref="O15:O17"/>
    <mergeCell ref="P15:P17"/>
    <mergeCell ref="Q15:U15"/>
    <mergeCell ref="V15:V17"/>
    <mergeCell ref="W15:W17"/>
    <mergeCell ref="L12:M12"/>
    <mergeCell ref="L5:T5"/>
    <mergeCell ref="O7:T7"/>
    <mergeCell ref="O8:T8"/>
    <mergeCell ref="O9:T9"/>
    <mergeCell ref="O10:T10"/>
  </mergeCells>
  <dataValidations count="8">
    <dataValidation type="textLength" operator="lessThanOrEqual" allowBlank="1" showInputMessage="1" showErrorMessage="1" errorTitle="Ошибка" error="Допускается ввод не более 900 символов!" sqref="ACS23 AMO23 AWK23 BGG23 BQC23 BZY23 CJU23 CTQ23 DDM23 DNI23 DXE23 EHA23 EQW23 FAS23 FKO23 FUK23 GEG23 GOC23 GXY23 HHU23 HRQ23 IBM23 ILI23 IVE23 JFA23 JOW23 JYS23 KIO23 KSK23 LCG23 LMC23 LVY23 MFU23 MPQ23 MZM23 NJI23 NTE23 ODA23 OMW23 OWS23 PGO23 PQK23 QAG23 QKC23 QTY23 RDU23 RNQ23 RXM23 SHI23 SRE23 TBA23 TKW23 TUS23 UEO23 UOK23 UYG23 VIC23 VRY23 WBU23 WLQ23 WVM23 O23 O65559 JA65559 SW65559 ACS65559 AMO65559 AWK65559 BGG65559 BQC65559 BZY65559 CJU65559 CTQ65559 DDM65559 DNI65559 DXE65559 EHA65559 EQW65559 FAS65559 FKO65559 FUK65559 GEG65559 GOC65559 GXY65559 HHU65559 HRQ65559 IBM65559 ILI65559 IVE65559 JFA65559 JOW65559 JYS65559 KIO65559 KSK65559 LCG65559 LMC65559 LVY65559 MFU65559 MPQ65559 MZM65559 NJI65559 NTE65559 ODA65559 OMW65559 OWS65559 PGO65559 PQK65559 QAG65559 QKC65559 QTY65559 RDU65559 RNQ65559 RXM65559 SHI65559 SRE65559 TBA65559 TKW65559 TUS65559 UEO65559 UOK65559 UYG65559 VIC65559 VRY65559 WBU65559 WLQ65559 WVM65559 O131095 JA131095 SW131095 ACS131095 AMO131095 AWK131095 BGG131095 BQC131095 BZY131095 CJU131095 CTQ131095 DDM131095 DNI131095 DXE131095 EHA131095 EQW131095 FAS131095 FKO131095 FUK131095 GEG131095 GOC131095 GXY131095 HHU131095 HRQ131095 IBM131095 ILI131095 IVE131095 JFA131095 JOW131095 JYS131095 KIO131095 KSK131095 LCG131095 LMC131095 LVY131095 MFU131095 MPQ131095 MZM131095 NJI131095 NTE131095 ODA131095 OMW131095 OWS131095 PGO131095 PQK131095 QAG131095 QKC131095 QTY131095 RDU131095 RNQ131095 RXM131095 SHI131095 SRE131095 TBA131095 TKW131095 TUS131095 UEO131095 UOK131095 UYG131095 VIC131095 VRY131095 WBU131095 WLQ131095 WVM131095 O196631 JA196631 SW196631 ACS196631 AMO196631 AWK196631 BGG196631 BQC196631 BZY196631 CJU196631 CTQ196631 DDM196631 DNI196631 DXE196631 EHA196631 EQW196631 FAS196631 FKO196631 FUK196631 GEG196631 GOC196631 GXY196631 HHU196631 HRQ196631 IBM196631 ILI196631 IVE196631 JFA196631 JOW196631 JYS196631 KIO196631 KSK196631 LCG196631 LMC196631 LVY196631 MFU196631 MPQ196631 MZM196631 NJI196631 NTE196631 ODA196631 OMW196631 OWS196631 PGO196631 PQK196631 QAG196631 QKC196631 QTY196631 RDU196631 RNQ196631 RXM196631 SHI196631 SRE196631 TBA196631 TKW196631 TUS196631 UEO196631 UOK196631 UYG196631 VIC196631 VRY196631 WBU196631 WLQ196631 WVM196631 O262167 JA262167 SW262167 ACS262167 AMO262167 AWK262167 BGG262167 BQC262167 BZY262167 CJU262167 CTQ262167 DDM262167 DNI262167 DXE262167 EHA262167 EQW262167 FAS262167 FKO262167 FUK262167 GEG262167 GOC262167 GXY262167 HHU262167 HRQ262167 IBM262167 ILI262167 IVE262167 JFA262167 JOW262167 JYS262167 KIO262167 KSK262167 LCG262167 LMC262167 LVY262167 MFU262167 MPQ262167 MZM262167 NJI262167 NTE262167 ODA262167 OMW262167 OWS262167 PGO262167 PQK262167 QAG262167 QKC262167 QTY262167 RDU262167 RNQ262167 RXM262167 SHI262167 SRE262167 TBA262167 TKW262167 TUS262167 UEO262167 UOK262167 UYG262167 VIC262167 VRY262167 WBU262167 WLQ262167 WVM262167 O327703 JA327703 SW327703 ACS327703 AMO327703 AWK327703 BGG327703 BQC327703 BZY327703 CJU327703 CTQ327703 DDM327703 DNI327703 DXE327703 EHA327703 EQW327703 FAS327703 FKO327703 FUK327703 GEG327703 GOC327703 GXY327703 HHU327703 HRQ327703 IBM327703 ILI327703 IVE327703 JFA327703 JOW327703 JYS327703 KIO327703 KSK327703 LCG327703 LMC327703 LVY327703 MFU327703 MPQ327703 MZM327703 NJI327703 NTE327703 ODA327703 OMW327703 OWS327703 PGO327703 PQK327703 QAG327703 QKC327703 QTY327703 RDU327703 RNQ327703 RXM327703 SHI327703 SRE327703 TBA327703 TKW327703 TUS327703 UEO327703 UOK327703 UYG327703 VIC327703 VRY327703 WBU327703 WLQ327703 WVM327703 O393239 JA393239 SW393239 ACS393239 AMO393239 AWK393239 BGG393239 BQC393239 BZY393239 CJU393239 CTQ393239 DDM393239 DNI393239 DXE393239 EHA393239 EQW393239 FAS393239 FKO393239 FUK393239 GEG393239 GOC393239 GXY393239 HHU393239 HRQ393239 IBM393239 ILI393239 IVE393239 JFA393239 JOW393239 JYS393239 KIO393239 KSK393239 LCG393239 LMC393239 LVY393239 MFU393239 MPQ393239 MZM393239 NJI393239 NTE393239 ODA393239 OMW393239 OWS393239 PGO393239 PQK393239 QAG393239 QKC393239 QTY393239 RDU393239 RNQ393239 RXM393239 SHI393239 SRE393239 TBA393239 TKW393239 TUS393239 UEO393239 UOK393239 UYG393239 VIC393239 VRY393239 WBU393239 WLQ393239 WVM393239 O458775 JA458775 SW458775 ACS458775 AMO458775 AWK458775 BGG458775 BQC458775 BZY458775 CJU458775 CTQ458775 DDM458775 DNI458775 DXE458775 EHA458775 EQW458775 FAS458775 FKO458775 FUK458775 GEG458775 GOC458775 GXY458775 HHU458775 HRQ458775 IBM458775 ILI458775 IVE458775 JFA458775 JOW458775 JYS458775 KIO458775 KSK458775 LCG458775 LMC458775 LVY458775 MFU458775 MPQ458775 MZM458775 NJI458775 NTE458775 ODA458775 OMW458775 OWS458775 PGO458775 PQK458775 QAG458775 QKC458775 QTY458775 RDU458775 RNQ458775 RXM458775 SHI458775 SRE458775 TBA458775 TKW458775 TUS458775 UEO458775 UOK458775 UYG458775 VIC458775 VRY458775 WBU458775 WLQ458775 WVM458775 O524311 JA524311 SW524311 ACS524311 AMO524311 AWK524311 BGG524311 BQC524311 BZY524311 CJU524311 CTQ524311 DDM524311 DNI524311 DXE524311 EHA524311 EQW524311 FAS524311 FKO524311 FUK524311 GEG524311 GOC524311 GXY524311 HHU524311 HRQ524311 IBM524311 ILI524311 IVE524311 JFA524311 JOW524311 JYS524311 KIO524311 KSK524311 LCG524311 LMC524311 LVY524311 MFU524311 MPQ524311 MZM524311 NJI524311 NTE524311 ODA524311 OMW524311 OWS524311 PGO524311 PQK524311 QAG524311 QKC524311 QTY524311 RDU524311 RNQ524311 RXM524311 SHI524311 SRE524311 TBA524311 TKW524311 TUS524311 UEO524311 UOK524311 UYG524311 VIC524311 VRY524311 WBU524311 WLQ524311 WVM524311 O589847 JA589847 SW589847 ACS589847 AMO589847 AWK589847 BGG589847 BQC589847 BZY589847 CJU589847 CTQ589847 DDM589847 DNI589847 DXE589847 EHA589847 EQW589847 FAS589847 FKO589847 FUK589847 GEG589847 GOC589847 GXY589847 HHU589847 HRQ589847 IBM589847 ILI589847 IVE589847 JFA589847 JOW589847 JYS589847 KIO589847 KSK589847 LCG589847 LMC589847 LVY589847 MFU589847 MPQ589847 MZM589847 NJI589847 NTE589847 ODA589847 OMW589847 OWS589847 PGO589847 PQK589847 QAG589847 QKC589847 QTY589847 RDU589847 RNQ589847 RXM589847 SHI589847 SRE589847 TBA589847 TKW589847 TUS589847 UEO589847 UOK589847 UYG589847 VIC589847 VRY589847 WBU589847 WLQ589847 WVM589847 O655383 JA655383 SW655383 ACS655383 AMO655383 AWK655383 BGG655383 BQC655383 BZY655383 CJU655383 CTQ655383 DDM655383 DNI655383 DXE655383 EHA655383 EQW655383 FAS655383 FKO655383 FUK655383 GEG655383 GOC655383 GXY655383 HHU655383 HRQ655383 IBM655383 ILI655383 IVE655383 JFA655383 JOW655383 JYS655383 KIO655383 KSK655383 LCG655383 LMC655383 LVY655383 MFU655383 MPQ655383 MZM655383 NJI655383 NTE655383 ODA655383 OMW655383 OWS655383 PGO655383 PQK655383 QAG655383 QKC655383 QTY655383 RDU655383 RNQ655383 RXM655383 SHI655383 SRE655383 TBA655383 TKW655383 TUS655383 UEO655383 UOK655383 UYG655383 VIC655383 VRY655383 WBU655383 WLQ655383 WVM655383 O720919 JA720919 SW720919 ACS720919 AMO720919 AWK720919 BGG720919 BQC720919 BZY720919 CJU720919 CTQ720919 DDM720919 DNI720919 DXE720919 EHA720919 EQW720919 FAS720919 FKO720919 FUK720919 GEG720919 GOC720919 GXY720919 HHU720919 HRQ720919 IBM720919 ILI720919 IVE720919 JFA720919 JOW720919 JYS720919 KIO720919 KSK720919 LCG720919 LMC720919 LVY720919 MFU720919 MPQ720919 MZM720919 NJI720919 NTE720919 ODA720919 OMW720919 OWS720919 PGO720919 PQK720919 QAG720919 QKC720919 QTY720919 RDU720919 RNQ720919 RXM720919 SHI720919 SRE720919 TBA720919 TKW720919 TUS720919 UEO720919 UOK720919 UYG720919 VIC720919 VRY720919 WBU720919 WLQ720919 WVM720919 O786455 JA786455 SW786455 ACS786455 AMO786455 AWK786455 BGG786455 BQC786455 BZY786455 CJU786455 CTQ786455 DDM786455 DNI786455 DXE786455 EHA786455 EQW786455 FAS786455 FKO786455 FUK786455 GEG786455 GOC786455 GXY786455 HHU786455 HRQ786455 IBM786455 ILI786455 IVE786455 JFA786455 JOW786455 JYS786455 KIO786455 KSK786455 LCG786455 LMC786455 LVY786455 MFU786455 MPQ786455 MZM786455 NJI786455 NTE786455 ODA786455 OMW786455 OWS786455 PGO786455 PQK786455 QAG786455 QKC786455 QTY786455 RDU786455 RNQ786455 RXM786455 SHI786455 SRE786455 TBA786455 TKW786455 TUS786455 UEO786455 UOK786455 UYG786455 VIC786455 VRY786455 WBU786455 WLQ786455 WVM786455 O851991 JA851991 SW851991 ACS851991 AMO851991 AWK851991 BGG851991 BQC851991 BZY851991 CJU851991 CTQ851991 DDM851991 DNI851991 DXE851991 EHA851991 EQW851991 FAS851991 FKO851991 FUK851991 GEG851991 GOC851991 GXY851991 HHU851991 HRQ851991 IBM851991 ILI851991 IVE851991 JFA851991 JOW851991 JYS851991 KIO851991 KSK851991 LCG851991 LMC851991 LVY851991 MFU851991 MPQ851991 MZM851991 NJI851991 NTE851991 ODA851991 OMW851991 OWS851991 PGO851991 PQK851991 QAG851991 QKC851991 QTY851991 RDU851991 RNQ851991 RXM851991 SHI851991 SRE851991 TBA851991 TKW851991 TUS851991 UEO851991 UOK851991 UYG851991 VIC851991 VRY851991 WBU851991 WLQ851991 WVM851991 O917527 JA917527 SW917527 ACS917527 AMO917527 AWK917527 BGG917527 BQC917527 BZY917527 CJU917527 CTQ917527 DDM917527 DNI917527 DXE917527 EHA917527 EQW917527 FAS917527 FKO917527 FUK917527 GEG917527 GOC917527 GXY917527 HHU917527 HRQ917527 IBM917527 ILI917527 IVE917527 JFA917527 JOW917527 JYS917527 KIO917527 KSK917527 LCG917527 LMC917527 LVY917527 MFU917527 MPQ917527 MZM917527 NJI917527 NTE917527 ODA917527 OMW917527 OWS917527 PGO917527 PQK917527 QAG917527 QKC917527 QTY917527 RDU917527 RNQ917527 RXM917527 SHI917527 SRE917527 TBA917527 TKW917527 TUS917527 UEO917527 UOK917527 UYG917527 VIC917527 VRY917527 WBU917527 WLQ917527 WVM917527 O983063 JA983063 SW983063 ACS983063 AMO983063 AWK983063 BGG983063 BQC983063 BZY983063 CJU983063 CTQ983063 DDM983063 DNI983063 DXE983063 EHA983063 EQW983063 FAS983063 FKO983063 FUK983063 GEG983063 GOC983063 GXY983063 HHU983063 HRQ983063 IBM983063 ILI983063 IVE983063 JFA983063 JOW983063 JYS983063 KIO983063 KSK983063 LCG983063 LMC983063 LVY983063 MFU983063 MPQ983063 MZM983063 NJI983063 NTE983063 ODA983063 OMW983063 OWS983063 PGO983063 PQK983063 QAG983063 QKC983063 QTY983063 RDU983063 RNQ983063 RXM983063 SHI983063 SRE983063 TBA983063 TKW983063 TUS983063 UEO983063 UOK983063 UYG983063 VIC983063 VRY983063 WBU983063 WLQ983063 WVM983063 WVV983059:WVV983064 JA23 X65555:X65560 JJ65555:JJ65560 TF65555:TF65560 ADB65555:ADB65560 AMX65555:AMX65560 AWT65555:AWT65560 BGP65555:BGP65560 BQL65555:BQL65560 CAH65555:CAH65560 CKD65555:CKD65560 CTZ65555:CTZ65560 DDV65555:DDV65560 DNR65555:DNR65560 DXN65555:DXN65560 EHJ65555:EHJ65560 ERF65555:ERF65560 FBB65555:FBB65560 FKX65555:FKX65560 FUT65555:FUT65560 GEP65555:GEP65560 GOL65555:GOL65560 GYH65555:GYH65560 HID65555:HID65560 HRZ65555:HRZ65560 IBV65555:IBV65560 ILR65555:ILR65560 IVN65555:IVN65560 JFJ65555:JFJ65560 JPF65555:JPF65560 JZB65555:JZB65560 KIX65555:KIX65560 KST65555:KST65560 LCP65555:LCP65560 LML65555:LML65560 LWH65555:LWH65560 MGD65555:MGD65560 MPZ65555:MPZ65560 MZV65555:MZV65560 NJR65555:NJR65560 NTN65555:NTN65560 ODJ65555:ODJ65560 ONF65555:ONF65560 OXB65555:OXB65560 PGX65555:PGX65560 PQT65555:PQT65560 QAP65555:QAP65560 QKL65555:QKL65560 QUH65555:QUH65560 RED65555:RED65560 RNZ65555:RNZ65560 RXV65555:RXV65560 SHR65555:SHR65560 SRN65555:SRN65560 TBJ65555:TBJ65560 TLF65555:TLF65560 TVB65555:TVB65560 UEX65555:UEX65560 UOT65555:UOT65560 UYP65555:UYP65560 VIL65555:VIL65560 VSH65555:VSH65560 WCD65555:WCD65560 WLZ65555:WLZ65560 WVV65555:WVV65560 X131091:X131096 JJ131091:JJ131096 TF131091:TF131096 ADB131091:ADB131096 AMX131091:AMX131096 AWT131091:AWT131096 BGP131091:BGP131096 BQL131091:BQL131096 CAH131091:CAH131096 CKD131091:CKD131096 CTZ131091:CTZ131096 DDV131091:DDV131096 DNR131091:DNR131096 DXN131091:DXN131096 EHJ131091:EHJ131096 ERF131091:ERF131096 FBB131091:FBB131096 FKX131091:FKX131096 FUT131091:FUT131096 GEP131091:GEP131096 GOL131091:GOL131096 GYH131091:GYH131096 HID131091:HID131096 HRZ131091:HRZ131096 IBV131091:IBV131096 ILR131091:ILR131096 IVN131091:IVN131096 JFJ131091:JFJ131096 JPF131091:JPF131096 JZB131091:JZB131096 KIX131091:KIX131096 KST131091:KST131096 LCP131091:LCP131096 LML131091:LML131096 LWH131091:LWH131096 MGD131091:MGD131096 MPZ131091:MPZ131096 MZV131091:MZV131096 NJR131091:NJR131096 NTN131091:NTN131096 ODJ131091:ODJ131096 ONF131091:ONF131096 OXB131091:OXB131096 PGX131091:PGX131096 PQT131091:PQT131096 QAP131091:QAP131096 QKL131091:QKL131096 QUH131091:QUH131096 RED131091:RED131096 RNZ131091:RNZ131096 RXV131091:RXV131096 SHR131091:SHR131096 SRN131091:SRN131096 TBJ131091:TBJ131096 TLF131091:TLF131096 TVB131091:TVB131096 UEX131091:UEX131096 UOT131091:UOT131096 UYP131091:UYP131096 VIL131091:VIL131096 VSH131091:VSH131096 WCD131091:WCD131096 WLZ131091:WLZ131096 WVV131091:WVV131096 X196627:X196632 JJ196627:JJ196632 TF196627:TF196632 ADB196627:ADB196632 AMX196627:AMX196632 AWT196627:AWT196632 BGP196627:BGP196632 BQL196627:BQL196632 CAH196627:CAH196632 CKD196627:CKD196632 CTZ196627:CTZ196632 DDV196627:DDV196632 DNR196627:DNR196632 DXN196627:DXN196632 EHJ196627:EHJ196632 ERF196627:ERF196632 FBB196627:FBB196632 FKX196627:FKX196632 FUT196627:FUT196632 GEP196627:GEP196632 GOL196627:GOL196632 GYH196627:GYH196632 HID196627:HID196632 HRZ196627:HRZ196632 IBV196627:IBV196632 ILR196627:ILR196632 IVN196627:IVN196632 JFJ196627:JFJ196632 JPF196627:JPF196632 JZB196627:JZB196632 KIX196627:KIX196632 KST196627:KST196632 LCP196627:LCP196632 LML196627:LML196632 LWH196627:LWH196632 MGD196627:MGD196632 MPZ196627:MPZ196632 MZV196627:MZV196632 NJR196627:NJR196632 NTN196627:NTN196632 ODJ196627:ODJ196632 ONF196627:ONF196632 OXB196627:OXB196632 PGX196627:PGX196632 PQT196627:PQT196632 QAP196627:QAP196632 QKL196627:QKL196632 QUH196627:QUH196632 RED196627:RED196632 RNZ196627:RNZ196632 RXV196627:RXV196632 SHR196627:SHR196632 SRN196627:SRN196632 TBJ196627:TBJ196632 TLF196627:TLF196632 TVB196627:TVB196632 UEX196627:UEX196632 UOT196627:UOT196632 UYP196627:UYP196632 VIL196627:VIL196632 VSH196627:VSH196632 WCD196627:WCD196632 WLZ196627:WLZ196632 WVV196627:WVV196632 X262163:X262168 JJ262163:JJ262168 TF262163:TF262168 ADB262163:ADB262168 AMX262163:AMX262168 AWT262163:AWT262168 BGP262163:BGP262168 BQL262163:BQL262168 CAH262163:CAH262168 CKD262163:CKD262168 CTZ262163:CTZ262168 DDV262163:DDV262168 DNR262163:DNR262168 DXN262163:DXN262168 EHJ262163:EHJ262168 ERF262163:ERF262168 FBB262163:FBB262168 FKX262163:FKX262168 FUT262163:FUT262168 GEP262163:GEP262168 GOL262163:GOL262168 GYH262163:GYH262168 HID262163:HID262168 HRZ262163:HRZ262168 IBV262163:IBV262168 ILR262163:ILR262168 IVN262163:IVN262168 JFJ262163:JFJ262168 JPF262163:JPF262168 JZB262163:JZB262168 KIX262163:KIX262168 KST262163:KST262168 LCP262163:LCP262168 LML262163:LML262168 LWH262163:LWH262168 MGD262163:MGD262168 MPZ262163:MPZ262168 MZV262163:MZV262168 NJR262163:NJR262168 NTN262163:NTN262168 ODJ262163:ODJ262168 ONF262163:ONF262168 OXB262163:OXB262168 PGX262163:PGX262168 PQT262163:PQT262168 QAP262163:QAP262168 QKL262163:QKL262168 QUH262163:QUH262168 RED262163:RED262168 RNZ262163:RNZ262168 RXV262163:RXV262168 SHR262163:SHR262168 SRN262163:SRN262168 TBJ262163:TBJ262168 TLF262163:TLF262168 TVB262163:TVB262168 UEX262163:UEX262168 UOT262163:UOT262168 UYP262163:UYP262168 VIL262163:VIL262168 VSH262163:VSH262168 WCD262163:WCD262168 WLZ262163:WLZ262168 WVV262163:WVV262168 X327699:X327704 JJ327699:JJ327704 TF327699:TF327704 ADB327699:ADB327704 AMX327699:AMX327704 AWT327699:AWT327704 BGP327699:BGP327704 BQL327699:BQL327704 CAH327699:CAH327704 CKD327699:CKD327704 CTZ327699:CTZ327704 DDV327699:DDV327704 DNR327699:DNR327704 DXN327699:DXN327704 EHJ327699:EHJ327704 ERF327699:ERF327704 FBB327699:FBB327704 FKX327699:FKX327704 FUT327699:FUT327704 GEP327699:GEP327704 GOL327699:GOL327704 GYH327699:GYH327704 HID327699:HID327704 HRZ327699:HRZ327704 IBV327699:IBV327704 ILR327699:ILR327704 IVN327699:IVN327704 JFJ327699:JFJ327704 JPF327699:JPF327704 JZB327699:JZB327704 KIX327699:KIX327704 KST327699:KST327704 LCP327699:LCP327704 LML327699:LML327704 LWH327699:LWH327704 MGD327699:MGD327704 MPZ327699:MPZ327704 MZV327699:MZV327704 NJR327699:NJR327704 NTN327699:NTN327704 ODJ327699:ODJ327704 ONF327699:ONF327704 OXB327699:OXB327704 PGX327699:PGX327704 PQT327699:PQT327704 QAP327699:QAP327704 QKL327699:QKL327704 QUH327699:QUH327704 RED327699:RED327704 RNZ327699:RNZ327704 RXV327699:RXV327704 SHR327699:SHR327704 SRN327699:SRN327704 TBJ327699:TBJ327704 TLF327699:TLF327704 TVB327699:TVB327704 UEX327699:UEX327704 UOT327699:UOT327704 UYP327699:UYP327704 VIL327699:VIL327704 VSH327699:VSH327704 WCD327699:WCD327704 WLZ327699:WLZ327704 WVV327699:WVV327704 X393235:X393240 JJ393235:JJ393240 TF393235:TF393240 ADB393235:ADB393240 AMX393235:AMX393240 AWT393235:AWT393240 BGP393235:BGP393240 BQL393235:BQL393240 CAH393235:CAH393240 CKD393235:CKD393240 CTZ393235:CTZ393240 DDV393235:DDV393240 DNR393235:DNR393240 DXN393235:DXN393240 EHJ393235:EHJ393240 ERF393235:ERF393240 FBB393235:FBB393240 FKX393235:FKX393240 FUT393235:FUT393240 GEP393235:GEP393240 GOL393235:GOL393240 GYH393235:GYH393240 HID393235:HID393240 HRZ393235:HRZ393240 IBV393235:IBV393240 ILR393235:ILR393240 IVN393235:IVN393240 JFJ393235:JFJ393240 JPF393235:JPF393240 JZB393235:JZB393240 KIX393235:KIX393240 KST393235:KST393240 LCP393235:LCP393240 LML393235:LML393240 LWH393235:LWH393240 MGD393235:MGD393240 MPZ393235:MPZ393240 MZV393235:MZV393240 NJR393235:NJR393240 NTN393235:NTN393240 ODJ393235:ODJ393240 ONF393235:ONF393240 OXB393235:OXB393240 PGX393235:PGX393240 PQT393235:PQT393240 QAP393235:QAP393240 QKL393235:QKL393240 QUH393235:QUH393240 RED393235:RED393240 RNZ393235:RNZ393240 RXV393235:RXV393240 SHR393235:SHR393240 SRN393235:SRN393240 TBJ393235:TBJ393240 TLF393235:TLF393240 TVB393235:TVB393240 UEX393235:UEX393240 UOT393235:UOT393240 UYP393235:UYP393240 VIL393235:VIL393240 VSH393235:VSH393240 WCD393235:WCD393240 WLZ393235:WLZ393240 WVV393235:WVV393240 X458771:X458776 JJ458771:JJ458776 TF458771:TF458776 ADB458771:ADB458776 AMX458771:AMX458776 AWT458771:AWT458776 BGP458771:BGP458776 BQL458771:BQL458776 CAH458771:CAH458776 CKD458771:CKD458776 CTZ458771:CTZ458776 DDV458771:DDV458776 DNR458771:DNR458776 DXN458771:DXN458776 EHJ458771:EHJ458776 ERF458771:ERF458776 FBB458771:FBB458776 FKX458771:FKX458776 FUT458771:FUT458776 GEP458771:GEP458776 GOL458771:GOL458776 GYH458771:GYH458776 HID458771:HID458776 HRZ458771:HRZ458776 IBV458771:IBV458776 ILR458771:ILR458776 IVN458771:IVN458776 JFJ458771:JFJ458776 JPF458771:JPF458776 JZB458771:JZB458776 KIX458771:KIX458776 KST458771:KST458776 LCP458771:LCP458776 LML458771:LML458776 LWH458771:LWH458776 MGD458771:MGD458776 MPZ458771:MPZ458776 MZV458771:MZV458776 NJR458771:NJR458776 NTN458771:NTN458776 ODJ458771:ODJ458776 ONF458771:ONF458776 OXB458771:OXB458776 PGX458771:PGX458776 PQT458771:PQT458776 QAP458771:QAP458776 QKL458771:QKL458776 QUH458771:QUH458776 RED458771:RED458776 RNZ458771:RNZ458776 RXV458771:RXV458776 SHR458771:SHR458776 SRN458771:SRN458776 TBJ458771:TBJ458776 TLF458771:TLF458776 TVB458771:TVB458776 UEX458771:UEX458776 UOT458771:UOT458776 UYP458771:UYP458776 VIL458771:VIL458776 VSH458771:VSH458776 WCD458771:WCD458776 WLZ458771:WLZ458776 WVV458771:WVV458776 X524307:X524312 JJ524307:JJ524312 TF524307:TF524312 ADB524307:ADB524312 AMX524307:AMX524312 AWT524307:AWT524312 BGP524307:BGP524312 BQL524307:BQL524312 CAH524307:CAH524312 CKD524307:CKD524312 CTZ524307:CTZ524312 DDV524307:DDV524312 DNR524307:DNR524312 DXN524307:DXN524312 EHJ524307:EHJ524312 ERF524307:ERF524312 FBB524307:FBB524312 FKX524307:FKX524312 FUT524307:FUT524312 GEP524307:GEP524312 GOL524307:GOL524312 GYH524307:GYH524312 HID524307:HID524312 HRZ524307:HRZ524312 IBV524307:IBV524312 ILR524307:ILR524312 IVN524307:IVN524312 JFJ524307:JFJ524312 JPF524307:JPF524312 JZB524307:JZB524312 KIX524307:KIX524312 KST524307:KST524312 LCP524307:LCP524312 LML524307:LML524312 LWH524307:LWH524312 MGD524307:MGD524312 MPZ524307:MPZ524312 MZV524307:MZV524312 NJR524307:NJR524312 NTN524307:NTN524312 ODJ524307:ODJ524312 ONF524307:ONF524312 OXB524307:OXB524312 PGX524307:PGX524312 PQT524307:PQT524312 QAP524307:QAP524312 QKL524307:QKL524312 QUH524307:QUH524312 RED524307:RED524312 RNZ524307:RNZ524312 RXV524307:RXV524312 SHR524307:SHR524312 SRN524307:SRN524312 TBJ524307:TBJ524312 TLF524307:TLF524312 TVB524307:TVB524312 UEX524307:UEX524312 UOT524307:UOT524312 UYP524307:UYP524312 VIL524307:VIL524312 VSH524307:VSH524312 WCD524307:WCD524312 WLZ524307:WLZ524312 WVV524307:WVV524312 X589843:X589848 JJ589843:JJ589848 TF589843:TF589848 ADB589843:ADB589848 AMX589843:AMX589848 AWT589843:AWT589848 BGP589843:BGP589848 BQL589843:BQL589848 CAH589843:CAH589848 CKD589843:CKD589848 CTZ589843:CTZ589848 DDV589843:DDV589848 DNR589843:DNR589848 DXN589843:DXN589848 EHJ589843:EHJ589848 ERF589843:ERF589848 FBB589843:FBB589848 FKX589843:FKX589848 FUT589843:FUT589848 GEP589843:GEP589848 GOL589843:GOL589848 GYH589843:GYH589848 HID589843:HID589848 HRZ589843:HRZ589848 IBV589843:IBV589848 ILR589843:ILR589848 IVN589843:IVN589848 JFJ589843:JFJ589848 JPF589843:JPF589848 JZB589843:JZB589848 KIX589843:KIX589848 KST589843:KST589848 LCP589843:LCP589848 LML589843:LML589848 LWH589843:LWH589848 MGD589843:MGD589848 MPZ589843:MPZ589848 MZV589843:MZV589848 NJR589843:NJR589848 NTN589843:NTN589848 ODJ589843:ODJ589848 ONF589843:ONF589848 OXB589843:OXB589848 PGX589843:PGX589848 PQT589843:PQT589848 QAP589843:QAP589848 QKL589843:QKL589848 QUH589843:QUH589848 RED589843:RED589848 RNZ589843:RNZ589848 RXV589843:RXV589848 SHR589843:SHR589848 SRN589843:SRN589848 TBJ589843:TBJ589848 TLF589843:TLF589848 TVB589843:TVB589848 UEX589843:UEX589848 UOT589843:UOT589848 UYP589843:UYP589848 VIL589843:VIL589848 VSH589843:VSH589848 WCD589843:WCD589848 WLZ589843:WLZ589848 WVV589843:WVV589848 X655379:X655384 JJ655379:JJ655384 TF655379:TF655384 ADB655379:ADB655384 AMX655379:AMX655384 AWT655379:AWT655384 BGP655379:BGP655384 BQL655379:BQL655384 CAH655379:CAH655384 CKD655379:CKD655384 CTZ655379:CTZ655384 DDV655379:DDV655384 DNR655379:DNR655384 DXN655379:DXN655384 EHJ655379:EHJ655384 ERF655379:ERF655384 FBB655379:FBB655384 FKX655379:FKX655384 FUT655379:FUT655384 GEP655379:GEP655384 GOL655379:GOL655384 GYH655379:GYH655384 HID655379:HID655384 HRZ655379:HRZ655384 IBV655379:IBV655384 ILR655379:ILR655384 IVN655379:IVN655384 JFJ655379:JFJ655384 JPF655379:JPF655384 JZB655379:JZB655384 KIX655379:KIX655384 KST655379:KST655384 LCP655379:LCP655384 LML655379:LML655384 LWH655379:LWH655384 MGD655379:MGD655384 MPZ655379:MPZ655384 MZV655379:MZV655384 NJR655379:NJR655384 NTN655379:NTN655384 ODJ655379:ODJ655384 ONF655379:ONF655384 OXB655379:OXB655384 PGX655379:PGX655384 PQT655379:PQT655384 QAP655379:QAP655384 QKL655379:QKL655384 QUH655379:QUH655384 RED655379:RED655384 RNZ655379:RNZ655384 RXV655379:RXV655384 SHR655379:SHR655384 SRN655379:SRN655384 TBJ655379:TBJ655384 TLF655379:TLF655384 TVB655379:TVB655384 UEX655379:UEX655384 UOT655379:UOT655384 UYP655379:UYP655384 VIL655379:VIL655384 VSH655379:VSH655384 WCD655379:WCD655384 WLZ655379:WLZ655384 WVV655379:WVV655384 X720915:X720920 JJ720915:JJ720920 TF720915:TF720920 ADB720915:ADB720920 AMX720915:AMX720920 AWT720915:AWT720920 BGP720915:BGP720920 BQL720915:BQL720920 CAH720915:CAH720920 CKD720915:CKD720920 CTZ720915:CTZ720920 DDV720915:DDV720920 DNR720915:DNR720920 DXN720915:DXN720920 EHJ720915:EHJ720920 ERF720915:ERF720920 FBB720915:FBB720920 FKX720915:FKX720920 FUT720915:FUT720920 GEP720915:GEP720920 GOL720915:GOL720920 GYH720915:GYH720920 HID720915:HID720920 HRZ720915:HRZ720920 IBV720915:IBV720920 ILR720915:ILR720920 IVN720915:IVN720920 JFJ720915:JFJ720920 JPF720915:JPF720920 JZB720915:JZB720920 KIX720915:KIX720920 KST720915:KST720920 LCP720915:LCP720920 LML720915:LML720920 LWH720915:LWH720920 MGD720915:MGD720920 MPZ720915:MPZ720920 MZV720915:MZV720920 NJR720915:NJR720920 NTN720915:NTN720920 ODJ720915:ODJ720920 ONF720915:ONF720920 OXB720915:OXB720920 PGX720915:PGX720920 PQT720915:PQT720920 QAP720915:QAP720920 QKL720915:QKL720920 QUH720915:QUH720920 RED720915:RED720920 RNZ720915:RNZ720920 RXV720915:RXV720920 SHR720915:SHR720920 SRN720915:SRN720920 TBJ720915:TBJ720920 TLF720915:TLF720920 TVB720915:TVB720920 UEX720915:UEX720920 UOT720915:UOT720920 UYP720915:UYP720920 VIL720915:VIL720920 VSH720915:VSH720920 WCD720915:WCD720920 WLZ720915:WLZ720920 WVV720915:WVV720920 X786451:X786456 JJ786451:JJ786456 TF786451:TF786456 ADB786451:ADB786456 AMX786451:AMX786456 AWT786451:AWT786456 BGP786451:BGP786456 BQL786451:BQL786456 CAH786451:CAH786456 CKD786451:CKD786456 CTZ786451:CTZ786456 DDV786451:DDV786456 DNR786451:DNR786456 DXN786451:DXN786456 EHJ786451:EHJ786456 ERF786451:ERF786456 FBB786451:FBB786456 FKX786451:FKX786456 FUT786451:FUT786456 GEP786451:GEP786456 GOL786451:GOL786456 GYH786451:GYH786456 HID786451:HID786456 HRZ786451:HRZ786456 IBV786451:IBV786456 ILR786451:ILR786456 IVN786451:IVN786456 JFJ786451:JFJ786456 JPF786451:JPF786456 JZB786451:JZB786456 KIX786451:KIX786456 KST786451:KST786456 LCP786451:LCP786456 LML786451:LML786456 LWH786451:LWH786456 MGD786451:MGD786456 MPZ786451:MPZ786456 MZV786451:MZV786456 NJR786451:NJR786456 NTN786451:NTN786456 ODJ786451:ODJ786456 ONF786451:ONF786456 OXB786451:OXB786456 PGX786451:PGX786456 PQT786451:PQT786456 QAP786451:QAP786456 QKL786451:QKL786456 QUH786451:QUH786456 RED786451:RED786456 RNZ786451:RNZ786456 RXV786451:RXV786456 SHR786451:SHR786456 SRN786451:SRN786456 TBJ786451:TBJ786456 TLF786451:TLF786456 TVB786451:TVB786456 UEX786451:UEX786456 UOT786451:UOT786456 UYP786451:UYP786456 VIL786451:VIL786456 VSH786451:VSH786456 WCD786451:WCD786456 WLZ786451:WLZ786456 WVV786451:WVV786456 X851987:X851992 JJ851987:JJ851992 TF851987:TF851992 ADB851987:ADB851992 AMX851987:AMX851992 AWT851987:AWT851992 BGP851987:BGP851992 BQL851987:BQL851992 CAH851987:CAH851992 CKD851987:CKD851992 CTZ851987:CTZ851992 DDV851987:DDV851992 DNR851987:DNR851992 DXN851987:DXN851992 EHJ851987:EHJ851992 ERF851987:ERF851992 FBB851987:FBB851992 FKX851987:FKX851992 FUT851987:FUT851992 GEP851987:GEP851992 GOL851987:GOL851992 GYH851987:GYH851992 HID851987:HID851992 HRZ851987:HRZ851992 IBV851987:IBV851992 ILR851987:ILR851992 IVN851987:IVN851992 JFJ851987:JFJ851992 JPF851987:JPF851992 JZB851987:JZB851992 KIX851987:KIX851992 KST851987:KST851992 LCP851987:LCP851992 LML851987:LML851992 LWH851987:LWH851992 MGD851987:MGD851992 MPZ851987:MPZ851992 MZV851987:MZV851992 NJR851987:NJR851992 NTN851987:NTN851992 ODJ851987:ODJ851992 ONF851987:ONF851992 OXB851987:OXB851992 PGX851987:PGX851992 PQT851987:PQT851992 QAP851987:QAP851992 QKL851987:QKL851992 QUH851987:QUH851992 RED851987:RED851992 RNZ851987:RNZ851992 RXV851987:RXV851992 SHR851987:SHR851992 SRN851987:SRN851992 TBJ851987:TBJ851992 TLF851987:TLF851992 TVB851987:TVB851992 UEX851987:UEX851992 UOT851987:UOT851992 UYP851987:UYP851992 VIL851987:VIL851992 VSH851987:VSH851992 WCD851987:WCD851992 WLZ851987:WLZ851992 WVV851987:WVV851992 X917523:X917528 JJ917523:JJ917528 TF917523:TF917528 ADB917523:ADB917528 AMX917523:AMX917528 AWT917523:AWT917528 BGP917523:BGP917528 BQL917523:BQL917528 CAH917523:CAH917528 CKD917523:CKD917528 CTZ917523:CTZ917528 DDV917523:DDV917528 DNR917523:DNR917528 DXN917523:DXN917528 EHJ917523:EHJ917528 ERF917523:ERF917528 FBB917523:FBB917528 FKX917523:FKX917528 FUT917523:FUT917528 GEP917523:GEP917528 GOL917523:GOL917528 GYH917523:GYH917528 HID917523:HID917528 HRZ917523:HRZ917528 IBV917523:IBV917528 ILR917523:ILR917528 IVN917523:IVN917528 JFJ917523:JFJ917528 JPF917523:JPF917528 JZB917523:JZB917528 KIX917523:KIX917528 KST917523:KST917528 LCP917523:LCP917528 LML917523:LML917528 LWH917523:LWH917528 MGD917523:MGD917528 MPZ917523:MPZ917528 MZV917523:MZV917528 NJR917523:NJR917528 NTN917523:NTN917528 ODJ917523:ODJ917528 ONF917523:ONF917528 OXB917523:OXB917528 PGX917523:PGX917528 PQT917523:PQT917528 QAP917523:QAP917528 QKL917523:QKL917528 QUH917523:QUH917528 RED917523:RED917528 RNZ917523:RNZ917528 RXV917523:RXV917528 SHR917523:SHR917528 SRN917523:SRN917528 TBJ917523:TBJ917528 TLF917523:TLF917528 TVB917523:TVB917528 UEX917523:UEX917528 UOT917523:UOT917528 UYP917523:UYP917528 VIL917523:VIL917528 VSH917523:VSH917528 WCD917523:WCD917528 WLZ917523:WLZ917528 WVV917523:WVV917528 X983059:X983064 JJ983059:JJ983064 TF983059:TF983064 ADB983059:ADB983064 AMX983059:AMX983064 AWT983059:AWT983064 BGP983059:BGP983064 BQL983059:BQL983064 CAH983059:CAH983064 CKD983059:CKD983064 CTZ983059:CTZ983064 DDV983059:DDV983064 DNR983059:DNR983064 DXN983059:DXN983064 EHJ983059:EHJ983064 ERF983059:ERF983064 FBB983059:FBB983064 FKX983059:FKX983064 FUT983059:FUT983064 GEP983059:GEP983064 GOL983059:GOL983064 GYH983059:GYH983064 HID983059:HID983064 HRZ983059:HRZ983064 IBV983059:IBV983064 ILR983059:ILR983064 IVN983059:IVN983064 JFJ983059:JFJ983064 JPF983059:JPF983064 JZB983059:JZB983064 KIX983059:KIX983064 KST983059:KST983064 LCP983059:LCP983064 LML983059:LML983064 LWH983059:LWH983064 MGD983059:MGD983064 MPZ983059:MPZ983064 MZV983059:MZV983064 NJR983059:NJR983064 NTN983059:NTN983064 ODJ983059:ODJ983064 ONF983059:ONF983064 OXB983059:OXB983064 PGX983059:PGX983064 PQT983059:PQT983064 QAP983059:QAP983064 QKL983059:QKL983064 QUH983059:QUH983064 RED983059:RED983064 RNZ983059:RNZ983064 RXV983059:RXV983064 SHR983059:SHR983064 SRN983059:SRN983064 TBJ983059:TBJ983064 TLF983059:TLF983064 TVB983059:TVB983064 UEX983059:UEX983064 UOT983059:UOT983064 UYP983059:UYP983064 VIL983059:VIL983064 VSH983059:VSH983064 WCD983059:WCD983064 WLZ983059:WLZ983064 WVV19:WVV24 JJ19:JJ24 TF19:TF24 ADB19:ADB24 AMX19:AMX24 AWT19:AWT24 BGP19:BGP24 BQL19:BQL24 CAH19:CAH24 CKD19:CKD24 CTZ19:CTZ24 DDV19:DDV24 DNR19:DNR24 DXN19:DXN24 EHJ19:EHJ24 ERF19:ERF24 FBB19:FBB24 FKX19:FKX24 FUT19:FUT24 GEP19:GEP24 GOL19:GOL24 GYH19:GYH24 HID19:HID24 HRZ19:HRZ24 IBV19:IBV24 ILR19:ILR24 IVN19:IVN24 JFJ19:JFJ24 JPF19:JPF24 JZB19:JZB24 KIX19:KIX24 KST19:KST24 LCP19:LCP24 LML19:LML24 LWH19:LWH24 MGD19:MGD24 MPZ19:MPZ24 MZV19:MZV24 NJR19:NJR24 NTN19:NTN24 ODJ19:ODJ24 ONF19:ONF24 OXB19:OXB24 PGX19:PGX24 PQT19:PQT24 QAP19:QAP24 QKL19:QKL24 QUH19:QUH24 RED19:RED24 RNZ19:RNZ24 RXV19:RXV24 SHR19:SHR24 SRN19:SRN24 TBJ19:TBJ24 TLF19:TLF24 TVB19:TVB24 UEX19:UEX24 UOT19:UOT24 UYP19:UYP24 VIL19:VIL24 VSH19:VSH24 WCD19:WCD24 WLZ19:WLZ24 SW23">
      <formula1>900</formula1>
    </dataValidation>
    <dataValidation allowBlank="1" promptTitle="checkPeriodRange" sqref="R24 JD24 SZ24 ACV24 AMR24 AWN24 BGJ24 BQF24 CAB24 CJX24 CTT24 DDP24 DNL24 DXH24 EHD24 EQZ24 FAV24 FKR24 FUN24 GEJ24 GOF24 GYB24 HHX24 HRT24 IBP24 ILL24 IVH24 JFD24 JOZ24 JYV24 KIR24 KSN24 LCJ24 LMF24 LWB24 MFX24 MPT24 MZP24 NJL24 NTH24 ODD24 OMZ24 OWV24 PGR24 PQN24 QAJ24 QKF24 QUB24 RDX24 RNT24 RXP24 SHL24 SRH24 TBD24 TKZ24 TUV24 UER24 UON24 UYJ24 VIF24 VSB24 WBX24 WLT24 WVP24 R65560 JD65560 SZ65560 ACV65560 AMR65560 AWN65560 BGJ65560 BQF65560 CAB65560 CJX65560 CTT65560 DDP65560 DNL65560 DXH65560 EHD65560 EQZ65560 FAV65560 FKR65560 FUN65560 GEJ65560 GOF65560 GYB65560 HHX65560 HRT65560 IBP65560 ILL65560 IVH65560 JFD65560 JOZ65560 JYV65560 KIR65560 KSN65560 LCJ65560 LMF65560 LWB65560 MFX65560 MPT65560 MZP65560 NJL65560 NTH65560 ODD65560 OMZ65560 OWV65560 PGR65560 PQN65560 QAJ65560 QKF65560 QUB65560 RDX65560 RNT65560 RXP65560 SHL65560 SRH65560 TBD65560 TKZ65560 TUV65560 UER65560 UON65560 UYJ65560 VIF65560 VSB65560 WBX65560 WLT65560 WVP65560 R131096 JD131096 SZ131096 ACV131096 AMR131096 AWN131096 BGJ131096 BQF131096 CAB131096 CJX131096 CTT131096 DDP131096 DNL131096 DXH131096 EHD131096 EQZ131096 FAV131096 FKR131096 FUN131096 GEJ131096 GOF131096 GYB131096 HHX131096 HRT131096 IBP131096 ILL131096 IVH131096 JFD131096 JOZ131096 JYV131096 KIR131096 KSN131096 LCJ131096 LMF131096 LWB131096 MFX131096 MPT131096 MZP131096 NJL131096 NTH131096 ODD131096 OMZ131096 OWV131096 PGR131096 PQN131096 QAJ131096 QKF131096 QUB131096 RDX131096 RNT131096 RXP131096 SHL131096 SRH131096 TBD131096 TKZ131096 TUV131096 UER131096 UON131096 UYJ131096 VIF131096 VSB131096 WBX131096 WLT131096 WVP131096 R196632 JD196632 SZ196632 ACV196632 AMR196632 AWN196632 BGJ196632 BQF196632 CAB196632 CJX196632 CTT196632 DDP196632 DNL196632 DXH196632 EHD196632 EQZ196632 FAV196632 FKR196632 FUN196632 GEJ196632 GOF196632 GYB196632 HHX196632 HRT196632 IBP196632 ILL196632 IVH196632 JFD196632 JOZ196632 JYV196632 KIR196632 KSN196632 LCJ196632 LMF196632 LWB196632 MFX196632 MPT196632 MZP196632 NJL196632 NTH196632 ODD196632 OMZ196632 OWV196632 PGR196632 PQN196632 QAJ196632 QKF196632 QUB196632 RDX196632 RNT196632 RXP196632 SHL196632 SRH196632 TBD196632 TKZ196632 TUV196632 UER196632 UON196632 UYJ196632 VIF196632 VSB196632 WBX196632 WLT196632 WVP196632 R262168 JD262168 SZ262168 ACV262168 AMR262168 AWN262168 BGJ262168 BQF262168 CAB262168 CJX262168 CTT262168 DDP262168 DNL262168 DXH262168 EHD262168 EQZ262168 FAV262168 FKR262168 FUN262168 GEJ262168 GOF262168 GYB262168 HHX262168 HRT262168 IBP262168 ILL262168 IVH262168 JFD262168 JOZ262168 JYV262168 KIR262168 KSN262168 LCJ262168 LMF262168 LWB262168 MFX262168 MPT262168 MZP262168 NJL262168 NTH262168 ODD262168 OMZ262168 OWV262168 PGR262168 PQN262168 QAJ262168 QKF262168 QUB262168 RDX262168 RNT262168 RXP262168 SHL262168 SRH262168 TBD262168 TKZ262168 TUV262168 UER262168 UON262168 UYJ262168 VIF262168 VSB262168 WBX262168 WLT262168 WVP262168 R327704 JD327704 SZ327704 ACV327704 AMR327704 AWN327704 BGJ327704 BQF327704 CAB327704 CJX327704 CTT327704 DDP327704 DNL327704 DXH327704 EHD327704 EQZ327704 FAV327704 FKR327704 FUN327704 GEJ327704 GOF327704 GYB327704 HHX327704 HRT327704 IBP327704 ILL327704 IVH327704 JFD327704 JOZ327704 JYV327704 KIR327704 KSN327704 LCJ327704 LMF327704 LWB327704 MFX327704 MPT327704 MZP327704 NJL327704 NTH327704 ODD327704 OMZ327704 OWV327704 PGR327704 PQN327704 QAJ327704 QKF327704 QUB327704 RDX327704 RNT327704 RXP327704 SHL327704 SRH327704 TBD327704 TKZ327704 TUV327704 UER327704 UON327704 UYJ327704 VIF327704 VSB327704 WBX327704 WLT327704 WVP327704 R393240 JD393240 SZ393240 ACV393240 AMR393240 AWN393240 BGJ393240 BQF393240 CAB393240 CJX393240 CTT393240 DDP393240 DNL393240 DXH393240 EHD393240 EQZ393240 FAV393240 FKR393240 FUN393240 GEJ393240 GOF393240 GYB393240 HHX393240 HRT393240 IBP393240 ILL393240 IVH393240 JFD393240 JOZ393240 JYV393240 KIR393240 KSN393240 LCJ393240 LMF393240 LWB393240 MFX393240 MPT393240 MZP393240 NJL393240 NTH393240 ODD393240 OMZ393240 OWV393240 PGR393240 PQN393240 QAJ393240 QKF393240 QUB393240 RDX393240 RNT393240 RXP393240 SHL393240 SRH393240 TBD393240 TKZ393240 TUV393240 UER393240 UON393240 UYJ393240 VIF393240 VSB393240 WBX393240 WLT393240 WVP393240 R458776 JD458776 SZ458776 ACV458776 AMR458776 AWN458776 BGJ458776 BQF458776 CAB458776 CJX458776 CTT458776 DDP458776 DNL458776 DXH458776 EHD458776 EQZ458776 FAV458776 FKR458776 FUN458776 GEJ458776 GOF458776 GYB458776 HHX458776 HRT458776 IBP458776 ILL458776 IVH458776 JFD458776 JOZ458776 JYV458776 KIR458776 KSN458776 LCJ458776 LMF458776 LWB458776 MFX458776 MPT458776 MZP458776 NJL458776 NTH458776 ODD458776 OMZ458776 OWV458776 PGR458776 PQN458776 QAJ458776 QKF458776 QUB458776 RDX458776 RNT458776 RXP458776 SHL458776 SRH458776 TBD458776 TKZ458776 TUV458776 UER458776 UON458776 UYJ458776 VIF458776 VSB458776 WBX458776 WLT458776 WVP458776 R524312 JD524312 SZ524312 ACV524312 AMR524312 AWN524312 BGJ524312 BQF524312 CAB524312 CJX524312 CTT524312 DDP524312 DNL524312 DXH524312 EHD524312 EQZ524312 FAV524312 FKR524312 FUN524312 GEJ524312 GOF524312 GYB524312 HHX524312 HRT524312 IBP524312 ILL524312 IVH524312 JFD524312 JOZ524312 JYV524312 KIR524312 KSN524312 LCJ524312 LMF524312 LWB524312 MFX524312 MPT524312 MZP524312 NJL524312 NTH524312 ODD524312 OMZ524312 OWV524312 PGR524312 PQN524312 QAJ524312 QKF524312 QUB524312 RDX524312 RNT524312 RXP524312 SHL524312 SRH524312 TBD524312 TKZ524312 TUV524312 UER524312 UON524312 UYJ524312 VIF524312 VSB524312 WBX524312 WLT524312 WVP524312 R589848 JD589848 SZ589848 ACV589848 AMR589848 AWN589848 BGJ589848 BQF589848 CAB589848 CJX589848 CTT589848 DDP589848 DNL589848 DXH589848 EHD589848 EQZ589848 FAV589848 FKR589848 FUN589848 GEJ589848 GOF589848 GYB589848 HHX589848 HRT589848 IBP589848 ILL589848 IVH589848 JFD589848 JOZ589848 JYV589848 KIR589848 KSN589848 LCJ589848 LMF589848 LWB589848 MFX589848 MPT589848 MZP589848 NJL589848 NTH589848 ODD589848 OMZ589848 OWV589848 PGR589848 PQN589848 QAJ589848 QKF589848 QUB589848 RDX589848 RNT589848 RXP589848 SHL589848 SRH589848 TBD589848 TKZ589848 TUV589848 UER589848 UON589848 UYJ589848 VIF589848 VSB589848 WBX589848 WLT589848 WVP589848 R655384 JD655384 SZ655384 ACV655384 AMR655384 AWN655384 BGJ655384 BQF655384 CAB655384 CJX655384 CTT655384 DDP655384 DNL655384 DXH655384 EHD655384 EQZ655384 FAV655384 FKR655384 FUN655384 GEJ655384 GOF655384 GYB655384 HHX655384 HRT655384 IBP655384 ILL655384 IVH655384 JFD655384 JOZ655384 JYV655384 KIR655384 KSN655384 LCJ655384 LMF655384 LWB655384 MFX655384 MPT655384 MZP655384 NJL655384 NTH655384 ODD655384 OMZ655384 OWV655384 PGR655384 PQN655384 QAJ655384 QKF655384 QUB655384 RDX655384 RNT655384 RXP655384 SHL655384 SRH655384 TBD655384 TKZ655384 TUV655384 UER655384 UON655384 UYJ655384 VIF655384 VSB655384 WBX655384 WLT655384 WVP655384 R720920 JD720920 SZ720920 ACV720920 AMR720920 AWN720920 BGJ720920 BQF720920 CAB720920 CJX720920 CTT720920 DDP720920 DNL720920 DXH720920 EHD720920 EQZ720920 FAV720920 FKR720920 FUN720920 GEJ720920 GOF720920 GYB720920 HHX720920 HRT720920 IBP720920 ILL720920 IVH720920 JFD720920 JOZ720920 JYV720920 KIR720920 KSN720920 LCJ720920 LMF720920 LWB720920 MFX720920 MPT720920 MZP720920 NJL720920 NTH720920 ODD720920 OMZ720920 OWV720920 PGR720920 PQN720920 QAJ720920 QKF720920 QUB720920 RDX720920 RNT720920 RXP720920 SHL720920 SRH720920 TBD720920 TKZ720920 TUV720920 UER720920 UON720920 UYJ720920 VIF720920 VSB720920 WBX720920 WLT720920 WVP720920 R786456 JD786456 SZ786456 ACV786456 AMR786456 AWN786456 BGJ786456 BQF786456 CAB786456 CJX786456 CTT786456 DDP786456 DNL786456 DXH786456 EHD786456 EQZ786456 FAV786456 FKR786456 FUN786456 GEJ786456 GOF786456 GYB786456 HHX786456 HRT786456 IBP786456 ILL786456 IVH786456 JFD786456 JOZ786456 JYV786456 KIR786456 KSN786456 LCJ786456 LMF786456 LWB786456 MFX786456 MPT786456 MZP786456 NJL786456 NTH786456 ODD786456 OMZ786456 OWV786456 PGR786456 PQN786456 QAJ786456 QKF786456 QUB786456 RDX786456 RNT786456 RXP786456 SHL786456 SRH786456 TBD786456 TKZ786456 TUV786456 UER786456 UON786456 UYJ786456 VIF786456 VSB786456 WBX786456 WLT786456 WVP786456 R851992 JD851992 SZ851992 ACV851992 AMR851992 AWN851992 BGJ851992 BQF851992 CAB851992 CJX851992 CTT851992 DDP851992 DNL851992 DXH851992 EHD851992 EQZ851992 FAV851992 FKR851992 FUN851992 GEJ851992 GOF851992 GYB851992 HHX851992 HRT851992 IBP851992 ILL851992 IVH851992 JFD851992 JOZ851992 JYV851992 KIR851992 KSN851992 LCJ851992 LMF851992 LWB851992 MFX851992 MPT851992 MZP851992 NJL851992 NTH851992 ODD851992 OMZ851992 OWV851992 PGR851992 PQN851992 QAJ851992 QKF851992 QUB851992 RDX851992 RNT851992 RXP851992 SHL851992 SRH851992 TBD851992 TKZ851992 TUV851992 UER851992 UON851992 UYJ851992 VIF851992 VSB851992 WBX851992 WLT851992 WVP851992 R917528 JD917528 SZ917528 ACV917528 AMR917528 AWN917528 BGJ917528 BQF917528 CAB917528 CJX917528 CTT917528 DDP917528 DNL917528 DXH917528 EHD917528 EQZ917528 FAV917528 FKR917528 FUN917528 GEJ917528 GOF917528 GYB917528 HHX917528 HRT917528 IBP917528 ILL917528 IVH917528 JFD917528 JOZ917528 JYV917528 KIR917528 KSN917528 LCJ917528 LMF917528 LWB917528 MFX917528 MPT917528 MZP917528 NJL917528 NTH917528 ODD917528 OMZ917528 OWV917528 PGR917528 PQN917528 QAJ917528 QKF917528 QUB917528 RDX917528 RNT917528 RXP917528 SHL917528 SRH917528 TBD917528 TKZ917528 TUV917528 UER917528 UON917528 UYJ917528 VIF917528 VSB917528 WBX917528 WLT917528 WVP917528 R983064 JD983064 SZ983064 ACV983064 AMR983064 AWN983064 BGJ983064 BQF983064 CAB983064 CJX983064 CTT983064 DDP983064 DNL983064 DXH983064 EHD983064 EQZ983064 FAV983064 FKR983064 FUN983064 GEJ983064 GOF983064 GYB983064 HHX983064 HRT983064 IBP983064 ILL983064 IVH983064 JFD983064 JOZ983064 JYV983064 KIR983064 KSN983064 LCJ983064 LMF983064 LWB983064 MFX983064 MPT983064 MZP983064 NJL983064 NTH983064 ODD983064 OMZ983064 OWV983064 PGR983064 PQN983064 QAJ983064 QKF983064 QUB983064 RDX983064 RNT983064 RXP983064 SHL983064 SRH983064 TBD983064 TKZ983064 TUV983064 UER983064 UON983064 UYJ983064 VIF983064 VSB983064 WBX983064 WLT983064 WVP983064"/>
    <dataValidation allowBlank="1" showInputMessage="1" showErrorMessage="1" prompt="Для выбора выполните двойной щелчок левой клавиши мыши по соответствующей ячейке." sqref="ACX23 AMT23 AWP23 BGL23 BQH23 CAD23 CJZ23 CTV23 DDR23 DNN23 DXJ23 EHF23 ERB23 FAX23 FKT23 FUP23 GEL23 GOH23 GYD23 HHZ23 HRV23 IBR23 ILN23 IVJ23 JFF23 JPB23 JYX23 KIT23 KSP23 LCL23 LMH23 LWD23 MFZ23 MPV23 MZR23 NJN23 NTJ23 ODF23 ONB23 OWX23 PGT23 PQP23 QAL23 QKH23 QUD23 RDZ23 RNV23 RXR23 SHN23 SRJ23 TBF23 TLB23 TUX23 UET23 UOP23 UYL23 VIH23 VSD23 WBZ23 WLV23 WVR23 JH23 TD23 V131095 T65559 JF65559 TB65559 ACX65559 AMT65559 AWP65559 BGL65559 BQH65559 CAD65559 CJZ65559 CTV65559 DDR65559 DNN65559 DXJ65559 EHF65559 ERB65559 FAX65559 FKT65559 FUP65559 GEL65559 GOH65559 GYD65559 HHZ65559 HRV65559 IBR65559 ILN65559 IVJ65559 JFF65559 JPB65559 JYX65559 KIT65559 KSP65559 LCL65559 LMH65559 LWD65559 MFZ65559 MPV65559 MZR65559 NJN65559 NTJ65559 ODF65559 ONB65559 OWX65559 PGT65559 PQP65559 QAL65559 QKH65559 QUD65559 RDZ65559 RNV65559 RXR65559 SHN65559 SRJ65559 TBF65559 TLB65559 TUX65559 UET65559 UOP65559 UYL65559 VIH65559 VSD65559 WBZ65559 WLV65559 WVR65559 T131095 JF131095 TB131095 ACX131095 AMT131095 AWP131095 BGL131095 BQH131095 CAD131095 CJZ131095 CTV131095 DDR131095 DNN131095 DXJ131095 EHF131095 ERB131095 FAX131095 FKT131095 FUP131095 GEL131095 GOH131095 GYD131095 HHZ131095 HRV131095 IBR131095 ILN131095 IVJ131095 JFF131095 JPB131095 JYX131095 KIT131095 KSP131095 LCL131095 LMH131095 LWD131095 MFZ131095 MPV131095 MZR131095 NJN131095 NTJ131095 ODF131095 ONB131095 OWX131095 PGT131095 PQP131095 QAL131095 QKH131095 QUD131095 RDZ131095 RNV131095 RXR131095 SHN131095 SRJ131095 TBF131095 TLB131095 TUX131095 UET131095 UOP131095 UYL131095 VIH131095 VSD131095 WBZ131095 WLV131095 WVR131095 T196631 JF196631 TB196631 ACX196631 AMT196631 AWP196631 BGL196631 BQH196631 CAD196631 CJZ196631 CTV196631 DDR196631 DNN196631 DXJ196631 EHF196631 ERB196631 FAX196631 FKT196631 FUP196631 GEL196631 GOH196631 GYD196631 HHZ196631 HRV196631 IBR196631 ILN196631 IVJ196631 JFF196631 JPB196631 JYX196631 KIT196631 KSP196631 LCL196631 LMH196631 LWD196631 MFZ196631 MPV196631 MZR196631 NJN196631 NTJ196631 ODF196631 ONB196631 OWX196631 PGT196631 PQP196631 QAL196631 QKH196631 QUD196631 RDZ196631 RNV196631 RXR196631 SHN196631 SRJ196631 TBF196631 TLB196631 TUX196631 UET196631 UOP196631 UYL196631 VIH196631 VSD196631 WBZ196631 WLV196631 WVR196631 T262167 JF262167 TB262167 ACX262167 AMT262167 AWP262167 BGL262167 BQH262167 CAD262167 CJZ262167 CTV262167 DDR262167 DNN262167 DXJ262167 EHF262167 ERB262167 FAX262167 FKT262167 FUP262167 GEL262167 GOH262167 GYD262167 HHZ262167 HRV262167 IBR262167 ILN262167 IVJ262167 JFF262167 JPB262167 JYX262167 KIT262167 KSP262167 LCL262167 LMH262167 LWD262167 MFZ262167 MPV262167 MZR262167 NJN262167 NTJ262167 ODF262167 ONB262167 OWX262167 PGT262167 PQP262167 QAL262167 QKH262167 QUD262167 RDZ262167 RNV262167 RXR262167 SHN262167 SRJ262167 TBF262167 TLB262167 TUX262167 UET262167 UOP262167 UYL262167 VIH262167 VSD262167 WBZ262167 WLV262167 WVR262167 T327703 JF327703 TB327703 ACX327703 AMT327703 AWP327703 BGL327703 BQH327703 CAD327703 CJZ327703 CTV327703 DDR327703 DNN327703 DXJ327703 EHF327703 ERB327703 FAX327703 FKT327703 FUP327703 GEL327703 GOH327703 GYD327703 HHZ327703 HRV327703 IBR327703 ILN327703 IVJ327703 JFF327703 JPB327703 JYX327703 KIT327703 KSP327703 LCL327703 LMH327703 LWD327703 MFZ327703 MPV327703 MZR327703 NJN327703 NTJ327703 ODF327703 ONB327703 OWX327703 PGT327703 PQP327703 QAL327703 QKH327703 QUD327703 RDZ327703 RNV327703 RXR327703 SHN327703 SRJ327703 TBF327703 TLB327703 TUX327703 UET327703 UOP327703 UYL327703 VIH327703 VSD327703 WBZ327703 WLV327703 WVR327703 T393239 JF393239 TB393239 ACX393239 AMT393239 AWP393239 BGL393239 BQH393239 CAD393239 CJZ393239 CTV393239 DDR393239 DNN393239 DXJ393239 EHF393239 ERB393239 FAX393239 FKT393239 FUP393239 GEL393239 GOH393239 GYD393239 HHZ393239 HRV393239 IBR393239 ILN393239 IVJ393239 JFF393239 JPB393239 JYX393239 KIT393239 KSP393239 LCL393239 LMH393239 LWD393239 MFZ393239 MPV393239 MZR393239 NJN393239 NTJ393239 ODF393239 ONB393239 OWX393239 PGT393239 PQP393239 QAL393239 QKH393239 QUD393239 RDZ393239 RNV393239 RXR393239 SHN393239 SRJ393239 TBF393239 TLB393239 TUX393239 UET393239 UOP393239 UYL393239 VIH393239 VSD393239 WBZ393239 WLV393239 WVR393239 T458775 JF458775 TB458775 ACX458775 AMT458775 AWP458775 BGL458775 BQH458775 CAD458775 CJZ458775 CTV458775 DDR458775 DNN458775 DXJ458775 EHF458775 ERB458775 FAX458775 FKT458775 FUP458775 GEL458775 GOH458775 GYD458775 HHZ458775 HRV458775 IBR458775 ILN458775 IVJ458775 JFF458775 JPB458775 JYX458775 KIT458775 KSP458775 LCL458775 LMH458775 LWD458775 MFZ458775 MPV458775 MZR458775 NJN458775 NTJ458775 ODF458775 ONB458775 OWX458775 PGT458775 PQP458775 QAL458775 QKH458775 QUD458775 RDZ458775 RNV458775 RXR458775 SHN458775 SRJ458775 TBF458775 TLB458775 TUX458775 UET458775 UOP458775 UYL458775 VIH458775 VSD458775 WBZ458775 WLV458775 WVR458775 T524311 JF524311 TB524311 ACX524311 AMT524311 AWP524311 BGL524311 BQH524311 CAD524311 CJZ524311 CTV524311 DDR524311 DNN524311 DXJ524311 EHF524311 ERB524311 FAX524311 FKT524311 FUP524311 GEL524311 GOH524311 GYD524311 HHZ524311 HRV524311 IBR524311 ILN524311 IVJ524311 JFF524311 JPB524311 JYX524311 KIT524311 KSP524311 LCL524311 LMH524311 LWD524311 MFZ524311 MPV524311 MZR524311 NJN524311 NTJ524311 ODF524311 ONB524311 OWX524311 PGT524311 PQP524311 QAL524311 QKH524311 QUD524311 RDZ524311 RNV524311 RXR524311 SHN524311 SRJ524311 TBF524311 TLB524311 TUX524311 UET524311 UOP524311 UYL524311 VIH524311 VSD524311 WBZ524311 WLV524311 WVR524311 T589847 JF589847 TB589847 ACX589847 AMT589847 AWP589847 BGL589847 BQH589847 CAD589847 CJZ589847 CTV589847 DDR589847 DNN589847 DXJ589847 EHF589847 ERB589847 FAX589847 FKT589847 FUP589847 GEL589847 GOH589847 GYD589847 HHZ589847 HRV589847 IBR589847 ILN589847 IVJ589847 JFF589847 JPB589847 JYX589847 KIT589847 KSP589847 LCL589847 LMH589847 LWD589847 MFZ589847 MPV589847 MZR589847 NJN589847 NTJ589847 ODF589847 ONB589847 OWX589847 PGT589847 PQP589847 QAL589847 QKH589847 QUD589847 RDZ589847 RNV589847 RXR589847 SHN589847 SRJ589847 TBF589847 TLB589847 TUX589847 UET589847 UOP589847 UYL589847 VIH589847 VSD589847 WBZ589847 WLV589847 WVR589847 T655383 JF655383 TB655383 ACX655383 AMT655383 AWP655383 BGL655383 BQH655383 CAD655383 CJZ655383 CTV655383 DDR655383 DNN655383 DXJ655383 EHF655383 ERB655383 FAX655383 FKT655383 FUP655383 GEL655383 GOH655383 GYD655383 HHZ655383 HRV655383 IBR655383 ILN655383 IVJ655383 JFF655383 JPB655383 JYX655383 KIT655383 KSP655383 LCL655383 LMH655383 LWD655383 MFZ655383 MPV655383 MZR655383 NJN655383 NTJ655383 ODF655383 ONB655383 OWX655383 PGT655383 PQP655383 QAL655383 QKH655383 QUD655383 RDZ655383 RNV655383 RXR655383 SHN655383 SRJ655383 TBF655383 TLB655383 TUX655383 UET655383 UOP655383 UYL655383 VIH655383 VSD655383 WBZ655383 WLV655383 WVR655383 T720919 JF720919 TB720919 ACX720919 AMT720919 AWP720919 BGL720919 BQH720919 CAD720919 CJZ720919 CTV720919 DDR720919 DNN720919 DXJ720919 EHF720919 ERB720919 FAX720919 FKT720919 FUP720919 GEL720919 GOH720919 GYD720919 HHZ720919 HRV720919 IBR720919 ILN720919 IVJ720919 JFF720919 JPB720919 JYX720919 KIT720919 KSP720919 LCL720919 LMH720919 LWD720919 MFZ720919 MPV720919 MZR720919 NJN720919 NTJ720919 ODF720919 ONB720919 OWX720919 PGT720919 PQP720919 QAL720919 QKH720919 QUD720919 RDZ720919 RNV720919 RXR720919 SHN720919 SRJ720919 TBF720919 TLB720919 TUX720919 UET720919 UOP720919 UYL720919 VIH720919 VSD720919 WBZ720919 WLV720919 WVR720919 T786455 JF786455 TB786455 ACX786455 AMT786455 AWP786455 BGL786455 BQH786455 CAD786455 CJZ786455 CTV786455 DDR786455 DNN786455 DXJ786455 EHF786455 ERB786455 FAX786455 FKT786455 FUP786455 GEL786455 GOH786455 GYD786455 HHZ786455 HRV786455 IBR786455 ILN786455 IVJ786455 JFF786455 JPB786455 JYX786455 KIT786455 KSP786455 LCL786455 LMH786455 LWD786455 MFZ786455 MPV786455 MZR786455 NJN786455 NTJ786455 ODF786455 ONB786455 OWX786455 PGT786455 PQP786455 QAL786455 QKH786455 QUD786455 RDZ786455 RNV786455 RXR786455 SHN786455 SRJ786455 TBF786455 TLB786455 TUX786455 UET786455 UOP786455 UYL786455 VIH786455 VSD786455 WBZ786455 WLV786455 WVR786455 T851991 JF851991 TB851991 ACX851991 AMT851991 AWP851991 BGL851991 BQH851991 CAD851991 CJZ851991 CTV851991 DDR851991 DNN851991 DXJ851991 EHF851991 ERB851991 FAX851991 FKT851991 FUP851991 GEL851991 GOH851991 GYD851991 HHZ851991 HRV851991 IBR851991 ILN851991 IVJ851991 JFF851991 JPB851991 JYX851991 KIT851991 KSP851991 LCL851991 LMH851991 LWD851991 MFZ851991 MPV851991 MZR851991 NJN851991 NTJ851991 ODF851991 ONB851991 OWX851991 PGT851991 PQP851991 QAL851991 QKH851991 QUD851991 RDZ851991 RNV851991 RXR851991 SHN851991 SRJ851991 TBF851991 TLB851991 TUX851991 UET851991 UOP851991 UYL851991 VIH851991 VSD851991 WBZ851991 WLV851991 WVR851991 T917527 JF917527 TB917527 ACX917527 AMT917527 AWP917527 BGL917527 BQH917527 CAD917527 CJZ917527 CTV917527 DDR917527 DNN917527 DXJ917527 EHF917527 ERB917527 FAX917527 FKT917527 FUP917527 GEL917527 GOH917527 GYD917527 HHZ917527 HRV917527 IBR917527 ILN917527 IVJ917527 JFF917527 JPB917527 JYX917527 KIT917527 KSP917527 LCL917527 LMH917527 LWD917527 MFZ917527 MPV917527 MZR917527 NJN917527 NTJ917527 ODF917527 ONB917527 OWX917527 PGT917527 PQP917527 QAL917527 QKH917527 QUD917527 RDZ917527 RNV917527 RXR917527 SHN917527 SRJ917527 TBF917527 TLB917527 TUX917527 UET917527 UOP917527 UYL917527 VIH917527 VSD917527 WBZ917527 WLV917527 WVR917527 T983063 JF983063 TB983063 ACX983063 AMT983063 AWP983063 BGL983063 BQH983063 CAD983063 CJZ983063 CTV983063 DDR983063 DNN983063 DXJ983063 EHF983063 ERB983063 FAX983063 FKT983063 FUP983063 GEL983063 GOH983063 GYD983063 HHZ983063 HRV983063 IBR983063 ILN983063 IVJ983063 JFF983063 JPB983063 JYX983063 KIT983063 KSP983063 LCL983063 LMH983063 LWD983063 MFZ983063 MPV983063 MZR983063 NJN983063 NTJ983063 ODF983063 ONB983063 OWX983063 PGT983063 PQP983063 QAL983063 QKH983063 QUD983063 RDZ983063 RNV983063 RXR983063 SHN983063 SRJ983063 TBF983063 TLB983063 TUX983063 UET983063 UOP983063 UYL983063 VIH983063 VSD983063 WBZ983063 WLV983063 WVR983063 ACZ23 AMV23 AWR23 BGN23 BQJ23 CAF23 CKB23 CTX23 DDT23 DNP23 DXL23 EHH23 ERD23 FAZ23 FKV23 FUR23 GEN23 GOJ23 GYF23 HIB23 HRX23 IBT23 ILP23 IVL23 JFH23 JPD23 JYZ23 KIV23 KSR23 LCN23 LMJ23 LWF23 MGB23 MPX23 MZT23 NJP23 NTL23 ODH23 OND23 OWZ23 PGV23 PQR23 QAN23 QKJ23 QUF23 REB23 RNX23 RXT23 SHP23 SRL23 TBH23 TLD23 TUZ23 UEV23 UOR23 UYN23 VIJ23 VSF23 WCB23 WLX23 WVT23 T23 V196631 JF23 V262167 JH65559 TD65559 ACZ65559 AMV65559 AWR65559 BGN65559 BQJ65559 CAF65559 CKB65559 CTX65559 DDT65559 DNP65559 DXL65559 EHH65559 ERD65559 FAZ65559 FKV65559 FUR65559 GEN65559 GOJ65559 GYF65559 HIB65559 HRX65559 IBT65559 ILP65559 IVL65559 JFH65559 JPD65559 JYZ65559 KIV65559 KSR65559 LCN65559 LMJ65559 LWF65559 MGB65559 MPX65559 MZT65559 NJP65559 NTL65559 ODH65559 OND65559 OWZ65559 PGV65559 PQR65559 QAN65559 QKJ65559 QUF65559 REB65559 RNX65559 RXT65559 SHP65559 SRL65559 TBH65559 TLD65559 TUZ65559 UEV65559 UOR65559 UYN65559 VIJ65559 VSF65559 WCB65559 WLX65559 WVT65559 V327703 JH131095 TD131095 ACZ131095 AMV131095 AWR131095 BGN131095 BQJ131095 CAF131095 CKB131095 CTX131095 DDT131095 DNP131095 DXL131095 EHH131095 ERD131095 FAZ131095 FKV131095 FUR131095 GEN131095 GOJ131095 GYF131095 HIB131095 HRX131095 IBT131095 ILP131095 IVL131095 JFH131095 JPD131095 JYZ131095 KIV131095 KSR131095 LCN131095 LMJ131095 LWF131095 MGB131095 MPX131095 MZT131095 NJP131095 NTL131095 ODH131095 OND131095 OWZ131095 PGV131095 PQR131095 QAN131095 QKJ131095 QUF131095 REB131095 RNX131095 RXT131095 SHP131095 SRL131095 TBH131095 TLD131095 TUZ131095 UEV131095 UOR131095 UYN131095 VIJ131095 VSF131095 WCB131095 WLX131095 WVT131095 V393239 JH196631 TD196631 ACZ196631 AMV196631 AWR196631 BGN196631 BQJ196631 CAF196631 CKB196631 CTX196631 DDT196631 DNP196631 DXL196631 EHH196631 ERD196631 FAZ196631 FKV196631 FUR196631 GEN196631 GOJ196631 GYF196631 HIB196631 HRX196631 IBT196631 ILP196631 IVL196631 JFH196631 JPD196631 JYZ196631 KIV196631 KSR196631 LCN196631 LMJ196631 LWF196631 MGB196631 MPX196631 MZT196631 NJP196631 NTL196631 ODH196631 OND196631 OWZ196631 PGV196631 PQR196631 QAN196631 QKJ196631 QUF196631 REB196631 RNX196631 RXT196631 SHP196631 SRL196631 TBH196631 TLD196631 TUZ196631 UEV196631 UOR196631 UYN196631 VIJ196631 VSF196631 WCB196631 WLX196631 WVT196631 V458775 JH262167 TD262167 ACZ262167 AMV262167 AWR262167 BGN262167 BQJ262167 CAF262167 CKB262167 CTX262167 DDT262167 DNP262167 DXL262167 EHH262167 ERD262167 FAZ262167 FKV262167 FUR262167 GEN262167 GOJ262167 GYF262167 HIB262167 HRX262167 IBT262167 ILP262167 IVL262167 JFH262167 JPD262167 JYZ262167 KIV262167 KSR262167 LCN262167 LMJ262167 LWF262167 MGB262167 MPX262167 MZT262167 NJP262167 NTL262167 ODH262167 OND262167 OWZ262167 PGV262167 PQR262167 QAN262167 QKJ262167 QUF262167 REB262167 RNX262167 RXT262167 SHP262167 SRL262167 TBH262167 TLD262167 TUZ262167 UEV262167 UOR262167 UYN262167 VIJ262167 VSF262167 WCB262167 WLX262167 WVT262167 V524311 JH327703 TD327703 ACZ327703 AMV327703 AWR327703 BGN327703 BQJ327703 CAF327703 CKB327703 CTX327703 DDT327703 DNP327703 DXL327703 EHH327703 ERD327703 FAZ327703 FKV327703 FUR327703 GEN327703 GOJ327703 GYF327703 HIB327703 HRX327703 IBT327703 ILP327703 IVL327703 JFH327703 JPD327703 JYZ327703 KIV327703 KSR327703 LCN327703 LMJ327703 LWF327703 MGB327703 MPX327703 MZT327703 NJP327703 NTL327703 ODH327703 OND327703 OWZ327703 PGV327703 PQR327703 QAN327703 QKJ327703 QUF327703 REB327703 RNX327703 RXT327703 SHP327703 SRL327703 TBH327703 TLD327703 TUZ327703 UEV327703 UOR327703 UYN327703 VIJ327703 VSF327703 WCB327703 WLX327703 WVT327703 V851991 JH393239 TD393239 ACZ393239 AMV393239 AWR393239 BGN393239 BQJ393239 CAF393239 CKB393239 CTX393239 DDT393239 DNP393239 DXL393239 EHH393239 ERD393239 FAZ393239 FKV393239 FUR393239 GEN393239 GOJ393239 GYF393239 HIB393239 HRX393239 IBT393239 ILP393239 IVL393239 JFH393239 JPD393239 JYZ393239 KIV393239 KSR393239 LCN393239 LMJ393239 LWF393239 MGB393239 MPX393239 MZT393239 NJP393239 NTL393239 ODH393239 OND393239 OWZ393239 PGV393239 PQR393239 QAN393239 QKJ393239 QUF393239 REB393239 RNX393239 RXT393239 SHP393239 SRL393239 TBH393239 TLD393239 TUZ393239 UEV393239 UOR393239 UYN393239 VIJ393239 VSF393239 WCB393239 WLX393239 WVT393239 V589847 JH458775 TD458775 ACZ458775 AMV458775 AWR458775 BGN458775 BQJ458775 CAF458775 CKB458775 CTX458775 DDT458775 DNP458775 DXL458775 EHH458775 ERD458775 FAZ458775 FKV458775 FUR458775 GEN458775 GOJ458775 GYF458775 HIB458775 HRX458775 IBT458775 ILP458775 IVL458775 JFH458775 JPD458775 JYZ458775 KIV458775 KSR458775 LCN458775 LMJ458775 LWF458775 MGB458775 MPX458775 MZT458775 NJP458775 NTL458775 ODH458775 OND458775 OWZ458775 PGV458775 PQR458775 QAN458775 QKJ458775 QUF458775 REB458775 RNX458775 RXT458775 SHP458775 SRL458775 TBH458775 TLD458775 TUZ458775 UEV458775 UOR458775 UYN458775 VIJ458775 VSF458775 WCB458775 WLX458775 WVT458775 V655383 JH524311 TD524311 ACZ524311 AMV524311 AWR524311 BGN524311 BQJ524311 CAF524311 CKB524311 CTX524311 DDT524311 DNP524311 DXL524311 EHH524311 ERD524311 FAZ524311 FKV524311 FUR524311 GEN524311 GOJ524311 GYF524311 HIB524311 HRX524311 IBT524311 ILP524311 IVL524311 JFH524311 JPD524311 JYZ524311 KIV524311 KSR524311 LCN524311 LMJ524311 LWF524311 MGB524311 MPX524311 MZT524311 NJP524311 NTL524311 ODH524311 OND524311 OWZ524311 PGV524311 PQR524311 QAN524311 QKJ524311 QUF524311 REB524311 RNX524311 RXT524311 SHP524311 SRL524311 TBH524311 TLD524311 TUZ524311 UEV524311 UOR524311 UYN524311 VIJ524311 VSF524311 WCB524311 WLX524311 WVT524311 V720919 JH589847 TD589847 ACZ589847 AMV589847 AWR589847 BGN589847 BQJ589847 CAF589847 CKB589847 CTX589847 DDT589847 DNP589847 DXL589847 EHH589847 ERD589847 FAZ589847 FKV589847 FUR589847 GEN589847 GOJ589847 GYF589847 HIB589847 HRX589847 IBT589847 ILP589847 IVL589847 JFH589847 JPD589847 JYZ589847 KIV589847 KSR589847 LCN589847 LMJ589847 LWF589847 MGB589847 MPX589847 MZT589847 NJP589847 NTL589847 ODH589847 OND589847 OWZ589847 PGV589847 PQR589847 QAN589847 QKJ589847 QUF589847 REB589847 RNX589847 RXT589847 SHP589847 SRL589847 TBH589847 TLD589847 TUZ589847 UEV589847 UOR589847 UYN589847 VIJ589847 VSF589847 WCB589847 WLX589847 WVT589847 V786455 JH655383 TD655383 ACZ655383 AMV655383 AWR655383 BGN655383 BQJ655383 CAF655383 CKB655383 CTX655383 DDT655383 DNP655383 DXL655383 EHH655383 ERD655383 FAZ655383 FKV655383 FUR655383 GEN655383 GOJ655383 GYF655383 HIB655383 HRX655383 IBT655383 ILP655383 IVL655383 JFH655383 JPD655383 JYZ655383 KIV655383 KSR655383 LCN655383 LMJ655383 LWF655383 MGB655383 MPX655383 MZT655383 NJP655383 NTL655383 ODH655383 OND655383 OWZ655383 PGV655383 PQR655383 QAN655383 QKJ655383 QUF655383 REB655383 RNX655383 RXT655383 SHP655383 SRL655383 TBH655383 TLD655383 TUZ655383 UEV655383 UOR655383 UYN655383 VIJ655383 VSF655383 WCB655383 WLX655383 WVT655383 V917527 JH720919 TD720919 ACZ720919 AMV720919 AWR720919 BGN720919 BQJ720919 CAF720919 CKB720919 CTX720919 DDT720919 DNP720919 DXL720919 EHH720919 ERD720919 FAZ720919 FKV720919 FUR720919 GEN720919 GOJ720919 GYF720919 HIB720919 HRX720919 IBT720919 ILP720919 IVL720919 JFH720919 JPD720919 JYZ720919 KIV720919 KSR720919 LCN720919 LMJ720919 LWF720919 MGB720919 MPX720919 MZT720919 NJP720919 NTL720919 ODH720919 OND720919 OWZ720919 PGV720919 PQR720919 QAN720919 QKJ720919 QUF720919 REB720919 RNX720919 RXT720919 SHP720919 SRL720919 TBH720919 TLD720919 TUZ720919 UEV720919 UOR720919 UYN720919 VIJ720919 VSF720919 WCB720919 WLX720919 WVT720919 V23 JH786455 TD786455 ACZ786455 AMV786455 AWR786455 BGN786455 BQJ786455 CAF786455 CKB786455 CTX786455 DDT786455 DNP786455 DXL786455 EHH786455 ERD786455 FAZ786455 FKV786455 FUR786455 GEN786455 GOJ786455 GYF786455 HIB786455 HRX786455 IBT786455 ILP786455 IVL786455 JFH786455 JPD786455 JYZ786455 KIV786455 KSR786455 LCN786455 LMJ786455 LWF786455 MGB786455 MPX786455 MZT786455 NJP786455 NTL786455 ODH786455 OND786455 OWZ786455 PGV786455 PQR786455 QAN786455 QKJ786455 QUF786455 REB786455 RNX786455 RXT786455 SHP786455 SRL786455 TBH786455 TLD786455 TUZ786455 UEV786455 UOR786455 UYN786455 VIJ786455 VSF786455 WCB786455 WLX786455 WVT786455 V983063 JH851991 TD851991 ACZ851991 AMV851991 AWR851991 BGN851991 BQJ851991 CAF851991 CKB851991 CTX851991 DDT851991 DNP851991 DXL851991 EHH851991 ERD851991 FAZ851991 FKV851991 FUR851991 GEN851991 GOJ851991 GYF851991 HIB851991 HRX851991 IBT851991 ILP851991 IVL851991 JFH851991 JPD851991 JYZ851991 KIV851991 KSR851991 LCN851991 LMJ851991 LWF851991 MGB851991 MPX851991 MZT851991 NJP851991 NTL851991 ODH851991 OND851991 OWZ851991 PGV851991 PQR851991 QAN851991 QKJ851991 QUF851991 REB851991 RNX851991 RXT851991 SHP851991 SRL851991 TBH851991 TLD851991 TUZ851991 UEV851991 UOR851991 UYN851991 VIJ851991 VSF851991 WCB851991 WLX851991 WVT851991 JH917527 TD917527 ACZ917527 AMV917527 AWR917527 BGN917527 BQJ917527 CAF917527 CKB917527 CTX917527 DDT917527 DNP917527 DXL917527 EHH917527 ERD917527 FAZ917527 FKV917527 FUR917527 GEN917527 GOJ917527 GYF917527 HIB917527 HRX917527 IBT917527 ILP917527 IVL917527 JFH917527 JPD917527 JYZ917527 KIV917527 KSR917527 LCN917527 LMJ917527 LWF917527 MGB917527 MPX917527 MZT917527 NJP917527 NTL917527 ODH917527 OND917527 OWZ917527 PGV917527 PQR917527 QAN917527 QKJ917527 QUF917527 REB917527 RNX917527 RXT917527 SHP917527 SRL917527 TBH917527 TLD917527 TUZ917527 UEV917527 UOR917527 UYN917527 VIJ917527 VSF917527 WCB917527 WLX917527 WVT917527 WVT983063 JH983063 TD983063 ACZ983063 AMV983063 AWR983063 BGN983063 BQJ983063 CAF983063 CKB983063 CTX983063 DDT983063 DNP983063 DXL983063 EHH983063 ERD983063 FAZ983063 FKV983063 FUR983063 GEN983063 GOJ983063 GYF983063 HIB983063 HRX983063 IBT983063 ILP983063 IVL983063 JFH983063 JPD983063 JYZ983063 KIV983063 KSR983063 LCN983063 LMJ983063 LWF983063 MGB983063 MPX983063 MZT983063 NJP983063 NTL983063 ODH983063 OND983063 OWZ983063 PGV983063 PQR983063 QAN983063 QKJ983063 QUF983063 REB983063 RNX983063 RXT983063 SHP983063 SRL983063 TBH983063 TLD983063 TUZ983063 UEV983063 UOR983063 UYN983063 VIJ983063 VSF983063 WCB983063 WLX983063 TB23 V65559"/>
    <dataValidation type="decimal" allowBlank="1" showErrorMessage="1" errorTitle="Ошибка" error="Допускается ввод только действительных чисел!" sqref="ACU23:ACV23 AMQ23:AMR23 AWM23:AWN23 BGI23:BGJ23 BQE23:BQF23 CAA23:CAB23 CJW23:CJX23 CTS23:CTT23 DDO23:DDP23 DNK23:DNL23 DXG23:DXH23 EHC23:EHD23 EQY23:EQZ23 FAU23:FAV23 FKQ23:FKR23 FUM23:FUN23 GEI23:GEJ23 GOE23:GOF23 GYA23:GYB23 HHW23:HHX23 HRS23:HRT23 IBO23:IBP23 ILK23:ILL23 IVG23:IVH23 JFC23:JFD23 JOY23:JOZ23 JYU23:JYV23 KIQ23:KIR23 KSM23:KSN23 LCI23:LCJ23 LME23:LMF23 LWA23:LWB23 MFW23:MFX23 MPS23:MPT23 MZO23:MZP23 NJK23:NJL23 NTG23:NTH23 ODC23:ODD23 OMY23:OMZ23 OWU23:OWV23 PGQ23:PGR23 PQM23:PQN23 QAI23:QAJ23 QKE23:QKF23 QUA23:QUB23 RDW23:RDX23 RNS23:RNT23 RXO23:RXP23 SHK23:SHL23 SRG23:SRH23 TBC23:TBD23 TKY23:TKZ23 TUU23:TUV23 UEQ23:UER23 UOM23:UON23 UYI23:UYJ23 VIE23:VIF23 VSA23:VSB23 WBW23:WBX23 WLS23:WLT23 WVO23:WVP23 Q23:R23 JC23:JD23 WVO983063:WVP983063 Q65559:R65559 JC65559:JD65559 SY65559:SZ65559 ACU65559:ACV65559 AMQ65559:AMR65559 AWM65559:AWN65559 BGI65559:BGJ65559 BQE65559:BQF65559 CAA65559:CAB65559 CJW65559:CJX65559 CTS65559:CTT65559 DDO65559:DDP65559 DNK65559:DNL65559 DXG65559:DXH65559 EHC65559:EHD65559 EQY65559:EQZ65559 FAU65559:FAV65559 FKQ65559:FKR65559 FUM65559:FUN65559 GEI65559:GEJ65559 GOE65559:GOF65559 GYA65559:GYB65559 HHW65559:HHX65559 HRS65559:HRT65559 IBO65559:IBP65559 ILK65559:ILL65559 IVG65559:IVH65559 JFC65559:JFD65559 JOY65559:JOZ65559 JYU65559:JYV65559 KIQ65559:KIR65559 KSM65559:KSN65559 LCI65559:LCJ65559 LME65559:LMF65559 LWA65559:LWB65559 MFW65559:MFX65559 MPS65559:MPT65559 MZO65559:MZP65559 NJK65559:NJL65559 NTG65559:NTH65559 ODC65559:ODD65559 OMY65559:OMZ65559 OWU65559:OWV65559 PGQ65559:PGR65559 PQM65559:PQN65559 QAI65559:QAJ65559 QKE65559:QKF65559 QUA65559:QUB65559 RDW65559:RDX65559 RNS65559:RNT65559 RXO65559:RXP65559 SHK65559:SHL65559 SRG65559:SRH65559 TBC65559:TBD65559 TKY65559:TKZ65559 TUU65559:TUV65559 UEQ65559:UER65559 UOM65559:UON65559 UYI65559:UYJ65559 VIE65559:VIF65559 VSA65559:VSB65559 WBW65559:WBX65559 WLS65559:WLT65559 WVO65559:WVP65559 Q131095:R131095 JC131095:JD131095 SY131095:SZ131095 ACU131095:ACV131095 AMQ131095:AMR131095 AWM131095:AWN131095 BGI131095:BGJ131095 BQE131095:BQF131095 CAA131095:CAB131095 CJW131095:CJX131095 CTS131095:CTT131095 DDO131095:DDP131095 DNK131095:DNL131095 DXG131095:DXH131095 EHC131095:EHD131095 EQY131095:EQZ131095 FAU131095:FAV131095 FKQ131095:FKR131095 FUM131095:FUN131095 GEI131095:GEJ131095 GOE131095:GOF131095 GYA131095:GYB131095 HHW131095:HHX131095 HRS131095:HRT131095 IBO131095:IBP131095 ILK131095:ILL131095 IVG131095:IVH131095 JFC131095:JFD131095 JOY131095:JOZ131095 JYU131095:JYV131095 KIQ131095:KIR131095 KSM131095:KSN131095 LCI131095:LCJ131095 LME131095:LMF131095 LWA131095:LWB131095 MFW131095:MFX131095 MPS131095:MPT131095 MZO131095:MZP131095 NJK131095:NJL131095 NTG131095:NTH131095 ODC131095:ODD131095 OMY131095:OMZ131095 OWU131095:OWV131095 PGQ131095:PGR131095 PQM131095:PQN131095 QAI131095:QAJ131095 QKE131095:QKF131095 QUA131095:QUB131095 RDW131095:RDX131095 RNS131095:RNT131095 RXO131095:RXP131095 SHK131095:SHL131095 SRG131095:SRH131095 TBC131095:TBD131095 TKY131095:TKZ131095 TUU131095:TUV131095 UEQ131095:UER131095 UOM131095:UON131095 UYI131095:UYJ131095 VIE131095:VIF131095 VSA131095:VSB131095 WBW131095:WBX131095 WLS131095:WLT131095 WVO131095:WVP131095 Q196631:R196631 JC196631:JD196631 SY196631:SZ196631 ACU196631:ACV196631 AMQ196631:AMR196631 AWM196631:AWN196631 BGI196631:BGJ196631 BQE196631:BQF196631 CAA196631:CAB196631 CJW196631:CJX196631 CTS196631:CTT196631 DDO196631:DDP196631 DNK196631:DNL196631 DXG196631:DXH196631 EHC196631:EHD196631 EQY196631:EQZ196631 FAU196631:FAV196631 FKQ196631:FKR196631 FUM196631:FUN196631 GEI196631:GEJ196631 GOE196631:GOF196631 GYA196631:GYB196631 HHW196631:HHX196631 HRS196631:HRT196631 IBO196631:IBP196631 ILK196631:ILL196631 IVG196631:IVH196631 JFC196631:JFD196631 JOY196631:JOZ196631 JYU196631:JYV196631 KIQ196631:KIR196631 KSM196631:KSN196631 LCI196631:LCJ196631 LME196631:LMF196631 LWA196631:LWB196631 MFW196631:MFX196631 MPS196631:MPT196631 MZO196631:MZP196631 NJK196631:NJL196631 NTG196631:NTH196631 ODC196631:ODD196631 OMY196631:OMZ196631 OWU196631:OWV196631 PGQ196631:PGR196631 PQM196631:PQN196631 QAI196631:QAJ196631 QKE196631:QKF196631 QUA196631:QUB196631 RDW196631:RDX196631 RNS196631:RNT196631 RXO196631:RXP196631 SHK196631:SHL196631 SRG196631:SRH196631 TBC196631:TBD196631 TKY196631:TKZ196631 TUU196631:TUV196631 UEQ196631:UER196631 UOM196631:UON196631 UYI196631:UYJ196631 VIE196631:VIF196631 VSA196631:VSB196631 WBW196631:WBX196631 WLS196631:WLT196631 WVO196631:WVP196631 Q262167:R262167 JC262167:JD262167 SY262167:SZ262167 ACU262167:ACV262167 AMQ262167:AMR262167 AWM262167:AWN262167 BGI262167:BGJ262167 BQE262167:BQF262167 CAA262167:CAB262167 CJW262167:CJX262167 CTS262167:CTT262167 DDO262167:DDP262167 DNK262167:DNL262167 DXG262167:DXH262167 EHC262167:EHD262167 EQY262167:EQZ262167 FAU262167:FAV262167 FKQ262167:FKR262167 FUM262167:FUN262167 GEI262167:GEJ262167 GOE262167:GOF262167 GYA262167:GYB262167 HHW262167:HHX262167 HRS262167:HRT262167 IBO262167:IBP262167 ILK262167:ILL262167 IVG262167:IVH262167 JFC262167:JFD262167 JOY262167:JOZ262167 JYU262167:JYV262167 KIQ262167:KIR262167 KSM262167:KSN262167 LCI262167:LCJ262167 LME262167:LMF262167 LWA262167:LWB262167 MFW262167:MFX262167 MPS262167:MPT262167 MZO262167:MZP262167 NJK262167:NJL262167 NTG262167:NTH262167 ODC262167:ODD262167 OMY262167:OMZ262167 OWU262167:OWV262167 PGQ262167:PGR262167 PQM262167:PQN262167 QAI262167:QAJ262167 QKE262167:QKF262167 QUA262167:QUB262167 RDW262167:RDX262167 RNS262167:RNT262167 RXO262167:RXP262167 SHK262167:SHL262167 SRG262167:SRH262167 TBC262167:TBD262167 TKY262167:TKZ262167 TUU262167:TUV262167 UEQ262167:UER262167 UOM262167:UON262167 UYI262167:UYJ262167 VIE262167:VIF262167 VSA262167:VSB262167 WBW262167:WBX262167 WLS262167:WLT262167 WVO262167:WVP262167 Q327703:R327703 JC327703:JD327703 SY327703:SZ327703 ACU327703:ACV327703 AMQ327703:AMR327703 AWM327703:AWN327703 BGI327703:BGJ327703 BQE327703:BQF327703 CAA327703:CAB327703 CJW327703:CJX327703 CTS327703:CTT327703 DDO327703:DDP327703 DNK327703:DNL327703 DXG327703:DXH327703 EHC327703:EHD327703 EQY327703:EQZ327703 FAU327703:FAV327703 FKQ327703:FKR327703 FUM327703:FUN327703 GEI327703:GEJ327703 GOE327703:GOF327703 GYA327703:GYB327703 HHW327703:HHX327703 HRS327703:HRT327703 IBO327703:IBP327703 ILK327703:ILL327703 IVG327703:IVH327703 JFC327703:JFD327703 JOY327703:JOZ327703 JYU327703:JYV327703 KIQ327703:KIR327703 KSM327703:KSN327703 LCI327703:LCJ327703 LME327703:LMF327703 LWA327703:LWB327703 MFW327703:MFX327703 MPS327703:MPT327703 MZO327703:MZP327703 NJK327703:NJL327703 NTG327703:NTH327703 ODC327703:ODD327703 OMY327703:OMZ327703 OWU327703:OWV327703 PGQ327703:PGR327703 PQM327703:PQN327703 QAI327703:QAJ327703 QKE327703:QKF327703 QUA327703:QUB327703 RDW327703:RDX327703 RNS327703:RNT327703 RXO327703:RXP327703 SHK327703:SHL327703 SRG327703:SRH327703 TBC327703:TBD327703 TKY327703:TKZ327703 TUU327703:TUV327703 UEQ327703:UER327703 UOM327703:UON327703 UYI327703:UYJ327703 VIE327703:VIF327703 VSA327703:VSB327703 WBW327703:WBX327703 WLS327703:WLT327703 WVO327703:WVP327703 Q393239:R393239 JC393239:JD393239 SY393239:SZ393239 ACU393239:ACV393239 AMQ393239:AMR393239 AWM393239:AWN393239 BGI393239:BGJ393239 BQE393239:BQF393239 CAA393239:CAB393239 CJW393239:CJX393239 CTS393239:CTT393239 DDO393239:DDP393239 DNK393239:DNL393239 DXG393239:DXH393239 EHC393239:EHD393239 EQY393239:EQZ393239 FAU393239:FAV393239 FKQ393239:FKR393239 FUM393239:FUN393239 GEI393239:GEJ393239 GOE393239:GOF393239 GYA393239:GYB393239 HHW393239:HHX393239 HRS393239:HRT393239 IBO393239:IBP393239 ILK393239:ILL393239 IVG393239:IVH393239 JFC393239:JFD393239 JOY393239:JOZ393239 JYU393239:JYV393239 KIQ393239:KIR393239 KSM393239:KSN393239 LCI393239:LCJ393239 LME393239:LMF393239 LWA393239:LWB393239 MFW393239:MFX393239 MPS393239:MPT393239 MZO393239:MZP393239 NJK393239:NJL393239 NTG393239:NTH393239 ODC393239:ODD393239 OMY393239:OMZ393239 OWU393239:OWV393239 PGQ393239:PGR393239 PQM393239:PQN393239 QAI393239:QAJ393239 QKE393239:QKF393239 QUA393239:QUB393239 RDW393239:RDX393239 RNS393239:RNT393239 RXO393239:RXP393239 SHK393239:SHL393239 SRG393239:SRH393239 TBC393239:TBD393239 TKY393239:TKZ393239 TUU393239:TUV393239 UEQ393239:UER393239 UOM393239:UON393239 UYI393239:UYJ393239 VIE393239:VIF393239 VSA393239:VSB393239 WBW393239:WBX393239 WLS393239:WLT393239 WVO393239:WVP393239 Q458775:R458775 JC458775:JD458775 SY458775:SZ458775 ACU458775:ACV458775 AMQ458775:AMR458775 AWM458775:AWN458775 BGI458775:BGJ458775 BQE458775:BQF458775 CAA458775:CAB458775 CJW458775:CJX458775 CTS458775:CTT458775 DDO458775:DDP458775 DNK458775:DNL458775 DXG458775:DXH458775 EHC458775:EHD458775 EQY458775:EQZ458775 FAU458775:FAV458775 FKQ458775:FKR458775 FUM458775:FUN458775 GEI458775:GEJ458775 GOE458775:GOF458775 GYA458775:GYB458775 HHW458775:HHX458775 HRS458775:HRT458775 IBO458775:IBP458775 ILK458775:ILL458775 IVG458775:IVH458775 JFC458775:JFD458775 JOY458775:JOZ458775 JYU458775:JYV458775 KIQ458775:KIR458775 KSM458775:KSN458775 LCI458775:LCJ458775 LME458775:LMF458775 LWA458775:LWB458775 MFW458775:MFX458775 MPS458775:MPT458775 MZO458775:MZP458775 NJK458775:NJL458775 NTG458775:NTH458775 ODC458775:ODD458775 OMY458775:OMZ458775 OWU458775:OWV458775 PGQ458775:PGR458775 PQM458775:PQN458775 QAI458775:QAJ458775 QKE458775:QKF458775 QUA458775:QUB458775 RDW458775:RDX458775 RNS458775:RNT458775 RXO458775:RXP458775 SHK458775:SHL458775 SRG458775:SRH458775 TBC458775:TBD458775 TKY458775:TKZ458775 TUU458775:TUV458775 UEQ458775:UER458775 UOM458775:UON458775 UYI458775:UYJ458775 VIE458775:VIF458775 VSA458775:VSB458775 WBW458775:WBX458775 WLS458775:WLT458775 WVO458775:WVP458775 Q524311:R524311 JC524311:JD524311 SY524311:SZ524311 ACU524311:ACV524311 AMQ524311:AMR524311 AWM524311:AWN524311 BGI524311:BGJ524311 BQE524311:BQF524311 CAA524311:CAB524311 CJW524311:CJX524311 CTS524311:CTT524311 DDO524311:DDP524311 DNK524311:DNL524311 DXG524311:DXH524311 EHC524311:EHD524311 EQY524311:EQZ524311 FAU524311:FAV524311 FKQ524311:FKR524311 FUM524311:FUN524311 GEI524311:GEJ524311 GOE524311:GOF524311 GYA524311:GYB524311 HHW524311:HHX524311 HRS524311:HRT524311 IBO524311:IBP524311 ILK524311:ILL524311 IVG524311:IVH524311 JFC524311:JFD524311 JOY524311:JOZ524311 JYU524311:JYV524311 KIQ524311:KIR524311 KSM524311:KSN524311 LCI524311:LCJ524311 LME524311:LMF524311 LWA524311:LWB524311 MFW524311:MFX524311 MPS524311:MPT524311 MZO524311:MZP524311 NJK524311:NJL524311 NTG524311:NTH524311 ODC524311:ODD524311 OMY524311:OMZ524311 OWU524311:OWV524311 PGQ524311:PGR524311 PQM524311:PQN524311 QAI524311:QAJ524311 QKE524311:QKF524311 QUA524311:QUB524311 RDW524311:RDX524311 RNS524311:RNT524311 RXO524311:RXP524311 SHK524311:SHL524311 SRG524311:SRH524311 TBC524311:TBD524311 TKY524311:TKZ524311 TUU524311:TUV524311 UEQ524311:UER524311 UOM524311:UON524311 UYI524311:UYJ524311 VIE524311:VIF524311 VSA524311:VSB524311 WBW524311:WBX524311 WLS524311:WLT524311 WVO524311:WVP524311 Q589847:R589847 JC589847:JD589847 SY589847:SZ589847 ACU589847:ACV589847 AMQ589847:AMR589847 AWM589847:AWN589847 BGI589847:BGJ589847 BQE589847:BQF589847 CAA589847:CAB589847 CJW589847:CJX589847 CTS589847:CTT589847 DDO589847:DDP589847 DNK589847:DNL589847 DXG589847:DXH589847 EHC589847:EHD589847 EQY589847:EQZ589847 FAU589847:FAV589847 FKQ589847:FKR589847 FUM589847:FUN589847 GEI589847:GEJ589847 GOE589847:GOF589847 GYA589847:GYB589847 HHW589847:HHX589847 HRS589847:HRT589847 IBO589847:IBP589847 ILK589847:ILL589847 IVG589847:IVH589847 JFC589847:JFD589847 JOY589847:JOZ589847 JYU589847:JYV589847 KIQ589847:KIR589847 KSM589847:KSN589847 LCI589847:LCJ589847 LME589847:LMF589847 LWA589847:LWB589847 MFW589847:MFX589847 MPS589847:MPT589847 MZO589847:MZP589847 NJK589847:NJL589847 NTG589847:NTH589847 ODC589847:ODD589847 OMY589847:OMZ589847 OWU589847:OWV589847 PGQ589847:PGR589847 PQM589847:PQN589847 QAI589847:QAJ589847 QKE589847:QKF589847 QUA589847:QUB589847 RDW589847:RDX589847 RNS589847:RNT589847 RXO589847:RXP589847 SHK589847:SHL589847 SRG589847:SRH589847 TBC589847:TBD589847 TKY589847:TKZ589847 TUU589847:TUV589847 UEQ589847:UER589847 UOM589847:UON589847 UYI589847:UYJ589847 VIE589847:VIF589847 VSA589847:VSB589847 WBW589847:WBX589847 WLS589847:WLT589847 WVO589847:WVP589847 Q655383:R655383 JC655383:JD655383 SY655383:SZ655383 ACU655383:ACV655383 AMQ655383:AMR655383 AWM655383:AWN655383 BGI655383:BGJ655383 BQE655383:BQF655383 CAA655383:CAB655383 CJW655383:CJX655383 CTS655383:CTT655383 DDO655383:DDP655383 DNK655383:DNL655383 DXG655383:DXH655383 EHC655383:EHD655383 EQY655383:EQZ655383 FAU655383:FAV655383 FKQ655383:FKR655383 FUM655383:FUN655383 GEI655383:GEJ655383 GOE655383:GOF655383 GYA655383:GYB655383 HHW655383:HHX655383 HRS655383:HRT655383 IBO655383:IBP655383 ILK655383:ILL655383 IVG655383:IVH655383 JFC655383:JFD655383 JOY655383:JOZ655383 JYU655383:JYV655383 KIQ655383:KIR655383 KSM655383:KSN655383 LCI655383:LCJ655383 LME655383:LMF655383 LWA655383:LWB655383 MFW655383:MFX655383 MPS655383:MPT655383 MZO655383:MZP655383 NJK655383:NJL655383 NTG655383:NTH655383 ODC655383:ODD655383 OMY655383:OMZ655383 OWU655383:OWV655383 PGQ655383:PGR655383 PQM655383:PQN655383 QAI655383:QAJ655383 QKE655383:QKF655383 QUA655383:QUB655383 RDW655383:RDX655383 RNS655383:RNT655383 RXO655383:RXP655383 SHK655383:SHL655383 SRG655383:SRH655383 TBC655383:TBD655383 TKY655383:TKZ655383 TUU655383:TUV655383 UEQ655383:UER655383 UOM655383:UON655383 UYI655383:UYJ655383 VIE655383:VIF655383 VSA655383:VSB655383 WBW655383:WBX655383 WLS655383:WLT655383 WVO655383:WVP655383 Q720919:R720919 JC720919:JD720919 SY720919:SZ720919 ACU720919:ACV720919 AMQ720919:AMR720919 AWM720919:AWN720919 BGI720919:BGJ720919 BQE720919:BQF720919 CAA720919:CAB720919 CJW720919:CJX720919 CTS720919:CTT720919 DDO720919:DDP720919 DNK720919:DNL720919 DXG720919:DXH720919 EHC720919:EHD720919 EQY720919:EQZ720919 FAU720919:FAV720919 FKQ720919:FKR720919 FUM720919:FUN720919 GEI720919:GEJ720919 GOE720919:GOF720919 GYA720919:GYB720919 HHW720919:HHX720919 HRS720919:HRT720919 IBO720919:IBP720919 ILK720919:ILL720919 IVG720919:IVH720919 JFC720919:JFD720919 JOY720919:JOZ720919 JYU720919:JYV720919 KIQ720919:KIR720919 KSM720919:KSN720919 LCI720919:LCJ720919 LME720919:LMF720919 LWA720919:LWB720919 MFW720919:MFX720919 MPS720919:MPT720919 MZO720919:MZP720919 NJK720919:NJL720919 NTG720919:NTH720919 ODC720919:ODD720919 OMY720919:OMZ720919 OWU720919:OWV720919 PGQ720919:PGR720919 PQM720919:PQN720919 QAI720919:QAJ720919 QKE720919:QKF720919 QUA720919:QUB720919 RDW720919:RDX720919 RNS720919:RNT720919 RXO720919:RXP720919 SHK720919:SHL720919 SRG720919:SRH720919 TBC720919:TBD720919 TKY720919:TKZ720919 TUU720919:TUV720919 UEQ720919:UER720919 UOM720919:UON720919 UYI720919:UYJ720919 VIE720919:VIF720919 VSA720919:VSB720919 WBW720919:WBX720919 WLS720919:WLT720919 WVO720919:WVP720919 Q786455:R786455 JC786455:JD786455 SY786455:SZ786455 ACU786455:ACV786455 AMQ786455:AMR786455 AWM786455:AWN786455 BGI786455:BGJ786455 BQE786455:BQF786455 CAA786455:CAB786455 CJW786455:CJX786455 CTS786455:CTT786455 DDO786455:DDP786455 DNK786455:DNL786455 DXG786455:DXH786455 EHC786455:EHD786455 EQY786455:EQZ786455 FAU786455:FAV786455 FKQ786455:FKR786455 FUM786455:FUN786455 GEI786455:GEJ786455 GOE786455:GOF786455 GYA786455:GYB786455 HHW786455:HHX786455 HRS786455:HRT786455 IBO786455:IBP786455 ILK786455:ILL786455 IVG786455:IVH786455 JFC786455:JFD786455 JOY786455:JOZ786455 JYU786455:JYV786455 KIQ786455:KIR786455 KSM786455:KSN786455 LCI786455:LCJ786455 LME786455:LMF786455 LWA786455:LWB786455 MFW786455:MFX786455 MPS786455:MPT786455 MZO786455:MZP786455 NJK786455:NJL786455 NTG786455:NTH786455 ODC786455:ODD786455 OMY786455:OMZ786455 OWU786455:OWV786455 PGQ786455:PGR786455 PQM786455:PQN786455 QAI786455:QAJ786455 QKE786455:QKF786455 QUA786455:QUB786455 RDW786455:RDX786455 RNS786455:RNT786455 RXO786455:RXP786455 SHK786455:SHL786455 SRG786455:SRH786455 TBC786455:TBD786455 TKY786455:TKZ786455 TUU786455:TUV786455 UEQ786455:UER786455 UOM786455:UON786455 UYI786455:UYJ786455 VIE786455:VIF786455 VSA786455:VSB786455 WBW786455:WBX786455 WLS786455:WLT786455 WVO786455:WVP786455 Q851991:R851991 JC851991:JD851991 SY851991:SZ851991 ACU851991:ACV851991 AMQ851991:AMR851991 AWM851991:AWN851991 BGI851991:BGJ851991 BQE851991:BQF851991 CAA851991:CAB851991 CJW851991:CJX851991 CTS851991:CTT851991 DDO851991:DDP851991 DNK851991:DNL851991 DXG851991:DXH851991 EHC851991:EHD851991 EQY851991:EQZ851991 FAU851991:FAV851991 FKQ851991:FKR851991 FUM851991:FUN851991 GEI851991:GEJ851991 GOE851991:GOF851991 GYA851991:GYB851991 HHW851991:HHX851991 HRS851991:HRT851991 IBO851991:IBP851991 ILK851991:ILL851991 IVG851991:IVH851991 JFC851991:JFD851991 JOY851991:JOZ851991 JYU851991:JYV851991 KIQ851991:KIR851991 KSM851991:KSN851991 LCI851991:LCJ851991 LME851991:LMF851991 LWA851991:LWB851991 MFW851991:MFX851991 MPS851991:MPT851991 MZO851991:MZP851991 NJK851991:NJL851991 NTG851991:NTH851991 ODC851991:ODD851991 OMY851991:OMZ851991 OWU851991:OWV851991 PGQ851991:PGR851991 PQM851991:PQN851991 QAI851991:QAJ851991 QKE851991:QKF851991 QUA851991:QUB851991 RDW851991:RDX851991 RNS851991:RNT851991 RXO851991:RXP851991 SHK851991:SHL851991 SRG851991:SRH851991 TBC851991:TBD851991 TKY851991:TKZ851991 TUU851991:TUV851991 UEQ851991:UER851991 UOM851991:UON851991 UYI851991:UYJ851991 VIE851991:VIF851991 VSA851991:VSB851991 WBW851991:WBX851991 WLS851991:WLT851991 WVO851991:WVP851991 Q917527:R917527 JC917527:JD917527 SY917527:SZ917527 ACU917527:ACV917527 AMQ917527:AMR917527 AWM917527:AWN917527 BGI917527:BGJ917527 BQE917527:BQF917527 CAA917527:CAB917527 CJW917527:CJX917527 CTS917527:CTT917527 DDO917527:DDP917527 DNK917527:DNL917527 DXG917527:DXH917527 EHC917527:EHD917527 EQY917527:EQZ917527 FAU917527:FAV917527 FKQ917527:FKR917527 FUM917527:FUN917527 GEI917527:GEJ917527 GOE917527:GOF917527 GYA917527:GYB917527 HHW917527:HHX917527 HRS917527:HRT917527 IBO917527:IBP917527 ILK917527:ILL917527 IVG917527:IVH917527 JFC917527:JFD917527 JOY917527:JOZ917527 JYU917527:JYV917527 KIQ917527:KIR917527 KSM917527:KSN917527 LCI917527:LCJ917527 LME917527:LMF917527 LWA917527:LWB917527 MFW917527:MFX917527 MPS917527:MPT917527 MZO917527:MZP917527 NJK917527:NJL917527 NTG917527:NTH917527 ODC917527:ODD917527 OMY917527:OMZ917527 OWU917527:OWV917527 PGQ917527:PGR917527 PQM917527:PQN917527 QAI917527:QAJ917527 QKE917527:QKF917527 QUA917527:QUB917527 RDW917527:RDX917527 RNS917527:RNT917527 RXO917527:RXP917527 SHK917527:SHL917527 SRG917527:SRH917527 TBC917527:TBD917527 TKY917527:TKZ917527 TUU917527:TUV917527 UEQ917527:UER917527 UOM917527:UON917527 UYI917527:UYJ917527 VIE917527:VIF917527 VSA917527:VSB917527 WBW917527:WBX917527 WLS917527:WLT917527 WVO917527:WVP917527 Q983063:R983063 JC983063:JD983063 SY983063:SZ983063 ACU983063:ACV983063 AMQ983063:AMR983063 AWM983063:AWN983063 BGI983063:BGJ983063 BQE983063:BQF983063 CAA983063:CAB983063 CJW983063:CJX983063 CTS983063:CTT983063 DDO983063:DDP983063 DNK983063:DNL983063 DXG983063:DXH983063 EHC983063:EHD983063 EQY983063:EQZ983063 FAU983063:FAV983063 FKQ983063:FKR983063 FUM983063:FUN983063 GEI983063:GEJ983063 GOE983063:GOF983063 GYA983063:GYB983063 HHW983063:HHX983063 HRS983063:HRT983063 IBO983063:IBP983063 ILK983063:ILL983063 IVG983063:IVH983063 JFC983063:JFD983063 JOY983063:JOZ983063 JYU983063:JYV983063 KIQ983063:KIR983063 KSM983063:KSN983063 LCI983063:LCJ983063 LME983063:LMF983063 LWA983063:LWB983063 MFW983063:MFX983063 MPS983063:MPT983063 MZO983063:MZP983063 NJK983063:NJL983063 NTG983063:NTH983063 ODC983063:ODD983063 OMY983063:OMZ983063 OWU983063:OWV983063 PGQ983063:PGR983063 PQM983063:PQN983063 QAI983063:QAJ983063 QKE983063:QKF983063 QUA983063:QUB983063 RDW983063:RDX983063 RNS983063:RNT983063 RXO983063:RXP983063 SHK983063:SHL983063 SRG983063:SRH983063 TBC983063:TBD983063 TKY983063:TKZ983063 TUU983063:TUV983063 UEQ983063:UER983063 UOM983063:UON983063 UYI983063:UYJ983063 VIE983063:VIF983063 VSA983063:VSB983063 WBW983063:WBX983063 WLS983063:WLT983063 SY23:SZ23">
      <formula1>-9.99999999999999E+23</formula1>
      <formula2>9.99999999999999E+23</formula2>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Y23 AMU23 AWQ23 BGM23 BQI23 CAE23 CKA23 CTW23 DDS23 DNO23 DXK23 EHG23 ERC23 FAY23 FKU23 FUQ23 GEM23 GOI23 GYE23 HIA23 HRW23 IBS23 ILO23 IVK23 JFG23 JPC23 JYY23 KIU23 KSQ23 LCM23 LMI23 LWE23 MGA23 MPW23 MZS23 NJO23 NTK23 ODG23 ONC23 OWY23 PGU23 PQQ23 QAM23 QKI23 QUE23 REA23 RNW23 RXS23 SHO23 SRK23 TBG23 TLC23 TUY23 UEU23 UOQ23 UYM23 VII23 VSE23 WCA23 WLW23 WVS23 S23 JE23 TA23 U65559 JG65559 TC65559 ACY65559 AMU65559 AWQ65559 BGM65559 BQI65559 CAE65559 CKA65559 CTW65559 DDS65559 DNO65559 DXK65559 EHG65559 ERC65559 FAY65559 FKU65559 FUQ65559 GEM65559 GOI65559 GYE65559 HIA65559 HRW65559 IBS65559 ILO65559 IVK65559 JFG65559 JPC65559 JYY65559 KIU65559 KSQ65559 LCM65559 LMI65559 LWE65559 MGA65559 MPW65559 MZS65559 NJO65559 NTK65559 ODG65559 ONC65559 OWY65559 PGU65559 PQQ65559 QAM65559 QKI65559 QUE65559 REA65559 RNW65559 RXS65559 SHO65559 SRK65559 TBG65559 TLC65559 TUY65559 UEU65559 UOQ65559 UYM65559 VII65559 VSE65559 WCA65559 WLW65559 WVS65559 U131095 JG131095 TC131095 ACY131095 AMU131095 AWQ131095 BGM131095 BQI131095 CAE131095 CKA131095 CTW131095 DDS131095 DNO131095 DXK131095 EHG131095 ERC131095 FAY131095 FKU131095 FUQ131095 GEM131095 GOI131095 GYE131095 HIA131095 HRW131095 IBS131095 ILO131095 IVK131095 JFG131095 JPC131095 JYY131095 KIU131095 KSQ131095 LCM131095 LMI131095 LWE131095 MGA131095 MPW131095 MZS131095 NJO131095 NTK131095 ODG131095 ONC131095 OWY131095 PGU131095 PQQ131095 QAM131095 QKI131095 QUE131095 REA131095 RNW131095 RXS131095 SHO131095 SRK131095 TBG131095 TLC131095 TUY131095 UEU131095 UOQ131095 UYM131095 VII131095 VSE131095 WCA131095 WLW131095 WVS131095 U196631 JG196631 TC196631 ACY196631 AMU196631 AWQ196631 BGM196631 BQI196631 CAE196631 CKA196631 CTW196631 DDS196631 DNO196631 DXK196631 EHG196631 ERC196631 FAY196631 FKU196631 FUQ196631 GEM196631 GOI196631 GYE196631 HIA196631 HRW196631 IBS196631 ILO196631 IVK196631 JFG196631 JPC196631 JYY196631 KIU196631 KSQ196631 LCM196631 LMI196631 LWE196631 MGA196631 MPW196631 MZS196631 NJO196631 NTK196631 ODG196631 ONC196631 OWY196631 PGU196631 PQQ196631 QAM196631 QKI196631 QUE196631 REA196631 RNW196631 RXS196631 SHO196631 SRK196631 TBG196631 TLC196631 TUY196631 UEU196631 UOQ196631 UYM196631 VII196631 VSE196631 WCA196631 WLW196631 WVS196631 U262167 JG262167 TC262167 ACY262167 AMU262167 AWQ262167 BGM262167 BQI262167 CAE262167 CKA262167 CTW262167 DDS262167 DNO262167 DXK262167 EHG262167 ERC262167 FAY262167 FKU262167 FUQ262167 GEM262167 GOI262167 GYE262167 HIA262167 HRW262167 IBS262167 ILO262167 IVK262167 JFG262167 JPC262167 JYY262167 KIU262167 KSQ262167 LCM262167 LMI262167 LWE262167 MGA262167 MPW262167 MZS262167 NJO262167 NTK262167 ODG262167 ONC262167 OWY262167 PGU262167 PQQ262167 QAM262167 QKI262167 QUE262167 REA262167 RNW262167 RXS262167 SHO262167 SRK262167 TBG262167 TLC262167 TUY262167 UEU262167 UOQ262167 UYM262167 VII262167 VSE262167 WCA262167 WLW262167 WVS262167 U327703 JG327703 TC327703 ACY327703 AMU327703 AWQ327703 BGM327703 BQI327703 CAE327703 CKA327703 CTW327703 DDS327703 DNO327703 DXK327703 EHG327703 ERC327703 FAY327703 FKU327703 FUQ327703 GEM327703 GOI327703 GYE327703 HIA327703 HRW327703 IBS327703 ILO327703 IVK327703 JFG327703 JPC327703 JYY327703 KIU327703 KSQ327703 LCM327703 LMI327703 LWE327703 MGA327703 MPW327703 MZS327703 NJO327703 NTK327703 ODG327703 ONC327703 OWY327703 PGU327703 PQQ327703 QAM327703 QKI327703 QUE327703 REA327703 RNW327703 RXS327703 SHO327703 SRK327703 TBG327703 TLC327703 TUY327703 UEU327703 UOQ327703 UYM327703 VII327703 VSE327703 WCA327703 WLW327703 WVS327703 U393239 JG393239 TC393239 ACY393239 AMU393239 AWQ393239 BGM393239 BQI393239 CAE393239 CKA393239 CTW393239 DDS393239 DNO393239 DXK393239 EHG393239 ERC393239 FAY393239 FKU393239 FUQ393239 GEM393239 GOI393239 GYE393239 HIA393239 HRW393239 IBS393239 ILO393239 IVK393239 JFG393239 JPC393239 JYY393239 KIU393239 KSQ393239 LCM393239 LMI393239 LWE393239 MGA393239 MPW393239 MZS393239 NJO393239 NTK393239 ODG393239 ONC393239 OWY393239 PGU393239 PQQ393239 QAM393239 QKI393239 QUE393239 REA393239 RNW393239 RXS393239 SHO393239 SRK393239 TBG393239 TLC393239 TUY393239 UEU393239 UOQ393239 UYM393239 VII393239 VSE393239 WCA393239 WLW393239 WVS393239 U458775 JG458775 TC458775 ACY458775 AMU458775 AWQ458775 BGM458775 BQI458775 CAE458775 CKA458775 CTW458775 DDS458775 DNO458775 DXK458775 EHG458775 ERC458775 FAY458775 FKU458775 FUQ458775 GEM458775 GOI458775 GYE458775 HIA458775 HRW458775 IBS458775 ILO458775 IVK458775 JFG458775 JPC458775 JYY458775 KIU458775 KSQ458775 LCM458775 LMI458775 LWE458775 MGA458775 MPW458775 MZS458775 NJO458775 NTK458775 ODG458775 ONC458775 OWY458775 PGU458775 PQQ458775 QAM458775 QKI458775 QUE458775 REA458775 RNW458775 RXS458775 SHO458775 SRK458775 TBG458775 TLC458775 TUY458775 UEU458775 UOQ458775 UYM458775 VII458775 VSE458775 WCA458775 WLW458775 WVS458775 U524311 JG524311 TC524311 ACY524311 AMU524311 AWQ524311 BGM524311 BQI524311 CAE524311 CKA524311 CTW524311 DDS524311 DNO524311 DXK524311 EHG524311 ERC524311 FAY524311 FKU524311 FUQ524311 GEM524311 GOI524311 GYE524311 HIA524311 HRW524311 IBS524311 ILO524311 IVK524311 JFG524311 JPC524311 JYY524311 KIU524311 KSQ524311 LCM524311 LMI524311 LWE524311 MGA524311 MPW524311 MZS524311 NJO524311 NTK524311 ODG524311 ONC524311 OWY524311 PGU524311 PQQ524311 QAM524311 QKI524311 QUE524311 REA524311 RNW524311 RXS524311 SHO524311 SRK524311 TBG524311 TLC524311 TUY524311 UEU524311 UOQ524311 UYM524311 VII524311 VSE524311 WCA524311 WLW524311 WVS524311 U589847 JG589847 TC589847 ACY589847 AMU589847 AWQ589847 BGM589847 BQI589847 CAE589847 CKA589847 CTW589847 DDS589847 DNO589847 DXK589847 EHG589847 ERC589847 FAY589847 FKU589847 FUQ589847 GEM589847 GOI589847 GYE589847 HIA589847 HRW589847 IBS589847 ILO589847 IVK589847 JFG589847 JPC589847 JYY589847 KIU589847 KSQ589847 LCM589847 LMI589847 LWE589847 MGA589847 MPW589847 MZS589847 NJO589847 NTK589847 ODG589847 ONC589847 OWY589847 PGU589847 PQQ589847 QAM589847 QKI589847 QUE589847 REA589847 RNW589847 RXS589847 SHO589847 SRK589847 TBG589847 TLC589847 TUY589847 UEU589847 UOQ589847 UYM589847 VII589847 VSE589847 WCA589847 WLW589847 WVS589847 U655383 JG655383 TC655383 ACY655383 AMU655383 AWQ655383 BGM655383 BQI655383 CAE655383 CKA655383 CTW655383 DDS655383 DNO655383 DXK655383 EHG655383 ERC655383 FAY655383 FKU655383 FUQ655383 GEM655383 GOI655383 GYE655383 HIA655383 HRW655383 IBS655383 ILO655383 IVK655383 JFG655383 JPC655383 JYY655383 KIU655383 KSQ655383 LCM655383 LMI655383 LWE655383 MGA655383 MPW655383 MZS655383 NJO655383 NTK655383 ODG655383 ONC655383 OWY655383 PGU655383 PQQ655383 QAM655383 QKI655383 QUE655383 REA655383 RNW655383 RXS655383 SHO655383 SRK655383 TBG655383 TLC655383 TUY655383 UEU655383 UOQ655383 UYM655383 VII655383 VSE655383 WCA655383 WLW655383 WVS655383 U720919 JG720919 TC720919 ACY720919 AMU720919 AWQ720919 BGM720919 BQI720919 CAE720919 CKA720919 CTW720919 DDS720919 DNO720919 DXK720919 EHG720919 ERC720919 FAY720919 FKU720919 FUQ720919 GEM720919 GOI720919 GYE720919 HIA720919 HRW720919 IBS720919 ILO720919 IVK720919 JFG720919 JPC720919 JYY720919 KIU720919 KSQ720919 LCM720919 LMI720919 LWE720919 MGA720919 MPW720919 MZS720919 NJO720919 NTK720919 ODG720919 ONC720919 OWY720919 PGU720919 PQQ720919 QAM720919 QKI720919 QUE720919 REA720919 RNW720919 RXS720919 SHO720919 SRK720919 TBG720919 TLC720919 TUY720919 UEU720919 UOQ720919 UYM720919 VII720919 VSE720919 WCA720919 WLW720919 WVS720919 U786455 JG786455 TC786455 ACY786455 AMU786455 AWQ786455 BGM786455 BQI786455 CAE786455 CKA786455 CTW786455 DDS786455 DNO786455 DXK786455 EHG786455 ERC786455 FAY786455 FKU786455 FUQ786455 GEM786455 GOI786455 GYE786455 HIA786455 HRW786455 IBS786455 ILO786455 IVK786455 JFG786455 JPC786455 JYY786455 KIU786455 KSQ786455 LCM786455 LMI786455 LWE786455 MGA786455 MPW786455 MZS786455 NJO786455 NTK786455 ODG786455 ONC786455 OWY786455 PGU786455 PQQ786455 QAM786455 QKI786455 QUE786455 REA786455 RNW786455 RXS786455 SHO786455 SRK786455 TBG786455 TLC786455 TUY786455 UEU786455 UOQ786455 UYM786455 VII786455 VSE786455 WCA786455 WLW786455 WVS786455 U851991 JG851991 TC851991 ACY851991 AMU851991 AWQ851991 BGM851991 BQI851991 CAE851991 CKA851991 CTW851991 DDS851991 DNO851991 DXK851991 EHG851991 ERC851991 FAY851991 FKU851991 FUQ851991 GEM851991 GOI851991 GYE851991 HIA851991 HRW851991 IBS851991 ILO851991 IVK851991 JFG851991 JPC851991 JYY851991 KIU851991 KSQ851991 LCM851991 LMI851991 LWE851991 MGA851991 MPW851991 MZS851991 NJO851991 NTK851991 ODG851991 ONC851991 OWY851991 PGU851991 PQQ851991 QAM851991 QKI851991 QUE851991 REA851991 RNW851991 RXS851991 SHO851991 SRK851991 TBG851991 TLC851991 TUY851991 UEU851991 UOQ851991 UYM851991 VII851991 VSE851991 WCA851991 WLW851991 WVS851991 U917527 JG917527 TC917527 ACY917527 AMU917527 AWQ917527 BGM917527 BQI917527 CAE917527 CKA917527 CTW917527 DDS917527 DNO917527 DXK917527 EHG917527 ERC917527 FAY917527 FKU917527 FUQ917527 GEM917527 GOI917527 GYE917527 HIA917527 HRW917527 IBS917527 ILO917527 IVK917527 JFG917527 JPC917527 JYY917527 KIU917527 KSQ917527 LCM917527 LMI917527 LWE917527 MGA917527 MPW917527 MZS917527 NJO917527 NTK917527 ODG917527 ONC917527 OWY917527 PGU917527 PQQ917527 QAM917527 QKI917527 QUE917527 REA917527 RNW917527 RXS917527 SHO917527 SRK917527 TBG917527 TLC917527 TUY917527 UEU917527 UOQ917527 UYM917527 VII917527 VSE917527 WCA917527 WLW917527 WVS917527 U983063 JG983063 TC983063 ACY983063 AMU983063 AWQ983063 BGM983063 BQI983063 CAE983063 CKA983063 CTW983063 DDS983063 DNO983063 DXK983063 EHG983063 ERC983063 FAY983063 FKU983063 FUQ983063 GEM983063 GOI983063 GYE983063 HIA983063 HRW983063 IBS983063 ILO983063 IVK983063 JFG983063 JPC983063 JYY983063 KIU983063 KSQ983063 LCM983063 LMI983063 LWE983063 MGA983063 MPW983063 MZS983063 NJO983063 NTK983063 ODG983063 ONC983063 OWY983063 PGU983063 PQQ983063 QAM983063 QKI983063 QUE983063 REA983063 RNW983063 RXS983063 SHO983063 SRK983063 TBG983063 TLC983063 TUY983063 UEU983063 UOQ983063 UYM983063 VII983063 VSE983063 WCA983063 WLW983063 WVS983063 ACW23 AMS23 AWO23 BGK23 BQG23 CAC23 CJY23 CTU23 DDQ23 DNM23 DXI23 EHE23 ERA23 FAW23 FKS23 FUO23 GEK23 GOG23 GYC23 HHY23 HRU23 IBQ23 ILM23 IVI23 JFE23 JPA23 JYW23 KIS23 KSO23 LCK23 LMG23 LWC23 MFY23 MPU23 MZQ23 NJM23 NTI23 ODE23 ONA23 OWW23 PGS23 PQO23 QAK23 QKG23 QUC23 RDY23 RNU23 RXQ23 SHM23 SRI23 TBE23 TLA23 TUW23 UES23 UOO23 UYK23 VIG23 VSC23 WBY23 WLU23 WVQ23 JG23 WVQ983063 S65559 JE65559 TA65559 ACW65559 AMS65559 AWO65559 BGK65559 BQG65559 CAC65559 CJY65559 CTU65559 DDQ65559 DNM65559 DXI65559 EHE65559 ERA65559 FAW65559 FKS65559 FUO65559 GEK65559 GOG65559 GYC65559 HHY65559 HRU65559 IBQ65559 ILM65559 IVI65559 JFE65559 JPA65559 JYW65559 KIS65559 KSO65559 LCK65559 LMG65559 LWC65559 MFY65559 MPU65559 MZQ65559 NJM65559 NTI65559 ODE65559 ONA65559 OWW65559 PGS65559 PQO65559 QAK65559 QKG65559 QUC65559 RDY65559 RNU65559 RXQ65559 SHM65559 SRI65559 TBE65559 TLA65559 TUW65559 UES65559 UOO65559 UYK65559 VIG65559 VSC65559 WBY65559 WLU65559 WVQ65559 S131095 JE131095 TA131095 ACW131095 AMS131095 AWO131095 BGK131095 BQG131095 CAC131095 CJY131095 CTU131095 DDQ131095 DNM131095 DXI131095 EHE131095 ERA131095 FAW131095 FKS131095 FUO131095 GEK131095 GOG131095 GYC131095 HHY131095 HRU131095 IBQ131095 ILM131095 IVI131095 JFE131095 JPA131095 JYW131095 KIS131095 KSO131095 LCK131095 LMG131095 LWC131095 MFY131095 MPU131095 MZQ131095 NJM131095 NTI131095 ODE131095 ONA131095 OWW131095 PGS131095 PQO131095 QAK131095 QKG131095 QUC131095 RDY131095 RNU131095 RXQ131095 SHM131095 SRI131095 TBE131095 TLA131095 TUW131095 UES131095 UOO131095 UYK131095 VIG131095 VSC131095 WBY131095 WLU131095 WVQ131095 S196631 JE196631 TA196631 ACW196631 AMS196631 AWO196631 BGK196631 BQG196631 CAC196631 CJY196631 CTU196631 DDQ196631 DNM196631 DXI196631 EHE196631 ERA196631 FAW196631 FKS196631 FUO196631 GEK196631 GOG196631 GYC196631 HHY196631 HRU196631 IBQ196631 ILM196631 IVI196631 JFE196631 JPA196631 JYW196631 KIS196631 KSO196631 LCK196631 LMG196631 LWC196631 MFY196631 MPU196631 MZQ196631 NJM196631 NTI196631 ODE196631 ONA196631 OWW196631 PGS196631 PQO196631 QAK196631 QKG196631 QUC196631 RDY196631 RNU196631 RXQ196631 SHM196631 SRI196631 TBE196631 TLA196631 TUW196631 UES196631 UOO196631 UYK196631 VIG196631 VSC196631 WBY196631 WLU196631 WVQ196631 S262167 JE262167 TA262167 ACW262167 AMS262167 AWO262167 BGK262167 BQG262167 CAC262167 CJY262167 CTU262167 DDQ262167 DNM262167 DXI262167 EHE262167 ERA262167 FAW262167 FKS262167 FUO262167 GEK262167 GOG262167 GYC262167 HHY262167 HRU262167 IBQ262167 ILM262167 IVI262167 JFE262167 JPA262167 JYW262167 KIS262167 KSO262167 LCK262167 LMG262167 LWC262167 MFY262167 MPU262167 MZQ262167 NJM262167 NTI262167 ODE262167 ONA262167 OWW262167 PGS262167 PQO262167 QAK262167 QKG262167 QUC262167 RDY262167 RNU262167 RXQ262167 SHM262167 SRI262167 TBE262167 TLA262167 TUW262167 UES262167 UOO262167 UYK262167 VIG262167 VSC262167 WBY262167 WLU262167 WVQ262167 S327703 JE327703 TA327703 ACW327703 AMS327703 AWO327703 BGK327703 BQG327703 CAC327703 CJY327703 CTU327703 DDQ327703 DNM327703 DXI327703 EHE327703 ERA327703 FAW327703 FKS327703 FUO327703 GEK327703 GOG327703 GYC327703 HHY327703 HRU327703 IBQ327703 ILM327703 IVI327703 JFE327703 JPA327703 JYW327703 KIS327703 KSO327703 LCK327703 LMG327703 LWC327703 MFY327703 MPU327703 MZQ327703 NJM327703 NTI327703 ODE327703 ONA327703 OWW327703 PGS327703 PQO327703 QAK327703 QKG327703 QUC327703 RDY327703 RNU327703 RXQ327703 SHM327703 SRI327703 TBE327703 TLA327703 TUW327703 UES327703 UOO327703 UYK327703 VIG327703 VSC327703 WBY327703 WLU327703 WVQ327703 S393239 JE393239 TA393239 ACW393239 AMS393239 AWO393239 BGK393239 BQG393239 CAC393239 CJY393239 CTU393239 DDQ393239 DNM393239 DXI393239 EHE393239 ERA393239 FAW393239 FKS393239 FUO393239 GEK393239 GOG393239 GYC393239 HHY393239 HRU393239 IBQ393239 ILM393239 IVI393239 JFE393239 JPA393239 JYW393239 KIS393239 KSO393239 LCK393239 LMG393239 LWC393239 MFY393239 MPU393239 MZQ393239 NJM393239 NTI393239 ODE393239 ONA393239 OWW393239 PGS393239 PQO393239 QAK393239 QKG393239 QUC393239 RDY393239 RNU393239 RXQ393239 SHM393239 SRI393239 TBE393239 TLA393239 TUW393239 UES393239 UOO393239 UYK393239 VIG393239 VSC393239 WBY393239 WLU393239 WVQ393239 S458775 JE458775 TA458775 ACW458775 AMS458775 AWO458775 BGK458775 BQG458775 CAC458775 CJY458775 CTU458775 DDQ458775 DNM458775 DXI458775 EHE458775 ERA458775 FAW458775 FKS458775 FUO458775 GEK458775 GOG458775 GYC458775 HHY458775 HRU458775 IBQ458775 ILM458775 IVI458775 JFE458775 JPA458775 JYW458775 KIS458775 KSO458775 LCK458775 LMG458775 LWC458775 MFY458775 MPU458775 MZQ458775 NJM458775 NTI458775 ODE458775 ONA458775 OWW458775 PGS458775 PQO458775 QAK458775 QKG458775 QUC458775 RDY458775 RNU458775 RXQ458775 SHM458775 SRI458775 TBE458775 TLA458775 TUW458775 UES458775 UOO458775 UYK458775 VIG458775 VSC458775 WBY458775 WLU458775 WVQ458775 S524311 JE524311 TA524311 ACW524311 AMS524311 AWO524311 BGK524311 BQG524311 CAC524311 CJY524311 CTU524311 DDQ524311 DNM524311 DXI524311 EHE524311 ERA524311 FAW524311 FKS524311 FUO524311 GEK524311 GOG524311 GYC524311 HHY524311 HRU524311 IBQ524311 ILM524311 IVI524311 JFE524311 JPA524311 JYW524311 KIS524311 KSO524311 LCK524311 LMG524311 LWC524311 MFY524311 MPU524311 MZQ524311 NJM524311 NTI524311 ODE524311 ONA524311 OWW524311 PGS524311 PQO524311 QAK524311 QKG524311 QUC524311 RDY524311 RNU524311 RXQ524311 SHM524311 SRI524311 TBE524311 TLA524311 TUW524311 UES524311 UOO524311 UYK524311 VIG524311 VSC524311 WBY524311 WLU524311 WVQ524311 S589847 JE589847 TA589847 ACW589847 AMS589847 AWO589847 BGK589847 BQG589847 CAC589847 CJY589847 CTU589847 DDQ589847 DNM589847 DXI589847 EHE589847 ERA589847 FAW589847 FKS589847 FUO589847 GEK589847 GOG589847 GYC589847 HHY589847 HRU589847 IBQ589847 ILM589847 IVI589847 JFE589847 JPA589847 JYW589847 KIS589847 KSO589847 LCK589847 LMG589847 LWC589847 MFY589847 MPU589847 MZQ589847 NJM589847 NTI589847 ODE589847 ONA589847 OWW589847 PGS589847 PQO589847 QAK589847 QKG589847 QUC589847 RDY589847 RNU589847 RXQ589847 SHM589847 SRI589847 TBE589847 TLA589847 TUW589847 UES589847 UOO589847 UYK589847 VIG589847 VSC589847 WBY589847 WLU589847 WVQ589847 S655383 JE655383 TA655383 ACW655383 AMS655383 AWO655383 BGK655383 BQG655383 CAC655383 CJY655383 CTU655383 DDQ655383 DNM655383 DXI655383 EHE655383 ERA655383 FAW655383 FKS655383 FUO655383 GEK655383 GOG655383 GYC655383 HHY655383 HRU655383 IBQ655383 ILM655383 IVI655383 JFE655383 JPA655383 JYW655383 KIS655383 KSO655383 LCK655383 LMG655383 LWC655383 MFY655383 MPU655383 MZQ655383 NJM655383 NTI655383 ODE655383 ONA655383 OWW655383 PGS655383 PQO655383 QAK655383 QKG655383 QUC655383 RDY655383 RNU655383 RXQ655383 SHM655383 SRI655383 TBE655383 TLA655383 TUW655383 UES655383 UOO655383 UYK655383 VIG655383 VSC655383 WBY655383 WLU655383 WVQ655383 S720919 JE720919 TA720919 ACW720919 AMS720919 AWO720919 BGK720919 BQG720919 CAC720919 CJY720919 CTU720919 DDQ720919 DNM720919 DXI720919 EHE720919 ERA720919 FAW720919 FKS720919 FUO720919 GEK720919 GOG720919 GYC720919 HHY720919 HRU720919 IBQ720919 ILM720919 IVI720919 JFE720919 JPA720919 JYW720919 KIS720919 KSO720919 LCK720919 LMG720919 LWC720919 MFY720919 MPU720919 MZQ720919 NJM720919 NTI720919 ODE720919 ONA720919 OWW720919 PGS720919 PQO720919 QAK720919 QKG720919 QUC720919 RDY720919 RNU720919 RXQ720919 SHM720919 SRI720919 TBE720919 TLA720919 TUW720919 UES720919 UOO720919 UYK720919 VIG720919 VSC720919 WBY720919 WLU720919 WVQ720919 S786455 JE786455 TA786455 ACW786455 AMS786455 AWO786455 BGK786455 BQG786455 CAC786455 CJY786455 CTU786455 DDQ786455 DNM786455 DXI786455 EHE786455 ERA786455 FAW786455 FKS786455 FUO786455 GEK786455 GOG786455 GYC786455 HHY786455 HRU786455 IBQ786455 ILM786455 IVI786455 JFE786455 JPA786455 JYW786455 KIS786455 KSO786455 LCK786455 LMG786455 LWC786455 MFY786455 MPU786455 MZQ786455 NJM786455 NTI786455 ODE786455 ONA786455 OWW786455 PGS786455 PQO786455 QAK786455 QKG786455 QUC786455 RDY786455 RNU786455 RXQ786455 SHM786455 SRI786455 TBE786455 TLA786455 TUW786455 UES786455 UOO786455 UYK786455 VIG786455 VSC786455 WBY786455 WLU786455 WVQ786455 S851991 JE851991 TA851991 ACW851991 AMS851991 AWO851991 BGK851991 BQG851991 CAC851991 CJY851991 CTU851991 DDQ851991 DNM851991 DXI851991 EHE851991 ERA851991 FAW851991 FKS851991 FUO851991 GEK851991 GOG851991 GYC851991 HHY851991 HRU851991 IBQ851991 ILM851991 IVI851991 JFE851991 JPA851991 JYW851991 KIS851991 KSO851991 LCK851991 LMG851991 LWC851991 MFY851991 MPU851991 MZQ851991 NJM851991 NTI851991 ODE851991 ONA851991 OWW851991 PGS851991 PQO851991 QAK851991 QKG851991 QUC851991 RDY851991 RNU851991 RXQ851991 SHM851991 SRI851991 TBE851991 TLA851991 TUW851991 UES851991 UOO851991 UYK851991 VIG851991 VSC851991 WBY851991 WLU851991 WVQ851991 S917527 JE917527 TA917527 ACW917527 AMS917527 AWO917527 BGK917527 BQG917527 CAC917527 CJY917527 CTU917527 DDQ917527 DNM917527 DXI917527 EHE917527 ERA917527 FAW917527 FKS917527 FUO917527 GEK917527 GOG917527 GYC917527 HHY917527 HRU917527 IBQ917527 ILM917527 IVI917527 JFE917527 JPA917527 JYW917527 KIS917527 KSO917527 LCK917527 LMG917527 LWC917527 MFY917527 MPU917527 MZQ917527 NJM917527 NTI917527 ODE917527 ONA917527 OWW917527 PGS917527 PQO917527 QAK917527 QKG917527 QUC917527 RDY917527 RNU917527 RXQ917527 SHM917527 SRI917527 TBE917527 TLA917527 TUW917527 UES917527 UOO917527 UYK917527 VIG917527 VSC917527 WBY917527 WLU917527 WVQ917527 S983063 JE983063 TA983063 ACW983063 AMS983063 AWO983063 BGK983063 BQG983063 CAC983063 CJY983063 CTU983063 DDQ983063 DNM983063 DXI983063 EHE983063 ERA983063 FAW983063 FKS983063 FUO983063 GEK983063 GOG983063 GYC983063 HHY983063 HRU983063 IBQ983063 ILM983063 IVI983063 JFE983063 JPA983063 JYW983063 KIS983063 KSO983063 LCK983063 LMG983063 LWC983063 MFY983063 MPU983063 MZQ983063 NJM983063 NTI983063 ODE983063 ONA983063 OWW983063 PGS983063 PQO983063 QAK983063 QKG983063 QUC983063 RDY983063 RNU983063 RXQ983063 SHM983063 SRI983063 TBE983063 TLA983063 TUW983063 UES983063 UOO983063 UYK983063 VIG983063 VSC983063 WBY983063 WLU983063 TC23"/>
    <dataValidation type="decimal" allowBlank="1" showErrorMessage="1" errorTitle="Ошибка" error="Допускается ввод только неотрицательных чисел!" sqref="ACT23 AMP23 AWL23 BGH23 BQD23 BZZ23 CJV23 CTR23 DDN23 DNJ23 DXF23 EHB23 EQX23 FAT23 FKP23 FUL23 GEH23 GOD23 GXZ23 HHV23 HRR23 IBN23 ILJ23 IVF23 JFB23 JOX23 JYT23 KIP23 KSL23 LCH23 LMD23 LVZ23 MFV23 MPR23 MZN23 NJJ23 NTF23 ODB23 OMX23 OWT23 PGP23 PQL23 QAH23 QKD23 QTZ23 RDV23 RNR23 RXN23 SHJ23 SRF23 TBB23 TKX23 TUT23 UEP23 UOL23 UYH23 VID23 VRZ23 WBV23 WLR23 WVN23 P23 JB23 WVN983063 P65559 JB65559 SX65559 ACT65559 AMP65559 AWL65559 BGH65559 BQD65559 BZZ65559 CJV65559 CTR65559 DDN65559 DNJ65559 DXF65559 EHB65559 EQX65559 FAT65559 FKP65559 FUL65559 GEH65559 GOD65559 GXZ65559 HHV65559 HRR65559 IBN65559 ILJ65559 IVF65559 JFB65559 JOX65559 JYT65559 KIP65559 KSL65559 LCH65559 LMD65559 LVZ65559 MFV65559 MPR65559 MZN65559 NJJ65559 NTF65559 ODB65559 OMX65559 OWT65559 PGP65559 PQL65559 QAH65559 QKD65559 QTZ65559 RDV65559 RNR65559 RXN65559 SHJ65559 SRF65559 TBB65559 TKX65559 TUT65559 UEP65559 UOL65559 UYH65559 VID65559 VRZ65559 WBV65559 WLR65559 WVN65559 P131095 JB131095 SX131095 ACT131095 AMP131095 AWL131095 BGH131095 BQD131095 BZZ131095 CJV131095 CTR131095 DDN131095 DNJ131095 DXF131095 EHB131095 EQX131095 FAT131095 FKP131095 FUL131095 GEH131095 GOD131095 GXZ131095 HHV131095 HRR131095 IBN131095 ILJ131095 IVF131095 JFB131095 JOX131095 JYT131095 KIP131095 KSL131095 LCH131095 LMD131095 LVZ131095 MFV131095 MPR131095 MZN131095 NJJ131095 NTF131095 ODB131095 OMX131095 OWT131095 PGP131095 PQL131095 QAH131095 QKD131095 QTZ131095 RDV131095 RNR131095 RXN131095 SHJ131095 SRF131095 TBB131095 TKX131095 TUT131095 UEP131095 UOL131095 UYH131095 VID131095 VRZ131095 WBV131095 WLR131095 WVN131095 P196631 JB196631 SX196631 ACT196631 AMP196631 AWL196631 BGH196631 BQD196631 BZZ196631 CJV196631 CTR196631 DDN196631 DNJ196631 DXF196631 EHB196631 EQX196631 FAT196631 FKP196631 FUL196631 GEH196631 GOD196631 GXZ196631 HHV196631 HRR196631 IBN196631 ILJ196631 IVF196631 JFB196631 JOX196631 JYT196631 KIP196631 KSL196631 LCH196631 LMD196631 LVZ196631 MFV196631 MPR196631 MZN196631 NJJ196631 NTF196631 ODB196631 OMX196631 OWT196631 PGP196631 PQL196631 QAH196631 QKD196631 QTZ196631 RDV196631 RNR196631 RXN196631 SHJ196631 SRF196631 TBB196631 TKX196631 TUT196631 UEP196631 UOL196631 UYH196631 VID196631 VRZ196631 WBV196631 WLR196631 WVN196631 P262167 JB262167 SX262167 ACT262167 AMP262167 AWL262167 BGH262167 BQD262167 BZZ262167 CJV262167 CTR262167 DDN262167 DNJ262167 DXF262167 EHB262167 EQX262167 FAT262167 FKP262167 FUL262167 GEH262167 GOD262167 GXZ262167 HHV262167 HRR262167 IBN262167 ILJ262167 IVF262167 JFB262167 JOX262167 JYT262167 KIP262167 KSL262167 LCH262167 LMD262167 LVZ262167 MFV262167 MPR262167 MZN262167 NJJ262167 NTF262167 ODB262167 OMX262167 OWT262167 PGP262167 PQL262167 QAH262167 QKD262167 QTZ262167 RDV262167 RNR262167 RXN262167 SHJ262167 SRF262167 TBB262167 TKX262167 TUT262167 UEP262167 UOL262167 UYH262167 VID262167 VRZ262167 WBV262167 WLR262167 WVN262167 P327703 JB327703 SX327703 ACT327703 AMP327703 AWL327703 BGH327703 BQD327703 BZZ327703 CJV327703 CTR327703 DDN327703 DNJ327703 DXF327703 EHB327703 EQX327703 FAT327703 FKP327703 FUL327703 GEH327703 GOD327703 GXZ327703 HHV327703 HRR327703 IBN327703 ILJ327703 IVF327703 JFB327703 JOX327703 JYT327703 KIP327703 KSL327703 LCH327703 LMD327703 LVZ327703 MFV327703 MPR327703 MZN327703 NJJ327703 NTF327703 ODB327703 OMX327703 OWT327703 PGP327703 PQL327703 QAH327703 QKD327703 QTZ327703 RDV327703 RNR327703 RXN327703 SHJ327703 SRF327703 TBB327703 TKX327703 TUT327703 UEP327703 UOL327703 UYH327703 VID327703 VRZ327703 WBV327703 WLR327703 WVN327703 P393239 JB393239 SX393239 ACT393239 AMP393239 AWL393239 BGH393239 BQD393239 BZZ393239 CJV393239 CTR393239 DDN393239 DNJ393239 DXF393239 EHB393239 EQX393239 FAT393239 FKP393239 FUL393239 GEH393239 GOD393239 GXZ393239 HHV393239 HRR393239 IBN393239 ILJ393239 IVF393239 JFB393239 JOX393239 JYT393239 KIP393239 KSL393239 LCH393239 LMD393239 LVZ393239 MFV393239 MPR393239 MZN393239 NJJ393239 NTF393239 ODB393239 OMX393239 OWT393239 PGP393239 PQL393239 QAH393239 QKD393239 QTZ393239 RDV393239 RNR393239 RXN393239 SHJ393239 SRF393239 TBB393239 TKX393239 TUT393239 UEP393239 UOL393239 UYH393239 VID393239 VRZ393239 WBV393239 WLR393239 WVN393239 P458775 JB458775 SX458775 ACT458775 AMP458775 AWL458775 BGH458775 BQD458775 BZZ458775 CJV458775 CTR458775 DDN458775 DNJ458775 DXF458775 EHB458775 EQX458775 FAT458775 FKP458775 FUL458775 GEH458775 GOD458775 GXZ458775 HHV458775 HRR458775 IBN458775 ILJ458775 IVF458775 JFB458775 JOX458775 JYT458775 KIP458775 KSL458775 LCH458775 LMD458775 LVZ458775 MFV458775 MPR458775 MZN458775 NJJ458775 NTF458775 ODB458775 OMX458775 OWT458775 PGP458775 PQL458775 QAH458775 QKD458775 QTZ458775 RDV458775 RNR458775 RXN458775 SHJ458775 SRF458775 TBB458775 TKX458775 TUT458775 UEP458775 UOL458775 UYH458775 VID458775 VRZ458775 WBV458775 WLR458775 WVN458775 P524311 JB524311 SX524311 ACT524311 AMP524311 AWL524311 BGH524311 BQD524311 BZZ524311 CJV524311 CTR524311 DDN524311 DNJ524311 DXF524311 EHB524311 EQX524311 FAT524311 FKP524311 FUL524311 GEH524311 GOD524311 GXZ524311 HHV524311 HRR524311 IBN524311 ILJ524311 IVF524311 JFB524311 JOX524311 JYT524311 KIP524311 KSL524311 LCH524311 LMD524311 LVZ524311 MFV524311 MPR524311 MZN524311 NJJ524311 NTF524311 ODB524311 OMX524311 OWT524311 PGP524311 PQL524311 QAH524311 QKD524311 QTZ524311 RDV524311 RNR524311 RXN524311 SHJ524311 SRF524311 TBB524311 TKX524311 TUT524311 UEP524311 UOL524311 UYH524311 VID524311 VRZ524311 WBV524311 WLR524311 WVN524311 P589847 JB589847 SX589847 ACT589847 AMP589847 AWL589847 BGH589847 BQD589847 BZZ589847 CJV589847 CTR589847 DDN589847 DNJ589847 DXF589847 EHB589847 EQX589847 FAT589847 FKP589847 FUL589847 GEH589847 GOD589847 GXZ589847 HHV589847 HRR589847 IBN589847 ILJ589847 IVF589847 JFB589847 JOX589847 JYT589847 KIP589847 KSL589847 LCH589847 LMD589847 LVZ589847 MFV589847 MPR589847 MZN589847 NJJ589847 NTF589847 ODB589847 OMX589847 OWT589847 PGP589847 PQL589847 QAH589847 QKD589847 QTZ589847 RDV589847 RNR589847 RXN589847 SHJ589847 SRF589847 TBB589847 TKX589847 TUT589847 UEP589847 UOL589847 UYH589847 VID589847 VRZ589847 WBV589847 WLR589847 WVN589847 P655383 JB655383 SX655383 ACT655383 AMP655383 AWL655383 BGH655383 BQD655383 BZZ655383 CJV655383 CTR655383 DDN655383 DNJ655383 DXF655383 EHB655383 EQX655383 FAT655383 FKP655383 FUL655383 GEH655383 GOD655383 GXZ655383 HHV655383 HRR655383 IBN655383 ILJ655383 IVF655383 JFB655383 JOX655383 JYT655383 KIP655383 KSL655383 LCH655383 LMD655383 LVZ655383 MFV655383 MPR655383 MZN655383 NJJ655383 NTF655383 ODB655383 OMX655383 OWT655383 PGP655383 PQL655383 QAH655383 QKD655383 QTZ655383 RDV655383 RNR655383 RXN655383 SHJ655383 SRF655383 TBB655383 TKX655383 TUT655383 UEP655383 UOL655383 UYH655383 VID655383 VRZ655383 WBV655383 WLR655383 WVN655383 P720919 JB720919 SX720919 ACT720919 AMP720919 AWL720919 BGH720919 BQD720919 BZZ720919 CJV720919 CTR720919 DDN720919 DNJ720919 DXF720919 EHB720919 EQX720919 FAT720919 FKP720919 FUL720919 GEH720919 GOD720919 GXZ720919 HHV720919 HRR720919 IBN720919 ILJ720919 IVF720919 JFB720919 JOX720919 JYT720919 KIP720919 KSL720919 LCH720919 LMD720919 LVZ720919 MFV720919 MPR720919 MZN720919 NJJ720919 NTF720919 ODB720919 OMX720919 OWT720919 PGP720919 PQL720919 QAH720919 QKD720919 QTZ720919 RDV720919 RNR720919 RXN720919 SHJ720919 SRF720919 TBB720919 TKX720919 TUT720919 UEP720919 UOL720919 UYH720919 VID720919 VRZ720919 WBV720919 WLR720919 WVN720919 P786455 JB786455 SX786455 ACT786455 AMP786455 AWL786455 BGH786455 BQD786455 BZZ786455 CJV786455 CTR786455 DDN786455 DNJ786455 DXF786455 EHB786455 EQX786455 FAT786455 FKP786455 FUL786455 GEH786455 GOD786455 GXZ786455 HHV786455 HRR786455 IBN786455 ILJ786455 IVF786455 JFB786455 JOX786455 JYT786455 KIP786455 KSL786455 LCH786455 LMD786455 LVZ786455 MFV786455 MPR786455 MZN786455 NJJ786455 NTF786455 ODB786455 OMX786455 OWT786455 PGP786455 PQL786455 QAH786455 QKD786455 QTZ786455 RDV786455 RNR786455 RXN786455 SHJ786455 SRF786455 TBB786455 TKX786455 TUT786455 UEP786455 UOL786455 UYH786455 VID786455 VRZ786455 WBV786455 WLR786455 WVN786455 P851991 JB851991 SX851991 ACT851991 AMP851991 AWL851991 BGH851991 BQD851991 BZZ851991 CJV851991 CTR851991 DDN851991 DNJ851991 DXF851991 EHB851991 EQX851991 FAT851991 FKP851991 FUL851991 GEH851991 GOD851991 GXZ851991 HHV851991 HRR851991 IBN851991 ILJ851991 IVF851991 JFB851991 JOX851991 JYT851991 KIP851991 KSL851991 LCH851991 LMD851991 LVZ851991 MFV851991 MPR851991 MZN851991 NJJ851991 NTF851991 ODB851991 OMX851991 OWT851991 PGP851991 PQL851991 QAH851991 QKD851991 QTZ851991 RDV851991 RNR851991 RXN851991 SHJ851991 SRF851991 TBB851991 TKX851991 TUT851991 UEP851991 UOL851991 UYH851991 VID851991 VRZ851991 WBV851991 WLR851991 WVN851991 P917527 JB917527 SX917527 ACT917527 AMP917527 AWL917527 BGH917527 BQD917527 BZZ917527 CJV917527 CTR917527 DDN917527 DNJ917527 DXF917527 EHB917527 EQX917527 FAT917527 FKP917527 FUL917527 GEH917527 GOD917527 GXZ917527 HHV917527 HRR917527 IBN917527 ILJ917527 IVF917527 JFB917527 JOX917527 JYT917527 KIP917527 KSL917527 LCH917527 LMD917527 LVZ917527 MFV917527 MPR917527 MZN917527 NJJ917527 NTF917527 ODB917527 OMX917527 OWT917527 PGP917527 PQL917527 QAH917527 QKD917527 QTZ917527 RDV917527 RNR917527 RXN917527 SHJ917527 SRF917527 TBB917527 TKX917527 TUT917527 UEP917527 UOL917527 UYH917527 VID917527 VRZ917527 WBV917527 WLR917527 WVN917527 P983063 JB983063 SX983063 ACT983063 AMP983063 AWL983063 BGH983063 BQD983063 BZZ983063 CJV983063 CTR983063 DDN983063 DNJ983063 DXF983063 EHB983063 EQX983063 FAT983063 FKP983063 FUL983063 GEH983063 GOD983063 GXZ983063 HHV983063 HRR983063 IBN983063 ILJ983063 IVF983063 JFB983063 JOX983063 JYT983063 KIP983063 KSL983063 LCH983063 LMD983063 LVZ983063 MFV983063 MPR983063 MZN983063 NJJ983063 NTF983063 ODB983063 OMX983063 OWT983063 PGP983063 PQL983063 QAH983063 QKD983063 QTZ983063 RDV983063 RNR983063 RXN983063 SHJ983063 SRF983063 TBB983063 TKX983063 TUT983063 UEP983063 UOL983063 UYH983063 VID983063 VRZ983063 WBV983063 WLR983063 SX23">
      <formula1>0</formula1>
      <formula2>9.99999999999999E+23</formula2>
    </dataValidation>
    <dataValidation type="textLength" operator="lessThanOrEqual" allowBlank="1" showInputMessage="1" showErrorMessage="1" errorTitle="Ошибка" error="Допускается ввод не более 900 символов!" prompt="Укажите заявителя" sqref="ACQ23 AMM23 AWI23 BGE23 BQA23 BZW23 CJS23 CTO23 DDK23 DNG23 DXC23 EGY23 EQU23 FAQ23 FKM23 FUI23 GEE23 GOA23 GXW23 HHS23 HRO23 IBK23 ILG23 IVC23 JEY23 JOU23 JYQ23 KIM23 KSI23 LCE23 LMA23 LVW23 MFS23 MPO23 MZK23 NJG23 NTC23 OCY23 OMU23 OWQ23 PGM23 PQI23 QAE23 QKA23 QTW23 RDS23 RNO23 RXK23 SHG23 SRC23 TAY23 TKU23 TUQ23 UEM23 UOI23 UYE23 VIA23 VRW23 WBS23 WLO23 WVK23 M23 IY23 WVK983063 M65559 IY65559 SU65559 ACQ65559 AMM65559 AWI65559 BGE65559 BQA65559 BZW65559 CJS65559 CTO65559 DDK65559 DNG65559 DXC65559 EGY65559 EQU65559 FAQ65559 FKM65559 FUI65559 GEE65559 GOA65559 GXW65559 HHS65559 HRO65559 IBK65559 ILG65559 IVC65559 JEY65559 JOU65559 JYQ65559 KIM65559 KSI65559 LCE65559 LMA65559 LVW65559 MFS65559 MPO65559 MZK65559 NJG65559 NTC65559 OCY65559 OMU65559 OWQ65559 PGM65559 PQI65559 QAE65559 QKA65559 QTW65559 RDS65559 RNO65559 RXK65559 SHG65559 SRC65559 TAY65559 TKU65559 TUQ65559 UEM65559 UOI65559 UYE65559 VIA65559 VRW65559 WBS65559 WLO65559 WVK65559 M131095 IY131095 SU131095 ACQ131095 AMM131095 AWI131095 BGE131095 BQA131095 BZW131095 CJS131095 CTO131095 DDK131095 DNG131095 DXC131095 EGY131095 EQU131095 FAQ131095 FKM131095 FUI131095 GEE131095 GOA131095 GXW131095 HHS131095 HRO131095 IBK131095 ILG131095 IVC131095 JEY131095 JOU131095 JYQ131095 KIM131095 KSI131095 LCE131095 LMA131095 LVW131095 MFS131095 MPO131095 MZK131095 NJG131095 NTC131095 OCY131095 OMU131095 OWQ131095 PGM131095 PQI131095 QAE131095 QKA131095 QTW131095 RDS131095 RNO131095 RXK131095 SHG131095 SRC131095 TAY131095 TKU131095 TUQ131095 UEM131095 UOI131095 UYE131095 VIA131095 VRW131095 WBS131095 WLO131095 WVK131095 M196631 IY196631 SU196631 ACQ196631 AMM196631 AWI196631 BGE196631 BQA196631 BZW196631 CJS196631 CTO196631 DDK196631 DNG196631 DXC196631 EGY196631 EQU196631 FAQ196631 FKM196631 FUI196631 GEE196631 GOA196631 GXW196631 HHS196631 HRO196631 IBK196631 ILG196631 IVC196631 JEY196631 JOU196631 JYQ196631 KIM196631 KSI196631 LCE196631 LMA196631 LVW196631 MFS196631 MPO196631 MZK196631 NJG196631 NTC196631 OCY196631 OMU196631 OWQ196631 PGM196631 PQI196631 QAE196631 QKA196631 QTW196631 RDS196631 RNO196631 RXK196631 SHG196631 SRC196631 TAY196631 TKU196631 TUQ196631 UEM196631 UOI196631 UYE196631 VIA196631 VRW196631 WBS196631 WLO196631 WVK196631 M262167 IY262167 SU262167 ACQ262167 AMM262167 AWI262167 BGE262167 BQA262167 BZW262167 CJS262167 CTO262167 DDK262167 DNG262167 DXC262167 EGY262167 EQU262167 FAQ262167 FKM262167 FUI262167 GEE262167 GOA262167 GXW262167 HHS262167 HRO262167 IBK262167 ILG262167 IVC262167 JEY262167 JOU262167 JYQ262167 KIM262167 KSI262167 LCE262167 LMA262167 LVW262167 MFS262167 MPO262167 MZK262167 NJG262167 NTC262167 OCY262167 OMU262167 OWQ262167 PGM262167 PQI262167 QAE262167 QKA262167 QTW262167 RDS262167 RNO262167 RXK262167 SHG262167 SRC262167 TAY262167 TKU262167 TUQ262167 UEM262167 UOI262167 UYE262167 VIA262167 VRW262167 WBS262167 WLO262167 WVK262167 M327703 IY327703 SU327703 ACQ327703 AMM327703 AWI327703 BGE327703 BQA327703 BZW327703 CJS327703 CTO327703 DDK327703 DNG327703 DXC327703 EGY327703 EQU327703 FAQ327703 FKM327703 FUI327703 GEE327703 GOA327703 GXW327703 HHS327703 HRO327703 IBK327703 ILG327703 IVC327703 JEY327703 JOU327703 JYQ327703 KIM327703 KSI327703 LCE327703 LMA327703 LVW327703 MFS327703 MPO327703 MZK327703 NJG327703 NTC327703 OCY327703 OMU327703 OWQ327703 PGM327703 PQI327703 QAE327703 QKA327703 QTW327703 RDS327703 RNO327703 RXK327703 SHG327703 SRC327703 TAY327703 TKU327703 TUQ327703 UEM327703 UOI327703 UYE327703 VIA327703 VRW327703 WBS327703 WLO327703 WVK327703 M393239 IY393239 SU393239 ACQ393239 AMM393239 AWI393239 BGE393239 BQA393239 BZW393239 CJS393239 CTO393239 DDK393239 DNG393239 DXC393239 EGY393239 EQU393239 FAQ393239 FKM393239 FUI393239 GEE393239 GOA393239 GXW393239 HHS393239 HRO393239 IBK393239 ILG393239 IVC393239 JEY393239 JOU393239 JYQ393239 KIM393239 KSI393239 LCE393239 LMA393239 LVW393239 MFS393239 MPO393239 MZK393239 NJG393239 NTC393239 OCY393239 OMU393239 OWQ393239 PGM393239 PQI393239 QAE393239 QKA393239 QTW393239 RDS393239 RNO393239 RXK393239 SHG393239 SRC393239 TAY393239 TKU393239 TUQ393239 UEM393239 UOI393239 UYE393239 VIA393239 VRW393239 WBS393239 WLO393239 WVK393239 M458775 IY458775 SU458775 ACQ458775 AMM458775 AWI458775 BGE458775 BQA458775 BZW458775 CJS458775 CTO458775 DDK458775 DNG458775 DXC458775 EGY458775 EQU458775 FAQ458775 FKM458775 FUI458775 GEE458775 GOA458775 GXW458775 HHS458775 HRO458775 IBK458775 ILG458775 IVC458775 JEY458775 JOU458775 JYQ458775 KIM458775 KSI458775 LCE458775 LMA458775 LVW458775 MFS458775 MPO458775 MZK458775 NJG458775 NTC458775 OCY458775 OMU458775 OWQ458775 PGM458775 PQI458775 QAE458775 QKA458775 QTW458775 RDS458775 RNO458775 RXK458775 SHG458775 SRC458775 TAY458775 TKU458775 TUQ458775 UEM458775 UOI458775 UYE458775 VIA458775 VRW458775 WBS458775 WLO458775 WVK458775 M524311 IY524311 SU524311 ACQ524311 AMM524311 AWI524311 BGE524311 BQA524311 BZW524311 CJS524311 CTO524311 DDK524311 DNG524311 DXC524311 EGY524311 EQU524311 FAQ524311 FKM524311 FUI524311 GEE524311 GOA524311 GXW524311 HHS524311 HRO524311 IBK524311 ILG524311 IVC524311 JEY524311 JOU524311 JYQ524311 KIM524311 KSI524311 LCE524311 LMA524311 LVW524311 MFS524311 MPO524311 MZK524311 NJG524311 NTC524311 OCY524311 OMU524311 OWQ524311 PGM524311 PQI524311 QAE524311 QKA524311 QTW524311 RDS524311 RNO524311 RXK524311 SHG524311 SRC524311 TAY524311 TKU524311 TUQ524311 UEM524311 UOI524311 UYE524311 VIA524311 VRW524311 WBS524311 WLO524311 WVK524311 M589847 IY589847 SU589847 ACQ589847 AMM589847 AWI589847 BGE589847 BQA589847 BZW589847 CJS589847 CTO589847 DDK589847 DNG589847 DXC589847 EGY589847 EQU589847 FAQ589847 FKM589847 FUI589847 GEE589847 GOA589847 GXW589847 HHS589847 HRO589847 IBK589847 ILG589847 IVC589847 JEY589847 JOU589847 JYQ589847 KIM589847 KSI589847 LCE589847 LMA589847 LVW589847 MFS589847 MPO589847 MZK589847 NJG589847 NTC589847 OCY589847 OMU589847 OWQ589847 PGM589847 PQI589847 QAE589847 QKA589847 QTW589847 RDS589847 RNO589847 RXK589847 SHG589847 SRC589847 TAY589847 TKU589847 TUQ589847 UEM589847 UOI589847 UYE589847 VIA589847 VRW589847 WBS589847 WLO589847 WVK589847 M655383 IY655383 SU655383 ACQ655383 AMM655383 AWI655383 BGE655383 BQA655383 BZW655383 CJS655383 CTO655383 DDK655383 DNG655383 DXC655383 EGY655383 EQU655383 FAQ655383 FKM655383 FUI655383 GEE655383 GOA655383 GXW655383 HHS655383 HRO655383 IBK655383 ILG655383 IVC655383 JEY655383 JOU655383 JYQ655383 KIM655383 KSI655383 LCE655383 LMA655383 LVW655383 MFS655383 MPO655383 MZK655383 NJG655383 NTC655383 OCY655383 OMU655383 OWQ655383 PGM655383 PQI655383 QAE655383 QKA655383 QTW655383 RDS655383 RNO655383 RXK655383 SHG655383 SRC655383 TAY655383 TKU655383 TUQ655383 UEM655383 UOI655383 UYE655383 VIA655383 VRW655383 WBS655383 WLO655383 WVK655383 M720919 IY720919 SU720919 ACQ720919 AMM720919 AWI720919 BGE720919 BQA720919 BZW720919 CJS720919 CTO720919 DDK720919 DNG720919 DXC720919 EGY720919 EQU720919 FAQ720919 FKM720919 FUI720919 GEE720919 GOA720919 GXW720919 HHS720919 HRO720919 IBK720919 ILG720919 IVC720919 JEY720919 JOU720919 JYQ720919 KIM720919 KSI720919 LCE720919 LMA720919 LVW720919 MFS720919 MPO720919 MZK720919 NJG720919 NTC720919 OCY720919 OMU720919 OWQ720919 PGM720919 PQI720919 QAE720919 QKA720919 QTW720919 RDS720919 RNO720919 RXK720919 SHG720919 SRC720919 TAY720919 TKU720919 TUQ720919 UEM720919 UOI720919 UYE720919 VIA720919 VRW720919 WBS720919 WLO720919 WVK720919 M786455 IY786455 SU786455 ACQ786455 AMM786455 AWI786455 BGE786455 BQA786455 BZW786455 CJS786455 CTO786455 DDK786455 DNG786455 DXC786455 EGY786455 EQU786455 FAQ786455 FKM786455 FUI786455 GEE786455 GOA786455 GXW786455 HHS786455 HRO786455 IBK786455 ILG786455 IVC786455 JEY786455 JOU786455 JYQ786455 KIM786455 KSI786455 LCE786455 LMA786455 LVW786455 MFS786455 MPO786455 MZK786455 NJG786455 NTC786455 OCY786455 OMU786455 OWQ786455 PGM786455 PQI786455 QAE786455 QKA786455 QTW786455 RDS786455 RNO786455 RXK786455 SHG786455 SRC786455 TAY786455 TKU786455 TUQ786455 UEM786455 UOI786455 UYE786455 VIA786455 VRW786455 WBS786455 WLO786455 WVK786455 M851991 IY851991 SU851991 ACQ851991 AMM851991 AWI851991 BGE851991 BQA851991 BZW851991 CJS851991 CTO851991 DDK851991 DNG851991 DXC851991 EGY851991 EQU851991 FAQ851991 FKM851991 FUI851991 GEE851991 GOA851991 GXW851991 HHS851991 HRO851991 IBK851991 ILG851991 IVC851991 JEY851991 JOU851991 JYQ851991 KIM851991 KSI851991 LCE851991 LMA851991 LVW851991 MFS851991 MPO851991 MZK851991 NJG851991 NTC851991 OCY851991 OMU851991 OWQ851991 PGM851991 PQI851991 QAE851991 QKA851991 QTW851991 RDS851991 RNO851991 RXK851991 SHG851991 SRC851991 TAY851991 TKU851991 TUQ851991 UEM851991 UOI851991 UYE851991 VIA851991 VRW851991 WBS851991 WLO851991 WVK851991 M917527 IY917527 SU917527 ACQ917527 AMM917527 AWI917527 BGE917527 BQA917527 BZW917527 CJS917527 CTO917527 DDK917527 DNG917527 DXC917527 EGY917527 EQU917527 FAQ917527 FKM917527 FUI917527 GEE917527 GOA917527 GXW917527 HHS917527 HRO917527 IBK917527 ILG917527 IVC917527 JEY917527 JOU917527 JYQ917527 KIM917527 KSI917527 LCE917527 LMA917527 LVW917527 MFS917527 MPO917527 MZK917527 NJG917527 NTC917527 OCY917527 OMU917527 OWQ917527 PGM917527 PQI917527 QAE917527 QKA917527 QTW917527 RDS917527 RNO917527 RXK917527 SHG917527 SRC917527 TAY917527 TKU917527 TUQ917527 UEM917527 UOI917527 UYE917527 VIA917527 VRW917527 WBS917527 WLO917527 WVK917527 M983063 IY983063 SU983063 ACQ983063 AMM983063 AWI983063 BGE983063 BQA983063 BZW983063 CJS983063 CTO983063 DDK983063 DNG983063 DXC983063 EGY983063 EQU983063 FAQ983063 FKM983063 FUI983063 GEE983063 GOA983063 GXW983063 HHS983063 HRO983063 IBK983063 ILG983063 IVC983063 JEY983063 JOU983063 JYQ983063 KIM983063 KSI983063 LCE983063 LMA983063 LVW983063 MFS983063 MPO983063 MZK983063 NJG983063 NTC983063 OCY983063 OMU983063 OWQ983063 PGM983063 PQI983063 QAE983063 QKA983063 QTW983063 RDS983063 RNO983063 RXK983063 SHG983063 SRC983063 TAY983063 TKU983063 TUQ983063 UEM983063 UOI983063 UYE983063 VIA983063 VRW983063 WBS983063 WLO983063 SU23">
      <formula1>900</formula1>
    </dataValidation>
    <dataValidation allowBlank="1" prompt="Для выбора выполните двойной щелчок левой клавиши мыши по соответствующей ячейке." sqref="IX25:JJ29 ST25:TF29 ACP25:ADB29 AML25:AMX29 AWH25:AWT29 BGD25:BGP29 BPZ25:BQL29 BZV25:CAH29 CJR25:CKD29 CTN25:CTZ29 DDJ25:DDV29 DNF25:DNR29 DXB25:DXN29 EGX25:EHJ29 EQT25:ERF29 FAP25:FBB29 FKL25:FKX29 FUH25:FUT29 GED25:GEP29 GNZ25:GOL29 GXV25:GYH29 HHR25:HID29 HRN25:HRZ29 IBJ25:IBV29 ILF25:ILR29 IVB25:IVN29 JEX25:JFJ29 JOT25:JPF29 JYP25:JZB29 KIL25:KIX29 KSH25:KST29 LCD25:LCP29 LLZ25:LML29 LVV25:LWH29 MFR25:MGD29 MPN25:MPZ29 MZJ25:MZV29 NJF25:NJR29 NTB25:NTN29 OCX25:ODJ29 OMT25:ONF29 OWP25:OXB29 PGL25:PGX29 PQH25:PQT29 QAD25:QAP29 QJZ25:QKL29 QTV25:QUH29 RDR25:RED29 RNN25:RNZ29 RXJ25:RXV29 SHF25:SHR29 SRB25:SRN29 TAX25:TBJ29 TKT25:TLF29 TUP25:TVB29 UEL25:UEX29 UOH25:UOT29 UYD25:UYP29 VHZ25:VIL29 VRV25:VSH29 WBR25:WCD29 WLN25:WLZ29 WVJ25:WVV29 IX65561:JJ65565 ST65561:TF65565 ACP65561:ADB65565 AML65561:AMX65565 AWH65561:AWT65565 BGD65561:BGP65565 BPZ65561:BQL65565 BZV65561:CAH65565 CJR65561:CKD65565 CTN65561:CTZ65565 DDJ65561:DDV65565 DNF65561:DNR65565 DXB65561:DXN65565 EGX65561:EHJ65565 EQT65561:ERF65565 FAP65561:FBB65565 FKL65561:FKX65565 FUH65561:FUT65565 GED65561:GEP65565 GNZ65561:GOL65565 GXV65561:GYH65565 HHR65561:HID65565 HRN65561:HRZ65565 IBJ65561:IBV65565 ILF65561:ILR65565 IVB65561:IVN65565 JEX65561:JFJ65565 JOT65561:JPF65565 JYP65561:JZB65565 KIL65561:KIX65565 KSH65561:KST65565 LCD65561:LCP65565 LLZ65561:LML65565 LVV65561:LWH65565 MFR65561:MGD65565 MPN65561:MPZ65565 MZJ65561:MZV65565 NJF65561:NJR65565 NTB65561:NTN65565 OCX65561:ODJ65565 OMT65561:ONF65565 OWP65561:OXB65565 PGL65561:PGX65565 PQH65561:PQT65565 QAD65561:QAP65565 QJZ65561:QKL65565 QTV65561:QUH65565 RDR65561:RED65565 RNN65561:RNZ65565 RXJ65561:RXV65565 SHF65561:SHR65565 SRB65561:SRN65565 TAX65561:TBJ65565 TKT65561:TLF65565 TUP65561:TVB65565 UEL65561:UEX65565 UOH65561:UOT65565 UYD65561:UYP65565 VHZ65561:VIL65565 VRV65561:VSH65565 WBR65561:WCD65565 WLN65561:WLZ65565 WVJ65561:WVV65565 IX131097:JJ131101 ST131097:TF131101 ACP131097:ADB131101 AML131097:AMX131101 AWH131097:AWT131101 BGD131097:BGP131101 BPZ131097:BQL131101 BZV131097:CAH131101 CJR131097:CKD131101 CTN131097:CTZ131101 DDJ131097:DDV131101 DNF131097:DNR131101 DXB131097:DXN131101 EGX131097:EHJ131101 EQT131097:ERF131101 FAP131097:FBB131101 FKL131097:FKX131101 FUH131097:FUT131101 GED131097:GEP131101 GNZ131097:GOL131101 GXV131097:GYH131101 HHR131097:HID131101 HRN131097:HRZ131101 IBJ131097:IBV131101 ILF131097:ILR131101 IVB131097:IVN131101 JEX131097:JFJ131101 JOT131097:JPF131101 JYP131097:JZB131101 KIL131097:KIX131101 KSH131097:KST131101 LCD131097:LCP131101 LLZ131097:LML131101 LVV131097:LWH131101 MFR131097:MGD131101 MPN131097:MPZ131101 MZJ131097:MZV131101 NJF131097:NJR131101 NTB131097:NTN131101 OCX131097:ODJ131101 OMT131097:ONF131101 OWP131097:OXB131101 PGL131097:PGX131101 PQH131097:PQT131101 QAD131097:QAP131101 QJZ131097:QKL131101 QTV131097:QUH131101 RDR131097:RED131101 RNN131097:RNZ131101 RXJ131097:RXV131101 SHF131097:SHR131101 SRB131097:SRN131101 TAX131097:TBJ131101 TKT131097:TLF131101 TUP131097:TVB131101 UEL131097:UEX131101 UOH131097:UOT131101 UYD131097:UYP131101 VHZ131097:VIL131101 VRV131097:VSH131101 WBR131097:WCD131101 WLN131097:WLZ131101 WVJ131097:WVV131101 IX196633:JJ196637 ST196633:TF196637 ACP196633:ADB196637 AML196633:AMX196637 AWH196633:AWT196637 BGD196633:BGP196637 BPZ196633:BQL196637 BZV196633:CAH196637 CJR196633:CKD196637 CTN196633:CTZ196637 DDJ196633:DDV196637 DNF196633:DNR196637 DXB196633:DXN196637 EGX196633:EHJ196637 EQT196633:ERF196637 FAP196633:FBB196637 FKL196633:FKX196637 FUH196633:FUT196637 GED196633:GEP196637 GNZ196633:GOL196637 GXV196633:GYH196637 HHR196633:HID196637 HRN196633:HRZ196637 IBJ196633:IBV196637 ILF196633:ILR196637 IVB196633:IVN196637 JEX196633:JFJ196637 JOT196633:JPF196637 JYP196633:JZB196637 KIL196633:KIX196637 KSH196633:KST196637 LCD196633:LCP196637 LLZ196633:LML196637 LVV196633:LWH196637 MFR196633:MGD196637 MPN196633:MPZ196637 MZJ196633:MZV196637 NJF196633:NJR196637 NTB196633:NTN196637 OCX196633:ODJ196637 OMT196633:ONF196637 OWP196633:OXB196637 PGL196633:PGX196637 PQH196633:PQT196637 QAD196633:QAP196637 QJZ196633:QKL196637 QTV196633:QUH196637 RDR196633:RED196637 RNN196633:RNZ196637 RXJ196633:RXV196637 SHF196633:SHR196637 SRB196633:SRN196637 TAX196633:TBJ196637 TKT196633:TLF196637 TUP196633:TVB196637 UEL196633:UEX196637 UOH196633:UOT196637 UYD196633:UYP196637 VHZ196633:VIL196637 VRV196633:VSH196637 WBR196633:WCD196637 WLN196633:WLZ196637 WVJ196633:WVV196637 IX262169:JJ262173 ST262169:TF262173 ACP262169:ADB262173 AML262169:AMX262173 AWH262169:AWT262173 BGD262169:BGP262173 BPZ262169:BQL262173 BZV262169:CAH262173 CJR262169:CKD262173 CTN262169:CTZ262173 DDJ262169:DDV262173 DNF262169:DNR262173 DXB262169:DXN262173 EGX262169:EHJ262173 EQT262169:ERF262173 FAP262169:FBB262173 FKL262169:FKX262173 FUH262169:FUT262173 GED262169:GEP262173 GNZ262169:GOL262173 GXV262169:GYH262173 HHR262169:HID262173 HRN262169:HRZ262173 IBJ262169:IBV262173 ILF262169:ILR262173 IVB262169:IVN262173 JEX262169:JFJ262173 JOT262169:JPF262173 JYP262169:JZB262173 KIL262169:KIX262173 KSH262169:KST262173 LCD262169:LCP262173 LLZ262169:LML262173 LVV262169:LWH262173 MFR262169:MGD262173 MPN262169:MPZ262173 MZJ262169:MZV262173 NJF262169:NJR262173 NTB262169:NTN262173 OCX262169:ODJ262173 OMT262169:ONF262173 OWP262169:OXB262173 PGL262169:PGX262173 PQH262169:PQT262173 QAD262169:QAP262173 QJZ262169:QKL262173 QTV262169:QUH262173 RDR262169:RED262173 RNN262169:RNZ262173 RXJ262169:RXV262173 SHF262169:SHR262173 SRB262169:SRN262173 TAX262169:TBJ262173 TKT262169:TLF262173 TUP262169:TVB262173 UEL262169:UEX262173 UOH262169:UOT262173 UYD262169:UYP262173 VHZ262169:VIL262173 VRV262169:VSH262173 WBR262169:WCD262173 WLN262169:WLZ262173 WVJ262169:WVV262173 IX327705:JJ327709 ST327705:TF327709 ACP327705:ADB327709 AML327705:AMX327709 AWH327705:AWT327709 BGD327705:BGP327709 BPZ327705:BQL327709 BZV327705:CAH327709 CJR327705:CKD327709 CTN327705:CTZ327709 DDJ327705:DDV327709 DNF327705:DNR327709 DXB327705:DXN327709 EGX327705:EHJ327709 EQT327705:ERF327709 FAP327705:FBB327709 FKL327705:FKX327709 FUH327705:FUT327709 GED327705:GEP327709 GNZ327705:GOL327709 GXV327705:GYH327709 HHR327705:HID327709 HRN327705:HRZ327709 IBJ327705:IBV327709 ILF327705:ILR327709 IVB327705:IVN327709 JEX327705:JFJ327709 JOT327705:JPF327709 JYP327705:JZB327709 KIL327705:KIX327709 KSH327705:KST327709 LCD327705:LCP327709 LLZ327705:LML327709 LVV327705:LWH327709 MFR327705:MGD327709 MPN327705:MPZ327709 MZJ327705:MZV327709 NJF327705:NJR327709 NTB327705:NTN327709 OCX327705:ODJ327709 OMT327705:ONF327709 OWP327705:OXB327709 PGL327705:PGX327709 PQH327705:PQT327709 QAD327705:QAP327709 QJZ327705:QKL327709 QTV327705:QUH327709 RDR327705:RED327709 RNN327705:RNZ327709 RXJ327705:RXV327709 SHF327705:SHR327709 SRB327705:SRN327709 TAX327705:TBJ327709 TKT327705:TLF327709 TUP327705:TVB327709 UEL327705:UEX327709 UOH327705:UOT327709 UYD327705:UYP327709 VHZ327705:VIL327709 VRV327705:VSH327709 WBR327705:WCD327709 WLN327705:WLZ327709 WVJ327705:WVV327709 IX393241:JJ393245 ST393241:TF393245 ACP393241:ADB393245 AML393241:AMX393245 AWH393241:AWT393245 BGD393241:BGP393245 BPZ393241:BQL393245 BZV393241:CAH393245 CJR393241:CKD393245 CTN393241:CTZ393245 DDJ393241:DDV393245 DNF393241:DNR393245 DXB393241:DXN393245 EGX393241:EHJ393245 EQT393241:ERF393245 FAP393241:FBB393245 FKL393241:FKX393245 FUH393241:FUT393245 GED393241:GEP393245 GNZ393241:GOL393245 GXV393241:GYH393245 HHR393241:HID393245 HRN393241:HRZ393245 IBJ393241:IBV393245 ILF393241:ILR393245 IVB393241:IVN393245 JEX393241:JFJ393245 JOT393241:JPF393245 JYP393241:JZB393245 KIL393241:KIX393245 KSH393241:KST393245 LCD393241:LCP393245 LLZ393241:LML393245 LVV393241:LWH393245 MFR393241:MGD393245 MPN393241:MPZ393245 MZJ393241:MZV393245 NJF393241:NJR393245 NTB393241:NTN393245 OCX393241:ODJ393245 OMT393241:ONF393245 OWP393241:OXB393245 PGL393241:PGX393245 PQH393241:PQT393245 QAD393241:QAP393245 QJZ393241:QKL393245 QTV393241:QUH393245 RDR393241:RED393245 RNN393241:RNZ393245 RXJ393241:RXV393245 SHF393241:SHR393245 SRB393241:SRN393245 TAX393241:TBJ393245 TKT393241:TLF393245 TUP393241:TVB393245 UEL393241:UEX393245 UOH393241:UOT393245 UYD393241:UYP393245 VHZ393241:VIL393245 VRV393241:VSH393245 WBR393241:WCD393245 WLN393241:WLZ393245 WVJ393241:WVV393245 IX458777:JJ458781 ST458777:TF458781 ACP458777:ADB458781 AML458777:AMX458781 AWH458777:AWT458781 BGD458777:BGP458781 BPZ458777:BQL458781 BZV458777:CAH458781 CJR458777:CKD458781 CTN458777:CTZ458781 DDJ458777:DDV458781 DNF458777:DNR458781 DXB458777:DXN458781 EGX458777:EHJ458781 EQT458777:ERF458781 FAP458777:FBB458781 FKL458777:FKX458781 FUH458777:FUT458781 GED458777:GEP458781 GNZ458777:GOL458781 GXV458777:GYH458781 HHR458777:HID458781 HRN458777:HRZ458781 IBJ458777:IBV458781 ILF458777:ILR458781 IVB458777:IVN458781 JEX458777:JFJ458781 JOT458777:JPF458781 JYP458777:JZB458781 KIL458777:KIX458781 KSH458777:KST458781 LCD458777:LCP458781 LLZ458777:LML458781 LVV458777:LWH458781 MFR458777:MGD458781 MPN458777:MPZ458781 MZJ458777:MZV458781 NJF458777:NJR458781 NTB458777:NTN458781 OCX458777:ODJ458781 OMT458777:ONF458781 OWP458777:OXB458781 PGL458777:PGX458781 PQH458777:PQT458781 QAD458777:QAP458781 QJZ458777:QKL458781 QTV458777:QUH458781 RDR458777:RED458781 RNN458777:RNZ458781 RXJ458777:RXV458781 SHF458777:SHR458781 SRB458777:SRN458781 TAX458777:TBJ458781 TKT458777:TLF458781 TUP458777:TVB458781 UEL458777:UEX458781 UOH458777:UOT458781 UYD458777:UYP458781 VHZ458777:VIL458781 VRV458777:VSH458781 WBR458777:WCD458781 WLN458777:WLZ458781 WVJ458777:WVV458781 IX524313:JJ524317 ST524313:TF524317 ACP524313:ADB524317 AML524313:AMX524317 AWH524313:AWT524317 BGD524313:BGP524317 BPZ524313:BQL524317 BZV524313:CAH524317 CJR524313:CKD524317 CTN524313:CTZ524317 DDJ524313:DDV524317 DNF524313:DNR524317 DXB524313:DXN524317 EGX524313:EHJ524317 EQT524313:ERF524317 FAP524313:FBB524317 FKL524313:FKX524317 FUH524313:FUT524317 GED524313:GEP524317 GNZ524313:GOL524317 GXV524313:GYH524317 HHR524313:HID524317 HRN524313:HRZ524317 IBJ524313:IBV524317 ILF524313:ILR524317 IVB524313:IVN524317 JEX524313:JFJ524317 JOT524313:JPF524317 JYP524313:JZB524317 KIL524313:KIX524317 KSH524313:KST524317 LCD524313:LCP524317 LLZ524313:LML524317 LVV524313:LWH524317 MFR524313:MGD524317 MPN524313:MPZ524317 MZJ524313:MZV524317 NJF524313:NJR524317 NTB524313:NTN524317 OCX524313:ODJ524317 OMT524313:ONF524317 OWP524313:OXB524317 PGL524313:PGX524317 PQH524313:PQT524317 QAD524313:QAP524317 QJZ524313:QKL524317 QTV524313:QUH524317 RDR524313:RED524317 RNN524313:RNZ524317 RXJ524313:RXV524317 SHF524313:SHR524317 SRB524313:SRN524317 TAX524313:TBJ524317 TKT524313:TLF524317 TUP524313:TVB524317 UEL524313:UEX524317 UOH524313:UOT524317 UYD524313:UYP524317 VHZ524313:VIL524317 VRV524313:VSH524317 WBR524313:WCD524317 WLN524313:WLZ524317 WVJ524313:WVV524317 IX589849:JJ589853 ST589849:TF589853 ACP589849:ADB589853 AML589849:AMX589853 AWH589849:AWT589853 BGD589849:BGP589853 BPZ589849:BQL589853 BZV589849:CAH589853 CJR589849:CKD589853 CTN589849:CTZ589853 DDJ589849:DDV589853 DNF589849:DNR589853 DXB589849:DXN589853 EGX589849:EHJ589853 EQT589849:ERF589853 FAP589849:FBB589853 FKL589849:FKX589853 FUH589849:FUT589853 GED589849:GEP589853 GNZ589849:GOL589853 GXV589849:GYH589853 HHR589849:HID589853 HRN589849:HRZ589853 IBJ589849:IBV589853 ILF589849:ILR589853 IVB589849:IVN589853 JEX589849:JFJ589853 JOT589849:JPF589853 JYP589849:JZB589853 KIL589849:KIX589853 KSH589849:KST589853 LCD589849:LCP589853 LLZ589849:LML589853 LVV589849:LWH589853 MFR589849:MGD589853 MPN589849:MPZ589853 MZJ589849:MZV589853 NJF589849:NJR589853 NTB589849:NTN589853 OCX589849:ODJ589853 OMT589849:ONF589853 OWP589849:OXB589853 PGL589849:PGX589853 PQH589849:PQT589853 QAD589849:QAP589853 QJZ589849:QKL589853 QTV589849:QUH589853 RDR589849:RED589853 RNN589849:RNZ589853 RXJ589849:RXV589853 SHF589849:SHR589853 SRB589849:SRN589853 TAX589849:TBJ589853 TKT589849:TLF589853 TUP589849:TVB589853 UEL589849:UEX589853 UOH589849:UOT589853 UYD589849:UYP589853 VHZ589849:VIL589853 VRV589849:VSH589853 WBR589849:WCD589853 WLN589849:WLZ589853 WVJ589849:WVV589853 IX655385:JJ655389 ST655385:TF655389 ACP655385:ADB655389 AML655385:AMX655389 AWH655385:AWT655389 BGD655385:BGP655389 BPZ655385:BQL655389 BZV655385:CAH655389 CJR655385:CKD655389 CTN655385:CTZ655389 DDJ655385:DDV655389 DNF655385:DNR655389 DXB655385:DXN655389 EGX655385:EHJ655389 EQT655385:ERF655389 FAP655385:FBB655389 FKL655385:FKX655389 FUH655385:FUT655389 GED655385:GEP655389 GNZ655385:GOL655389 GXV655385:GYH655389 HHR655385:HID655389 HRN655385:HRZ655389 IBJ655385:IBV655389 ILF655385:ILR655389 IVB655385:IVN655389 JEX655385:JFJ655389 JOT655385:JPF655389 JYP655385:JZB655389 KIL655385:KIX655389 KSH655385:KST655389 LCD655385:LCP655389 LLZ655385:LML655389 LVV655385:LWH655389 MFR655385:MGD655389 MPN655385:MPZ655389 MZJ655385:MZV655389 NJF655385:NJR655389 NTB655385:NTN655389 OCX655385:ODJ655389 OMT655385:ONF655389 OWP655385:OXB655389 PGL655385:PGX655389 PQH655385:PQT655389 QAD655385:QAP655389 QJZ655385:QKL655389 QTV655385:QUH655389 RDR655385:RED655389 RNN655385:RNZ655389 RXJ655385:RXV655389 SHF655385:SHR655389 SRB655385:SRN655389 TAX655385:TBJ655389 TKT655385:TLF655389 TUP655385:TVB655389 UEL655385:UEX655389 UOH655385:UOT655389 UYD655385:UYP655389 VHZ655385:VIL655389 VRV655385:VSH655389 WBR655385:WCD655389 WLN655385:WLZ655389 WVJ655385:WVV655389 IX720921:JJ720925 ST720921:TF720925 ACP720921:ADB720925 AML720921:AMX720925 AWH720921:AWT720925 BGD720921:BGP720925 BPZ720921:BQL720925 BZV720921:CAH720925 CJR720921:CKD720925 CTN720921:CTZ720925 DDJ720921:DDV720925 DNF720921:DNR720925 DXB720921:DXN720925 EGX720921:EHJ720925 EQT720921:ERF720925 FAP720921:FBB720925 FKL720921:FKX720925 FUH720921:FUT720925 GED720921:GEP720925 GNZ720921:GOL720925 GXV720921:GYH720925 HHR720921:HID720925 HRN720921:HRZ720925 IBJ720921:IBV720925 ILF720921:ILR720925 IVB720921:IVN720925 JEX720921:JFJ720925 JOT720921:JPF720925 JYP720921:JZB720925 KIL720921:KIX720925 KSH720921:KST720925 LCD720921:LCP720925 LLZ720921:LML720925 LVV720921:LWH720925 MFR720921:MGD720925 MPN720921:MPZ720925 MZJ720921:MZV720925 NJF720921:NJR720925 NTB720921:NTN720925 OCX720921:ODJ720925 OMT720921:ONF720925 OWP720921:OXB720925 PGL720921:PGX720925 PQH720921:PQT720925 QAD720921:QAP720925 QJZ720921:QKL720925 QTV720921:QUH720925 RDR720921:RED720925 RNN720921:RNZ720925 RXJ720921:RXV720925 SHF720921:SHR720925 SRB720921:SRN720925 TAX720921:TBJ720925 TKT720921:TLF720925 TUP720921:TVB720925 UEL720921:UEX720925 UOH720921:UOT720925 UYD720921:UYP720925 VHZ720921:VIL720925 VRV720921:VSH720925 WBR720921:WCD720925 WLN720921:WLZ720925 WVJ720921:WVV720925 IX786457:JJ786461 ST786457:TF786461 ACP786457:ADB786461 AML786457:AMX786461 AWH786457:AWT786461 BGD786457:BGP786461 BPZ786457:BQL786461 BZV786457:CAH786461 CJR786457:CKD786461 CTN786457:CTZ786461 DDJ786457:DDV786461 DNF786457:DNR786461 DXB786457:DXN786461 EGX786457:EHJ786461 EQT786457:ERF786461 FAP786457:FBB786461 FKL786457:FKX786461 FUH786457:FUT786461 GED786457:GEP786461 GNZ786457:GOL786461 GXV786457:GYH786461 HHR786457:HID786461 HRN786457:HRZ786461 IBJ786457:IBV786461 ILF786457:ILR786461 IVB786457:IVN786461 JEX786457:JFJ786461 JOT786457:JPF786461 JYP786457:JZB786461 KIL786457:KIX786461 KSH786457:KST786461 LCD786457:LCP786461 LLZ786457:LML786461 LVV786457:LWH786461 MFR786457:MGD786461 MPN786457:MPZ786461 MZJ786457:MZV786461 NJF786457:NJR786461 NTB786457:NTN786461 OCX786457:ODJ786461 OMT786457:ONF786461 OWP786457:OXB786461 PGL786457:PGX786461 PQH786457:PQT786461 QAD786457:QAP786461 QJZ786457:QKL786461 QTV786457:QUH786461 RDR786457:RED786461 RNN786457:RNZ786461 RXJ786457:RXV786461 SHF786457:SHR786461 SRB786457:SRN786461 TAX786457:TBJ786461 TKT786457:TLF786461 TUP786457:TVB786461 UEL786457:UEX786461 UOH786457:UOT786461 UYD786457:UYP786461 VHZ786457:VIL786461 VRV786457:VSH786461 WBR786457:WCD786461 WLN786457:WLZ786461 WVJ786457:WVV786461 IX851993:JJ851997 ST851993:TF851997 ACP851993:ADB851997 AML851993:AMX851997 AWH851993:AWT851997 BGD851993:BGP851997 BPZ851993:BQL851997 BZV851993:CAH851997 CJR851993:CKD851997 CTN851993:CTZ851997 DDJ851993:DDV851997 DNF851993:DNR851997 DXB851993:DXN851997 EGX851993:EHJ851997 EQT851993:ERF851997 FAP851993:FBB851997 FKL851993:FKX851997 FUH851993:FUT851997 GED851993:GEP851997 GNZ851993:GOL851997 GXV851993:GYH851997 HHR851993:HID851997 HRN851993:HRZ851997 IBJ851993:IBV851997 ILF851993:ILR851997 IVB851993:IVN851997 JEX851993:JFJ851997 JOT851993:JPF851997 JYP851993:JZB851997 KIL851993:KIX851997 KSH851993:KST851997 LCD851993:LCP851997 LLZ851993:LML851997 LVV851993:LWH851997 MFR851993:MGD851997 MPN851993:MPZ851997 MZJ851993:MZV851997 NJF851993:NJR851997 NTB851993:NTN851997 OCX851993:ODJ851997 OMT851993:ONF851997 OWP851993:OXB851997 PGL851993:PGX851997 PQH851993:PQT851997 QAD851993:QAP851997 QJZ851993:QKL851997 QTV851993:QUH851997 RDR851993:RED851997 RNN851993:RNZ851997 RXJ851993:RXV851997 SHF851993:SHR851997 SRB851993:SRN851997 TAX851993:TBJ851997 TKT851993:TLF851997 TUP851993:TVB851997 UEL851993:UEX851997 UOH851993:UOT851997 UYD851993:UYP851997 VHZ851993:VIL851997 VRV851993:VSH851997 WBR851993:WCD851997 WLN851993:WLZ851997 WVJ851993:WVV851997 IX917529:JJ917533 ST917529:TF917533 ACP917529:ADB917533 AML917529:AMX917533 AWH917529:AWT917533 BGD917529:BGP917533 BPZ917529:BQL917533 BZV917529:CAH917533 CJR917529:CKD917533 CTN917529:CTZ917533 DDJ917529:DDV917533 DNF917529:DNR917533 DXB917529:DXN917533 EGX917529:EHJ917533 EQT917529:ERF917533 FAP917529:FBB917533 FKL917529:FKX917533 FUH917529:FUT917533 GED917529:GEP917533 GNZ917529:GOL917533 GXV917529:GYH917533 HHR917529:HID917533 HRN917529:HRZ917533 IBJ917529:IBV917533 ILF917529:ILR917533 IVB917529:IVN917533 JEX917529:JFJ917533 JOT917529:JPF917533 JYP917529:JZB917533 KIL917529:KIX917533 KSH917529:KST917533 LCD917529:LCP917533 LLZ917529:LML917533 LVV917529:LWH917533 MFR917529:MGD917533 MPN917529:MPZ917533 MZJ917529:MZV917533 NJF917529:NJR917533 NTB917529:NTN917533 OCX917529:ODJ917533 OMT917529:ONF917533 OWP917529:OXB917533 PGL917529:PGX917533 PQH917529:PQT917533 QAD917529:QAP917533 QJZ917529:QKL917533 QTV917529:QUH917533 RDR917529:RED917533 RNN917529:RNZ917533 RXJ917529:RXV917533 SHF917529:SHR917533 SRB917529:SRN917533 TAX917529:TBJ917533 TKT917529:TLF917533 TUP917529:TVB917533 UEL917529:UEX917533 UOH917529:UOT917533 UYD917529:UYP917533 VHZ917529:VIL917533 VRV917529:VSH917533 WBR917529:WCD917533 WLN917529:WLZ917533 WVJ917529:WVV917533 WVJ983065:WVV983069 IX983065:JJ983069 ST983065:TF983069 ACP983065:ADB983069 AML983065:AMX983069 AWH983065:AWT983069 BGD983065:BGP983069 BPZ983065:BQL983069 BZV983065:CAH983069 CJR983065:CKD983069 CTN983065:CTZ983069 DDJ983065:DDV983069 DNF983065:DNR983069 DXB983065:DXN983069 EGX983065:EHJ983069 EQT983065:ERF983069 FAP983065:FBB983069 FKL983065:FKX983069 FUH983065:FUT983069 GED983065:GEP983069 GNZ983065:GOL983069 GXV983065:GYH983069 HHR983065:HID983069 HRN983065:HRZ983069 IBJ983065:IBV983069 ILF983065:ILR983069 IVB983065:IVN983069 JEX983065:JFJ983069 JOT983065:JPF983069 JYP983065:JZB983069 KIL983065:KIX983069 KSH983065:KST983069 LCD983065:LCP983069 LLZ983065:LML983069 LVV983065:LWH983069 MFR983065:MGD983069 MPN983065:MPZ983069 MZJ983065:MZV983069 NJF983065:NJR983069 NTB983065:NTN983069 OCX983065:ODJ983069 OMT983065:ONF983069 OWP983065:OXB983069 PGL983065:PGX983069 PQH983065:PQT983069 QAD983065:QAP983069 QJZ983065:QKL983069 QTV983065:QUH983069 RDR983065:RED983069 RNN983065:RNZ983069 RXJ983065:RXV983069 SHF983065:SHR983069 SRB983065:SRN983069 TAX983065:TBJ983069 TKT983065:TLF983069 TUP983065:TVB983069 UEL983065:UEX983069 UOH983065:UOT983069 UYD983065:UYP983069 VHZ983065:VIL983069 VRV983065:VSH983069 WBR983065:WCD983069 WLN983065:WLZ983069 L983065:X983069 L65561:X65565 L131097:X131101 L196633:X196637 L262169:X262173 L327705:X327709 L393241:X393245 L458777:X458781 L524313:X524317 L589849:X589853 L655385:X655389 L720921:X720925 L786457:X786461 L851993:X851997 L917529:X91753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119DB1F-8AC8-F94C-D331-778592A59799}" mc:Ignorable="x14ac xr xr2 xr3">
  <sheetPr>
    <tabColor theme="6" tint="0.4"/>
  </sheetPr>
  <dimension ref="A1:L42"/>
  <sheetViews>
    <sheetView topLeftCell="C13" showGridLines="0" zoomScale="90" workbookViewId="0">
      <selection activeCell="A1" sqref="A1"/>
    </sheetView>
  </sheetViews>
  <sheetFormatPr defaultColWidth="10.57421875" customHeight="1" defaultRowHeight="14.25"/>
  <cols>
    <col min="1" max="1" style="9887" width="9.140625" hidden="1" customWidth="1"/>
    <col min="2" max="2" style="11074" width="9.140625" hidden="1" customWidth="1"/>
    <col min="3" max="3" style="10046" width="3.7109375" customWidth="1"/>
    <col min="4" max="4" style="11126" width="6.28125" customWidth="1"/>
    <col min="5" max="5" style="11126" width="63.421875" customWidth="1"/>
    <col min="6" max="6" style="11126" width="1.7109375" hidden="1" customWidth="1"/>
    <col min="7" max="8" style="11126" width="35.7109375" customWidth="1"/>
    <col min="9" max="9" style="11126" width="91.57421875" customWidth="1"/>
    <col min="10" max="10" style="11126" width="68.8515625" customWidth="1"/>
    <col min="11" max="12" style="11318" width="10.57421875"/>
  </cols>
  <sheetData>
    <row customHeight="1" ht="14.25" hidden="1"/>
    <row s="11126" customFormat="1" customHeight="1" ht="18.75" hidden="1">
      <c r="A2" s="1996"/>
      <c r="B2" s="1421"/>
      <c r="C2" s="2045" t="s">
        <v>121</v>
      </c>
      <c r="D2" s="1986"/>
      <c r="E2" s="4414"/>
      <c r="F2" s="1983"/>
      <c r="G2" s="1983" t="s">
        <v>368</v>
      </c>
      <c r="H2" s="1422"/>
      <c r="K2" s="1937"/>
      <c r="L2" s="1937"/>
    </row>
    <row s="11126" customFormat="1" customHeight="1" ht="14.25" hidden="1">
      <c r="A3" s="1658"/>
      <c r="B3" s="1421"/>
      <c r="C3" s="565"/>
      <c r="K3" s="1937"/>
      <c r="L3" s="1937"/>
    </row>
    <row s="11126" customFormat="1" customHeight="1" ht="18.75" hidden="1">
      <c r="A4" s="1996"/>
      <c r="B4" s="1421"/>
      <c r="C4" s="2045" t="s">
        <v>121</v>
      </c>
      <c r="D4" s="1986"/>
      <c r="E4" s="4415" t="s">
        <v>1635</v>
      </c>
      <c r="F4" s="1983"/>
      <c r="G4" s="4416"/>
      <c r="H4" s="1983" t="s">
        <v>368</v>
      </c>
      <c r="K4" s="1937"/>
      <c r="L4" s="1937"/>
    </row>
    <row s="11126" customFormat="1" customHeight="1" ht="14.25" hidden="1">
      <c r="A5" s="1658"/>
      <c r="B5" s="1421"/>
      <c r="C5" s="565"/>
      <c r="K5" s="1937"/>
      <c r="L5" s="1937"/>
    </row>
    <row s="11126" customFormat="1" customHeight="1" ht="18.75" hidden="1">
      <c r="A6" s="1996"/>
      <c r="B6" s="1421"/>
      <c r="C6" s="2045" t="s">
        <v>121</v>
      </c>
      <c r="D6" s="1986"/>
      <c r="E6" s="4417" t="s">
        <v>1636</v>
      </c>
      <c r="F6" s="1983"/>
      <c r="G6" s="4416"/>
      <c r="H6" s="1983" t="s">
        <v>368</v>
      </c>
      <c r="K6" s="1937"/>
      <c r="L6" s="1937"/>
    </row>
    <row s="11126" customFormat="1" customHeight="1" ht="14.25" hidden="1">
      <c r="A7" s="1658"/>
      <c r="B7" s="1421"/>
      <c r="C7" s="565"/>
      <c r="K7" s="1937"/>
      <c r="L7" s="1937"/>
    </row>
    <row s="11126" customFormat="1" customHeight="1" ht="18.75" hidden="1">
      <c r="A8" s="1996"/>
      <c r="B8" s="1421"/>
      <c r="C8" s="2045" t="s">
        <v>121</v>
      </c>
      <c r="D8" s="1986"/>
      <c r="E8" s="4417" t="s">
        <v>1637</v>
      </c>
      <c r="F8" s="1983"/>
      <c r="G8" s="4416"/>
      <c r="H8" s="1983" t="s">
        <v>368</v>
      </c>
      <c r="K8" s="1937"/>
      <c r="L8" s="1937"/>
    </row>
    <row s="11126" customFormat="1" customHeight="1" ht="14.25" hidden="1">
      <c r="A9" s="1658"/>
      <c r="B9" s="1421"/>
      <c r="C9" s="565"/>
      <c r="K9" s="1937"/>
      <c r="L9" s="1937"/>
    </row>
    <row s="11126" customFormat="1" customHeight="1" ht="18.75" hidden="1">
      <c r="A10" s="1996"/>
      <c r="B10" s="1421"/>
      <c r="C10" s="2045" t="s">
        <v>121</v>
      </c>
      <c r="D10" s="1986"/>
      <c r="E10" s="4417" t="s">
        <v>1638</v>
      </c>
      <c r="F10" s="1983"/>
      <c r="G10" s="1987"/>
      <c r="H10" s="1983" t="s">
        <v>368</v>
      </c>
      <c r="K10" s="1937"/>
      <c r="L10" s="1937" t="s">
        <v>1639</v>
      </c>
    </row>
    <row customHeight="1" ht="14.25" hidden="1"/>
    <row customHeight="1" ht="14.25" hidden="1"/>
    <row customHeight="1" ht="14.25">
      <c r="C13" s="300"/>
      <c r="D13" s="286"/>
      <c r="E13" s="286"/>
      <c r="F13" s="286"/>
      <c r="G13" s="286"/>
      <c r="H13" s="287"/>
      <c r="I13" s="287"/>
    </row>
    <row customHeight="1" ht="30">
      <c r="C14" s="300"/>
      <c r="D14" s="2401" t="str">
        <f>PROCEDURE_TC_NAME_FORM</f>
        <v>Форма 18. Информация о порядке выполнения технологических, технических и других мероприятий, связанных с подключением (технологическим присоединением) к системе теплоснабжения &lt;1&gt;</v>
      </c>
      <c r="E14" s="2402"/>
      <c r="F14" s="2402"/>
      <c r="G14" s="2402"/>
      <c r="H14" s="2403"/>
      <c r="J14" s="1944"/>
    </row>
    <row s="11126" customFormat="1" customHeight="1" ht="14.25">
      <c r="A15" s="1658"/>
      <c r="B15" s="1421"/>
      <c r="C15" s="602"/>
      <c r="D15" s="2404" t="str">
        <f>IF(org=0,"Не определено",org)</f>
        <v>ООО "СамРЭК-Тепло Жигулевск"</v>
      </c>
      <c r="E15" s="2405"/>
      <c r="F15" s="2405"/>
      <c r="G15" s="2405"/>
      <c r="H15" s="2406"/>
      <c r="J15" s="1098"/>
      <c r="K15" s="1937"/>
      <c r="L15" s="1937"/>
    </row>
    <row customHeight="1" ht="14.25">
      <c r="C16" s="300"/>
      <c r="D16" s="286"/>
      <c r="E16" s="299"/>
      <c r="F16" s="299"/>
      <c r="G16" s="299"/>
      <c r="H16" s="991"/>
      <c r="I16" s="400"/>
    </row>
    <row s="11126" customFormat="1" customHeight="1" ht="14.25" hidden="1">
      <c r="A17" s="1658"/>
      <c r="B17" s="1421"/>
      <c r="C17" s="602"/>
      <c r="D17" s="586"/>
      <c r="E17" s="621"/>
      <c r="F17" s="621"/>
      <c r="G17" s="621"/>
      <c r="H17" s="991"/>
      <c r="I17" s="400"/>
      <c r="K17" s="1937"/>
      <c r="L17" s="1937"/>
    </row>
    <row customHeight="1" ht="21">
      <c r="C18" s="300"/>
      <c r="D18" s="2301" t="s">
        <v>362</v>
      </c>
      <c r="E18" s="2301"/>
      <c r="F18" s="2301"/>
      <c r="G18" s="2301"/>
      <c r="H18" s="2301"/>
      <c r="I18" s="2407" t="s">
        <v>363</v>
      </c>
    </row>
    <row customHeight="1" ht="21">
      <c r="C19" s="300"/>
      <c r="D19" s="310" t="s">
        <v>88</v>
      </c>
      <c r="E19" s="313" t="s">
        <v>364</v>
      </c>
      <c r="F19" s="313"/>
      <c r="G19" s="313" t="s">
        <v>365</v>
      </c>
      <c r="H19" s="313" t="s">
        <v>454</v>
      </c>
      <c r="I19" s="2407"/>
    </row>
    <row customHeight="1" ht="12">
      <c r="C20" s="300"/>
      <c r="D20" s="289" t="s">
        <v>109</v>
      </c>
      <c r="E20" s="289" t="s">
        <v>110</v>
      </c>
      <c r="F20" s="289"/>
      <c r="G20" s="289" t="s">
        <v>90</v>
      </c>
      <c r="H20" s="289" t="s">
        <v>91</v>
      </c>
      <c r="I20" s="289" t="s">
        <v>111</v>
      </c>
    </row>
    <row customHeight="1" ht="14.25">
      <c r="A21" s="1996"/>
      <c r="C21" s="300"/>
      <c r="D21" s="353">
        <v>1</v>
      </c>
      <c r="E21" s="2540" t="s">
        <v>1640</v>
      </c>
      <c r="F21" s="2540"/>
      <c r="G21" s="2540"/>
      <c r="H21" s="2540"/>
      <c r="I21" s="415"/>
    </row>
    <row customHeight="1" ht="20.25">
      <c r="A22" s="1996"/>
      <c r="C22" s="300"/>
      <c r="D22" s="353" t="s">
        <v>685</v>
      </c>
      <c r="E22" s="401" t="s">
        <v>1641</v>
      </c>
      <c r="F22" s="405"/>
      <c r="G22" s="2052"/>
      <c r="H22" s="405" t="s">
        <v>368</v>
      </c>
      <c r="I22" s="357" t="s">
        <v>1642</v>
      </c>
    </row>
    <row customHeight="1" ht="45">
      <c r="A23" s="1996"/>
      <c r="C23" s="300"/>
      <c r="D23" s="353" t="s">
        <v>691</v>
      </c>
      <c r="E23" s="401" t="s">
        <v>1643</v>
      </c>
      <c r="F23" s="405"/>
      <c r="G23" s="4416"/>
      <c r="H23" s="421"/>
      <c r="I23" s="466" t="s">
        <v>1644</v>
      </c>
    </row>
    <row customHeight="1" ht="14.25">
      <c r="A24" s="1996"/>
      <c r="B24" s="352">
        <v>3</v>
      </c>
      <c r="C24" s="300"/>
      <c r="D24" s="353">
        <v>2</v>
      </c>
      <c r="E24" s="430" t="str">
        <f>"Форма заявки на заключение договора о подключении (технологическом присоединении) к системе "&amp;TEMPLATE_SPHERE_RUS</f>
        <v>Форма заявки на заключение договора о подключении (технологическом присоединении) к системе теплоснабжения</v>
      </c>
      <c r="F24" s="405"/>
      <c r="G24" s="405" t="s">
        <v>368</v>
      </c>
      <c r="H24" s="421"/>
      <c r="I24" s="467" t="s">
        <v>775</v>
      </c>
    </row>
    <row customHeight="1" ht="46.5">
      <c r="A25" s="1996"/>
      <c r="C25" s="300"/>
      <c r="D25" s="353">
        <v>3</v>
      </c>
      <c r="E25" s="2539" t="str">
        <f>"Перечень документов и сведений, представляемых одновременно "&amp;IF(TEMPLATE_SPHERE="HEAT","с заявкой на заключение","с заявлением о заключении")&amp;" договора о подключении (технологическом присоединении) к системе "&amp;TEMPLATE_SPHERE_RUS&amp;IF(TEMPLATE_SPHERE="HEAT","",",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Федерации"&amp;" о градостроительной деятельности и законодательством Российской Федерации в сфере водоснабжения и водоотведения")</f>
        <v>Перечень документов и сведений, представляемых одновременно с заявкой на заключение договора о подключении (технологическом присоединении) к системе теплоснабжения</v>
      </c>
      <c r="F25" s="2539"/>
      <c r="G25" s="2539"/>
      <c r="H25" s="2539"/>
      <c r="I25" s="464"/>
    </row>
    <row customHeight="1" ht="14.25">
      <c r="A26" s="1996"/>
      <c r="C26" s="300"/>
      <c r="D26" s="353" t="s">
        <v>388</v>
      </c>
      <c r="E26" s="4414"/>
      <c r="F26" s="405"/>
      <c r="G26" s="405" t="s">
        <v>368</v>
      </c>
      <c r="H26" s="421"/>
      <c r="I26" s="2287" t="s">
        <v>1645</v>
      </c>
    </row>
    <row customHeight="1" ht="15">
      <c r="A27" s="1996" t="s">
        <v>109</v>
      </c>
      <c r="C27" s="300"/>
      <c r="D27" s="314"/>
      <c r="E27" s="410" t="s">
        <v>1510</v>
      </c>
      <c r="F27" s="411"/>
      <c r="G27" s="411"/>
      <c r="H27" s="408"/>
      <c r="I27" s="2289"/>
    </row>
    <row customHeight="1" ht="38.25">
      <c r="A28" s="1996"/>
      <c r="B28" s="352">
        <v>3</v>
      </c>
      <c r="C28" s="300"/>
      <c r="D28" s="353">
        <v>4</v>
      </c>
      <c r="E28" s="2539" t="str">
        <f>"Реквизиты нормативных правовых актов, регламентирующих порядок действий заявителя и "&amp;IF(TEMPLATE_SPHERE="HEAT","регулируемой ","")&amp;"организации"&amp;IF(TEMPLATE_SPHERE="HEAT",""," "&amp;TEMPLATE_SPHERE_RUS)&amp;" при подаче, приеме, обработке "&amp;IF(TEMPLATE_SPHERE="HEAT","заявки на заключение","заявления о заключении")&amp;" договора о подключении (технологическом присоединении) к системе "&amp;TEMPLATE_SPHERE_RUS&amp;IF(TEMPLATE_SPHERE="HEAT",""," (в том числе в форме электронного документа)")</f>
        <v>Реквизиты нормативных правовых актов, регламентирующих порядок действий заявителя и регулируемой организации при подаче, приеме, обработке заявки на заключение договора о подключении (технологическом присоединении) к системе теплоснабжения</v>
      </c>
      <c r="F28" s="2539"/>
      <c r="G28" s="2539"/>
      <c r="H28" s="2539"/>
      <c r="I28" s="464"/>
    </row>
    <row customHeight="1" ht="20.25">
      <c r="A29" s="1996"/>
      <c r="C29" s="300"/>
      <c r="D29" s="353" t="s">
        <v>678</v>
      </c>
      <c r="E29" s="4415" t="s">
        <v>1635</v>
      </c>
      <c r="F29" s="405"/>
      <c r="G29" s="4416"/>
      <c r="H29" s="405" t="s">
        <v>368</v>
      </c>
      <c r="I29" s="2287" t="s">
        <v>1646</v>
      </c>
    </row>
    <row customHeight="1" ht="15">
      <c r="A30" s="1996" t="s">
        <v>110</v>
      </c>
      <c r="C30" s="300"/>
      <c r="D30" s="314"/>
      <c r="E30" s="410" t="s">
        <v>1510</v>
      </c>
      <c r="F30" s="411"/>
      <c r="G30" s="411"/>
      <c r="H30" s="408"/>
      <c r="I30" s="2289"/>
    </row>
    <row customHeight="1" ht="30">
      <c r="A31" s="1996"/>
      <c r="B31" s="352">
        <v>3</v>
      </c>
      <c r="C31" s="300"/>
      <c r="D31" s="353">
        <v>5</v>
      </c>
      <c r="E31" s="2539" t="str">
        <f>"Телефоны,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теплоснабжения</v>
      </c>
      <c r="F31" s="2539"/>
      <c r="G31" s="2539"/>
      <c r="H31" s="2539"/>
      <c r="I31" s="464"/>
    </row>
    <row customHeight="1" ht="26.25">
      <c r="A32" s="1996"/>
      <c r="C32" s="300"/>
      <c r="D32" s="353" t="s">
        <v>377</v>
      </c>
      <c r="E32" s="2537" t="str">
        <f>"телефоны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службы, ответственной за прием и обработку заявок на заключение договора о подключении (технологическом присоединении) к системе теплоснабжения</v>
      </c>
      <c r="F32" s="2537"/>
      <c r="G32" s="2537"/>
      <c r="H32" s="2537"/>
      <c r="I32" s="464"/>
    </row>
    <row customHeight="1" ht="14.25">
      <c r="A33" s="1996"/>
      <c r="C33" s="300"/>
      <c r="D33" s="353" t="s">
        <v>686</v>
      </c>
      <c r="E33" s="4417" t="s">
        <v>1636</v>
      </c>
      <c r="F33" s="405"/>
      <c r="G33" s="4416"/>
      <c r="H33" s="405" t="s">
        <v>368</v>
      </c>
      <c r="I33" s="2287" t="s">
        <v>1647</v>
      </c>
    </row>
    <row customHeight="1" ht="15">
      <c r="A34" s="1996" t="s">
        <v>90</v>
      </c>
      <c r="C34" s="300"/>
      <c r="D34" s="314"/>
      <c r="E34" s="411" t="s">
        <v>1510</v>
      </c>
      <c r="F34" s="407"/>
      <c r="G34" s="407"/>
      <c r="H34" s="408"/>
      <c r="I34" s="2289"/>
    </row>
    <row customHeight="1" ht="24">
      <c r="A35" s="1996"/>
      <c r="C35" s="300"/>
      <c r="D35" s="353" t="s">
        <v>379</v>
      </c>
      <c r="E35" s="2537" t="str">
        <f>"адреса службы, ответственной за прием и обработку заявок на заключение договора о подключении (технологическом присоединении) к системе "&amp;TEMPLATE_SPHERE_RUS</f>
        <v>адреса службы, ответственной за прием и обработку заявок на заключение договора о подключении (технологическом присоединении) к системе теплоснабжения</v>
      </c>
      <c r="F35" s="2537"/>
      <c r="G35" s="2537"/>
      <c r="H35" s="2537"/>
      <c r="I35" s="464"/>
    </row>
    <row customHeight="1" ht="14.25">
      <c r="A36" s="1996"/>
      <c r="C36" s="300"/>
      <c r="D36" s="353" t="s">
        <v>1648</v>
      </c>
      <c r="E36" s="4417" t="s">
        <v>1637</v>
      </c>
      <c r="F36" s="405"/>
      <c r="G36" s="4416"/>
      <c r="H36" s="405" t="s">
        <v>368</v>
      </c>
      <c r="I36" s="2538" t="s">
        <v>1649</v>
      </c>
    </row>
    <row customHeight="1" ht="15">
      <c r="A37" s="1996" t="s">
        <v>91</v>
      </c>
      <c r="C37" s="300"/>
      <c r="D37" s="314"/>
      <c r="E37" s="411" t="s">
        <v>1510</v>
      </c>
      <c r="F37" s="407"/>
      <c r="G37" s="407"/>
      <c r="H37" s="408"/>
      <c r="I37" s="2538"/>
    </row>
    <row customHeight="1" ht="26.25">
      <c r="A38" s="1996"/>
      <c r="C38" s="300"/>
      <c r="D38" s="353" t="s">
        <v>382</v>
      </c>
      <c r="E38" s="2537" t="str">
        <f>"график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график работы службы, ответственной за прием и обработку заявок на заключение договора о подключении (технологическом присоединении) к системе теплоснабжения</v>
      </c>
      <c r="F38" s="2537"/>
      <c r="G38" s="2537"/>
      <c r="H38" s="2537"/>
      <c r="I38" s="464"/>
    </row>
    <row customHeight="1" ht="14.25">
      <c r="A39" s="1996"/>
      <c r="C39" s="300"/>
      <c r="D39" s="353" t="s">
        <v>1650</v>
      </c>
      <c r="E39" s="4417" t="s">
        <v>1638</v>
      </c>
      <c r="F39" s="405"/>
      <c r="G39" s="414"/>
      <c r="H39" s="405" t="s">
        <v>368</v>
      </c>
      <c r="I39" s="2287" t="s">
        <v>1651</v>
      </c>
      <c r="L39" s="363" t="s">
        <v>1639</v>
      </c>
    </row>
    <row customHeight="1" ht="15">
      <c r="A40" s="1996" t="s">
        <v>111</v>
      </c>
      <c r="C40" s="300"/>
      <c r="D40" s="314"/>
      <c r="E40" s="411" t="s">
        <v>1510</v>
      </c>
      <c r="F40" s="407"/>
      <c r="G40" s="407"/>
      <c r="H40" s="408"/>
      <c r="I40" s="2289"/>
    </row>
    <row s="11265" customFormat="1" customHeight="1" ht="3">
      <c r="A41" s="1996"/>
      <c r="K41" s="403"/>
      <c r="L41" s="403"/>
    </row>
    <row customHeight="1" ht="24.75">
      <c r="D42" s="1994" t="s">
        <v>1565</v>
      </c>
      <c r="E42" s="2452" t="str">
        <f>"Информация размещается в случае, если организация осуществляет услуги по подключению (технологическому присоединению) к системе "&amp;TEMPLATE_SPHERE_RUS&amp;"."</f>
        <v>Информация размещается в случае, если организация осуществляет услуги по подключению (технологическому присоединению) к системе теплоснабжения.</v>
      </c>
      <c r="F42" s="2452"/>
      <c r="G42" s="2452"/>
      <c r="H42" s="2452"/>
      <c r="I42" s="2452"/>
    </row>
  </sheetData>
  <sheetProtection formatColumns="0" formatRows="0" autoFilter="0" sort="0" insertRows="0" insertColumns="1" deleteRows="0" deleteColumns="0"/>
  <mergeCells count="17">
    <mergeCell ref="I29:I30"/>
    <mergeCell ref="E31:H31"/>
    <mergeCell ref="D14:H14"/>
    <mergeCell ref="D18:H18"/>
    <mergeCell ref="I18:I19"/>
    <mergeCell ref="E21:H21"/>
    <mergeCell ref="E25:H25"/>
    <mergeCell ref="I26:I27"/>
    <mergeCell ref="E28:H28"/>
    <mergeCell ref="D15:H15"/>
    <mergeCell ref="E42:I42"/>
    <mergeCell ref="E32:H32"/>
    <mergeCell ref="E35:H35"/>
    <mergeCell ref="E38:H38"/>
    <mergeCell ref="I33:I34"/>
    <mergeCell ref="I36:I37"/>
    <mergeCell ref="I39:I40"/>
  </mergeCells>
  <dataValidations count="4">
    <dataValidation type="textLength" operator="lessThanOrEqual" allowBlank="1" showInputMessage="1" showErrorMessage="1" errorTitle="Ошибка" error="Допускается ввод не более 900 символов!" sqref="I23:I24 I33 G36 I39 I26 E29 G33 E36 I29 E33 I36 G23 E26 I10 E23 G29 E10 G8 E2 I2 I4 G4 E4 E6 I6 G6 E8 I8 E39">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23:H24 H2 H26">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G10 G39">
      <formula1>"a"</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2"/>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drawing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99BFEDF-F955-2D6A-4738-B9F115647CF6}" mc:Ignorable="x14ac xr xr2 xr3">
  <sheetPr>
    <tabColor theme="6" tint="0.4"/>
  </sheetPr>
  <dimension ref="A1:Q16"/>
  <sheetViews>
    <sheetView topLeftCell="C4" showGridLines="0" zoomScale="90" workbookViewId="0">
      <selection activeCell="A1" sqref="A1"/>
    </sheetView>
  </sheetViews>
  <sheetFormatPr defaultColWidth="10.57421875" customHeight="1" defaultRowHeight="14.25"/>
  <cols>
    <col min="1" max="1" style="11241" width="9.140625" hidden="1" customWidth="1"/>
    <col min="2" max="2" style="11074" width="9.140625" hidden="1" customWidth="1"/>
    <col min="3" max="3" style="10046" width="3.7109375" customWidth="1"/>
    <col min="4" max="4" style="11126" width="6.28125" customWidth="1"/>
    <col min="5" max="5" style="11126" width="38.140625" customWidth="1"/>
    <col min="6" max="7" style="11126" width="35.7109375" customWidth="1"/>
    <col min="8" max="8" style="11126" width="89.57421875" customWidth="1"/>
    <col min="9" max="9" style="11126" width="10.57421875"/>
    <col min="10" max="11" style="11318" width="10.57421875"/>
    <col min="12" max="17" style="11126" width="10.57421875"/>
  </cols>
  <sheetData>
    <row customHeight="1" ht="14.25" hidden="1">
      <c r="N1" s="463"/>
      <c r="O1" s="463"/>
      <c r="Q1" s="463"/>
    </row>
    <row s="11126" customFormat="1" customHeight="1" ht="18.75" hidden="1">
      <c r="A2" s="307"/>
      <c r="B2" s="1421"/>
      <c r="C2" s="2045" t="s">
        <v>121</v>
      </c>
      <c r="D2" s="1986"/>
      <c r="E2" s="4436"/>
      <c r="F2" s="4416"/>
      <c r="G2" s="1422"/>
      <c r="H2" s="599"/>
      <c r="I2" s="1937"/>
      <c r="J2" s="1937"/>
    </row>
    <row customHeight="1" ht="14.25" hidden="1"/>
    <row customHeight="1" ht="6">
      <c r="C4" s="602"/>
      <c r="D4" s="586"/>
      <c r="E4" s="586"/>
      <c r="F4" s="586"/>
      <c r="G4" s="287"/>
      <c r="H4" s="287"/>
    </row>
    <row customHeight="1" ht="54.75">
      <c r="C5" s="602"/>
      <c r="D5" s="2401" t="str">
        <f>PURCH_NAME_FORM</f>
        <v>Форма 19. Информация о способах приобретения, стоимости и об объемах товаров, необходимых регулируемой организации для производства товаров (оказания услуг) в сфере теплоснабжения, цены (тарифы) на которые подлежат регулированию, о способах приобретения, стоимости и об объемах товаров, необходимых для производства товаров и (или) оказания услуг единой теплоснабжающей организацией в ценовых зонах теплоснабжения, о способах приобретения, стоимости и об объемах товаров, необходимых для производства товаров и (или) оказания услуг теплоснабжающей организацией в ценовых зонах теплоснабжения и теплосетевой организацией в ценовых зонах теплоснабжения</v>
      </c>
      <c r="E5" s="2402"/>
      <c r="F5" s="2402"/>
      <c r="G5" s="2403"/>
      <c r="H5" s="474"/>
    </row>
    <row s="11126" customFormat="1" customHeight="1" ht="17.25">
      <c r="A6" s="1982"/>
      <c r="B6" s="1421"/>
      <c r="C6" s="602"/>
      <c r="D6" s="2404" t="str">
        <f>IF(org=0,"Не определено",org)</f>
        <v>ООО "СамРЭК-Тепло Жигулевск"</v>
      </c>
      <c r="E6" s="2405"/>
      <c r="F6" s="2405"/>
      <c r="G6" s="2406"/>
      <c r="H6" s="474"/>
      <c r="J6" s="1937"/>
      <c r="K6" s="1937"/>
    </row>
    <row customHeight="1" ht="14.25">
      <c r="C7" s="602"/>
      <c r="D7" s="586"/>
      <c r="E7" s="621"/>
      <c r="F7" s="621"/>
      <c r="G7" s="991"/>
      <c r="H7" s="400"/>
    </row>
    <row customHeight="1" ht="14.25">
      <c r="C8" s="602"/>
      <c r="D8" s="2301" t="s">
        <v>362</v>
      </c>
      <c r="E8" s="2301"/>
      <c r="F8" s="2301"/>
      <c r="G8" s="2301"/>
      <c r="H8" s="2407" t="s">
        <v>363</v>
      </c>
    </row>
    <row customHeight="1" ht="14.25">
      <c r="C9" s="602"/>
      <c r="D9" s="617" t="s">
        <v>88</v>
      </c>
      <c r="E9" s="313" t="s">
        <v>364</v>
      </c>
      <c r="F9" s="313" t="s">
        <v>365</v>
      </c>
      <c r="G9" s="313" t="s">
        <v>454</v>
      </c>
      <c r="H9" s="2407"/>
    </row>
    <row customHeight="1" ht="14.25">
      <c r="A10" s="564"/>
      <c r="C10" s="602"/>
      <c r="D10" s="353" t="s">
        <v>109</v>
      </c>
      <c r="E10" s="620" t="str">
        <f>"Сведения о правовых актах, регламентирующих правила закупки (положение о закупках) в "&amp;IF(TEMPLATE_SPHERE="TKO","организации",IF(TEMPLATE_SPHERE="HEAT","регулируемой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теплоснабжения","организации "&amp;TEMPLATE_SPHERE_RUS))</f>
        <v>Сведения о правовых актах, регламентирующих правила закупки (положение о закупках) в 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v>
      </c>
      <c r="F10" s="4416"/>
      <c r="G10" s="421"/>
      <c r="H10" s="2287" t="s">
        <v>1652</v>
      </c>
    </row>
    <row customHeight="1" ht="14.25">
      <c r="A11" s="564"/>
      <c r="C11" s="602"/>
      <c r="D11" s="353" t="s">
        <v>110</v>
      </c>
      <c r="E11" s="620" t="str">
        <f>"Сведения о месте размещения "&amp;IF(TEMPLATE_SPHERE="TKO","положения о закупках в организации",IF(TEMPLATE_SPHERE="HEAT","положения о закупке 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теплоснабжения","правовых актов, регламентирующих правила закупки (положение о закупках) в организации "&amp;TEMPLATE_SPHERE_RUS))</f>
        <v>Сведения о месте размещения положения о закупке 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v>
      </c>
      <c r="F11" s="4416"/>
      <c r="G11" s="421"/>
      <c r="H11" s="2288"/>
    </row>
    <row customHeight="1" ht="22.5">
      <c r="A12" s="307"/>
      <c r="C12" s="618"/>
      <c r="D12" s="353" t="s">
        <v>90</v>
      </c>
      <c r="E12" s="620" t="str">
        <f>"Сведения о планировании закупочных процедур"&amp;IF(TEMPLATE_SPHERE="TKO"," &lt;1&gt;","")</f>
        <v>Сведения о планировании закупочных процедур</v>
      </c>
      <c r="F12" s="4416"/>
      <c r="G12" s="421"/>
      <c r="H12" s="2288" t="str">
        <f>"В случае наличия дополнительных сведений о способах приобретения, стоимости и объемах товаров, необходимых для производства "&amp;IF(OR(TEMPLATE_SPHERE="HEAT",TEMPLATE_SPHERE="TKO"),"","регулируемых ")&amp;"товаров и (или) оказания "&amp;IF(OR(TEMPLATE_SPHERE="HEAT",TEMPLATE_SPHERE="TKO"),"услуг организацией","регулируемых услуг регулируемой организацией")&amp;", информация по ним указывается в отдельных строках."</f>
        <v>В случае наличия дополнительных сведений о способах приобретения, стоимости и объемах товаров, необходимых для производства товаров и (или) оказания услуг организацией, информация по ним указывается в отдельных строках.</v>
      </c>
      <c r="I12" s="571"/>
      <c r="K12" s="599"/>
    </row>
    <row customHeight="1" ht="22.5">
      <c r="A13" s="307"/>
      <c r="C13" s="618"/>
      <c r="D13" s="353" t="s">
        <v>91</v>
      </c>
      <c r="E13" s="620" t="str">
        <f>"Сведения о результатах проведения закупочных процедур"&amp;IF(TEMPLATE_SPHERE="TKO"," &lt;1&gt;","")</f>
        <v>Сведения о результатах проведения закупочных процедур</v>
      </c>
      <c r="F13" s="4416"/>
      <c r="G13" s="421"/>
      <c r="H13" s="2288"/>
      <c r="I13" s="571"/>
      <c r="K13" s="599"/>
    </row>
    <row customHeight="1" ht="14.25">
      <c r="A14" s="564"/>
      <c r="C14" s="602"/>
      <c r="D14" s="568"/>
      <c r="E14" s="627" t="s">
        <v>1510</v>
      </c>
      <c r="F14" s="570"/>
      <c r="G14" s="408"/>
      <c r="H14" s="2289"/>
    </row>
    <row s="11126" customFormat="1" customHeight="1" ht="14.25">
      <c r="A15" s="564"/>
      <c r="B15" s="1421"/>
      <c r="C15" s="602"/>
      <c r="D15" s="628"/>
      <c r="E15" s="1990"/>
      <c r="F15" s="1991"/>
      <c r="G15" s="1992"/>
      <c r="H15" s="1993"/>
      <c r="J15" s="1937"/>
      <c r="K15" s="1937"/>
    </row>
    <row customHeight="1" ht="21.75">
      <c r="D16" s="1994" t="s">
        <v>1565</v>
      </c>
      <c r="E16" s="2541" t="s">
        <v>1653</v>
      </c>
      <c r="F16" s="2541"/>
      <c r="G16" s="2541"/>
      <c r="H16" s="2541"/>
    </row>
  </sheetData>
  <sheetProtection formatColumns="0" formatRows="0" autoFilter="0" sort="0" insertRows="0" insertColumns="1" deleteRows="0" deleteColumns="0"/>
  <mergeCells count="7">
    <mergeCell ref="E16:H16"/>
    <mergeCell ref="H10:H11"/>
    <mergeCell ref="H12:H14"/>
    <mergeCell ref="D5:G5"/>
    <mergeCell ref="D8:G8"/>
    <mergeCell ref="H8:H9"/>
    <mergeCell ref="D6:G6"/>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либо ссылку на официальный сайт в сети «Интернет», на котором размещена информация" sqref="G2 G10:G13">
      <formula1>900</formula1>
    </dataValidation>
    <dataValidation type="textLength" operator="lessThanOrEqual" allowBlank="1" showInputMessage="1" showErrorMessage="1" errorTitle="Ошибка" error="Допускается ввод не более 900 символов!" sqref="H10 E13 E2:F2 F10:F1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DC2C5F2-B92F-735E-4668-E82D63C62959}"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935D107-1CBC-B255-5DF1-B727D68785DC}" mc:Ignorable="x14ac xr xr2 xr3">
  <sheetPr>
    <tabColor theme="2" tint="-0.1"/>
  </sheetPr>
  <dimension ref="A1:BW29"/>
  <sheetViews>
    <sheetView topLeftCell="C4" showGridLines="0" zoomScale="90" workbookViewId="0">
      <selection activeCell="I19" sqref="I19"/>
    </sheetView>
  </sheetViews>
  <sheetFormatPr defaultColWidth="10.57421875" customHeight="1" defaultRowHeight="15"/>
  <cols>
    <col min="1" max="1" style="11248" width="9.140625" hidden="1" customWidth="1"/>
    <col min="2" max="2" style="11126" width="9.140625" hidden="1" customWidth="1"/>
    <col min="3" max="3" style="10141" width="4.7109375" customWidth="1"/>
    <col min="4" max="4" style="11126" width="6.28125" customWidth="1"/>
    <col min="5" max="5" style="11126" width="47.8515625" customWidth="1"/>
    <col min="6" max="6" style="11126" width="9.57421875" customWidth="1"/>
    <col min="7" max="7" style="11126" width="25.7109375" hidden="1" customWidth="1"/>
    <col min="8" max="8" style="11126" width="34.00390625" hidden="1" customWidth="1"/>
    <col min="9" max="9" style="11126" width="25.7109375" customWidth="1"/>
    <col min="10" max="10" style="11126" width="34.00390625" customWidth="1"/>
    <col min="11" max="11" style="11126" width="25.7109375" customWidth="1"/>
    <col min="12" max="12" style="11126" width="34.00390625" customWidth="1"/>
    <col min="13" max="13" style="11126" width="25.7109375" customWidth="1"/>
    <col min="14" max="14" style="11126" width="34.00390625" customWidth="1"/>
    <col min="15" max="15" style="11126" width="25.7109375" customWidth="1"/>
    <col min="16" max="16" style="11126" width="34.00390625" customWidth="1"/>
    <col min="17" max="17" style="11126" width="25.7109375" customWidth="1"/>
    <col min="18" max="18" style="11126" width="34.00390625" customWidth="1"/>
    <col min="19" max="19" style="11126" width="25.7109375" customWidth="1"/>
    <col min="20" max="20" style="11126" width="34.00390625" customWidth="1"/>
    <col min="21" max="21" style="11126" width="25.7109375" customWidth="1"/>
    <col min="22" max="22" style="11126" width="34.00390625" customWidth="1"/>
    <col min="23" max="23" style="11126" width="25.7109375" customWidth="1"/>
    <col min="24" max="24" style="11126" width="34.00390625" customWidth="1"/>
    <col min="25" max="25" style="11126" width="25.7109375" customWidth="1"/>
    <col min="26" max="26" style="11126" width="34.00390625" customWidth="1"/>
    <col min="27" max="27" style="11126" width="25.7109375" customWidth="1"/>
    <col min="28" max="28" style="11126" width="34.00390625" customWidth="1"/>
    <col min="29" max="29" style="11126" width="25.7109375" customWidth="1"/>
    <col min="30" max="30" style="11126" width="34.00390625" customWidth="1"/>
    <col min="31" max="31" style="11126" width="25.7109375" customWidth="1"/>
    <col min="32" max="32" style="11126" width="34.00390625" customWidth="1"/>
    <col min="33" max="33" style="11126" width="25.7109375" customWidth="1"/>
    <col min="34" max="34" style="11126" width="34.00390625" customWidth="1"/>
    <col min="35" max="35" style="11126" width="25.7109375" customWidth="1"/>
    <col min="36" max="36" style="11126" width="34.00390625" customWidth="1"/>
    <col min="37" max="37" style="11126" width="25.7109375" customWidth="1"/>
    <col min="38" max="38" style="11126" width="34.00390625" customWidth="1"/>
    <col min="39" max="39" style="11126" width="25.7109375" customWidth="1"/>
    <col min="40" max="40" style="11126" width="34.00390625" customWidth="1"/>
    <col min="41" max="41" style="11126" width="25.7109375" customWidth="1"/>
    <col min="42" max="42" style="11126" width="34.00390625" customWidth="1"/>
    <col min="43" max="43" style="11126" width="25.7109375" customWidth="1"/>
    <col min="44" max="44" style="11126" width="34.00390625" customWidth="1"/>
    <col min="45" max="45" style="11126" width="25.7109375" customWidth="1"/>
    <col min="46" max="46" style="11126" width="34.00390625" customWidth="1"/>
    <col min="47" max="47" style="11126" width="25.7109375" customWidth="1"/>
    <col min="48" max="48" style="11126" width="34.00390625" customWidth="1"/>
    <col min="49" max="49" style="11126" width="25.7109375" customWidth="1"/>
    <col min="50" max="50" style="11126" width="34.00390625" customWidth="1"/>
    <col min="51" max="51" style="11126" width="25.7109375" customWidth="1"/>
    <col min="52" max="52" style="11126" width="34.00390625" customWidth="1"/>
    <col min="53" max="53" style="11126" width="25.7109375" customWidth="1"/>
    <col min="54" max="54" style="11126" width="34.00390625" customWidth="1"/>
    <col min="55" max="55" style="11126" width="25.7109375" customWidth="1"/>
    <col min="56" max="56" style="11126" width="34.00390625" customWidth="1"/>
    <col min="57" max="57" style="11126" width="25.7109375" customWidth="1"/>
    <col min="58" max="58" style="11126" width="34.00390625" customWidth="1"/>
    <col min="59" max="59" style="11126" width="25.7109375" customWidth="1"/>
    <col min="60" max="60" style="11126" width="34.00390625" customWidth="1"/>
    <col min="61" max="61" style="11126" width="25.7109375" customWidth="1"/>
    <col min="62" max="62" style="11126" width="34.00390625" customWidth="1"/>
    <col min="63" max="63" style="11126" width="25.7109375" customWidth="1"/>
    <col min="64" max="64" style="11126" width="34.00390625" customWidth="1"/>
    <col min="65" max="65" style="11074" width="50.8515625" customWidth="1"/>
    <col min="66" max="74" style="11126" width="10.57421875"/>
    <col min="75" max="75" style="10142" width="10.57421875"/>
  </cols>
  <sheetData>
    <row s="11074" customFormat="1" customHeight="1" ht="15" hidden="1">
      <c r="C1" s="909"/>
      <c r="G1" s="653">
        <v>4</v>
      </c>
      <c r="I1" s="653">
        <v>4</v>
      </c>
      <c r="K1" s="6978">
        <v>4</v>
      </c>
      <c r="L1" s="6978"/>
      <c r="M1" s="6978">
        <v>4</v>
      </c>
      <c r="N1" s="6978"/>
      <c r="O1" s="6978">
        <v>4</v>
      </c>
      <c r="P1" s="6978"/>
      <c r="Q1" s="6978">
        <v>4</v>
      </c>
      <c r="R1" s="6978"/>
      <c r="S1" s="6978">
        <v>4</v>
      </c>
      <c r="T1" s="6978"/>
      <c r="U1" s="6978">
        <v>4</v>
      </c>
      <c r="V1" s="6978"/>
      <c r="W1" s="6978">
        <v>4</v>
      </c>
      <c r="X1" s="6978"/>
      <c r="Y1" s="6978">
        <v>4</v>
      </c>
      <c r="Z1" s="6978"/>
      <c r="AA1" s="6978">
        <v>4</v>
      </c>
      <c r="AB1" s="6978"/>
      <c r="AC1" s="6978">
        <v>4</v>
      </c>
      <c r="AD1" s="6978"/>
      <c r="AE1" s="6978">
        <v>4</v>
      </c>
      <c r="AF1" s="6978"/>
      <c r="AG1" s="6978">
        <v>4</v>
      </c>
      <c r="AH1" s="6978"/>
      <c r="AI1" s="6978">
        <v>4</v>
      </c>
      <c r="AJ1" s="6978"/>
      <c r="AK1" s="6978">
        <v>4</v>
      </c>
      <c r="AL1" s="6978"/>
      <c r="AM1" s="6978">
        <v>4</v>
      </c>
      <c r="AN1" s="6978"/>
      <c r="AO1" s="6978">
        <v>4</v>
      </c>
      <c r="AP1" s="6978"/>
      <c r="AQ1" s="6978">
        <v>4</v>
      </c>
      <c r="AR1" s="6978"/>
      <c r="AS1" s="6978">
        <v>4</v>
      </c>
      <c r="AT1" s="6978"/>
      <c r="AU1" s="6978">
        <v>4</v>
      </c>
      <c r="AV1" s="6978"/>
      <c r="AW1" s="6978">
        <v>4</v>
      </c>
      <c r="AX1" s="6978"/>
      <c r="AY1" s="6978">
        <v>4</v>
      </c>
      <c r="AZ1" s="6978"/>
      <c r="BA1" s="6978">
        <v>4</v>
      </c>
      <c r="BB1" s="6978"/>
      <c r="BC1" s="6978">
        <v>4</v>
      </c>
      <c r="BD1" s="6978"/>
      <c r="BE1" s="6978">
        <v>4</v>
      </c>
      <c r="BF1" s="6978"/>
      <c r="BG1" s="6978">
        <v>4</v>
      </c>
      <c r="BH1" s="6978"/>
      <c r="BI1" s="6978">
        <v>4</v>
      </c>
      <c r="BJ1" s="6978"/>
      <c r="BK1" s="6978">
        <v>4</v>
      </c>
      <c r="BL1" s="6978"/>
      <c r="BW1" s="656"/>
    </row>
    <row s="11126" customFormat="1" customHeight="1" ht="15" hidden="1">
      <c r="A2" s="585"/>
      <c r="C2" s="384"/>
      <c r="D2" s="567"/>
      <c r="E2" s="910"/>
      <c r="F2" s="759"/>
      <c r="G2" s="853"/>
      <c r="H2" s="853"/>
      <c r="I2" s="853"/>
      <c r="J2" s="853"/>
      <c r="K2" s="6983"/>
      <c r="L2" s="6983"/>
      <c r="M2" s="6983"/>
      <c r="N2" s="6983"/>
      <c r="O2" s="6983"/>
      <c r="P2" s="6983"/>
      <c r="Q2" s="6983"/>
      <c r="R2" s="6983"/>
      <c r="S2" s="6983"/>
      <c r="T2" s="6983"/>
      <c r="U2" s="6983"/>
      <c r="V2" s="6983"/>
      <c r="W2" s="6983"/>
      <c r="X2" s="6983"/>
      <c r="Y2" s="6983"/>
      <c r="Z2" s="6983"/>
      <c r="AA2" s="6983"/>
      <c r="AB2" s="6983"/>
      <c r="AC2" s="6983"/>
      <c r="AD2" s="6983"/>
      <c r="AE2" s="6983"/>
      <c r="AF2" s="6983"/>
      <c r="AG2" s="6983"/>
      <c r="AH2" s="6983"/>
      <c r="AI2" s="6983"/>
      <c r="AJ2" s="6983"/>
      <c r="AK2" s="6983"/>
      <c r="AL2" s="6983"/>
      <c r="AM2" s="6983"/>
      <c r="AN2" s="6983"/>
      <c r="AO2" s="6983"/>
      <c r="AP2" s="6983"/>
      <c r="AQ2" s="6983"/>
      <c r="AR2" s="6983"/>
      <c r="AS2" s="6983"/>
      <c r="AT2" s="6983"/>
      <c r="AU2" s="6983"/>
      <c r="AV2" s="6983"/>
      <c r="AW2" s="6983"/>
      <c r="AX2" s="6983"/>
      <c r="AY2" s="6983"/>
      <c r="AZ2" s="6983"/>
      <c r="BA2" s="6983"/>
      <c r="BB2" s="6983"/>
      <c r="BC2" s="6983"/>
      <c r="BD2" s="6983"/>
      <c r="BE2" s="6983"/>
      <c r="BF2" s="6983"/>
      <c r="BG2" s="6983"/>
      <c r="BH2" s="6983"/>
      <c r="BI2" s="6983"/>
      <c r="BJ2" s="6983"/>
      <c r="BK2" s="6983"/>
      <c r="BL2" s="6983"/>
      <c r="BW2" s="911"/>
    </row>
    <row s="11074" customFormat="1" customHeight="1" ht="15" hidden="1">
      <c r="C3" s="909"/>
      <c r="K3" s="6978"/>
      <c r="L3" s="6978"/>
      <c r="M3" s="6978"/>
      <c r="N3" s="6978"/>
      <c r="O3" s="6978"/>
      <c r="P3" s="6978"/>
      <c r="Q3" s="6978"/>
      <c r="R3" s="6978"/>
      <c r="S3" s="6978"/>
      <c r="T3" s="6978"/>
      <c r="U3" s="6978"/>
      <c r="V3" s="6978"/>
      <c r="W3" s="6978"/>
      <c r="X3" s="6978"/>
      <c r="Y3" s="6978"/>
      <c r="Z3" s="6978"/>
      <c r="AA3" s="6978"/>
      <c r="AB3" s="6978"/>
      <c r="AC3" s="6978"/>
      <c r="AD3" s="6978"/>
      <c r="AE3" s="6978"/>
      <c r="AF3" s="6978"/>
      <c r="AG3" s="6978"/>
      <c r="AH3" s="6978"/>
      <c r="AI3" s="6978"/>
      <c r="AJ3" s="6978"/>
      <c r="AK3" s="6978"/>
      <c r="AL3" s="6978"/>
      <c r="AM3" s="6978"/>
      <c r="AN3" s="6978"/>
      <c r="AO3" s="6978"/>
      <c r="AP3" s="6978"/>
      <c r="AQ3" s="6978"/>
      <c r="AR3" s="6978"/>
      <c r="AS3" s="6978"/>
      <c r="AT3" s="6978"/>
      <c r="AU3" s="6978"/>
      <c r="AV3" s="6978"/>
      <c r="AW3" s="6978"/>
      <c r="AX3" s="6978"/>
      <c r="AY3" s="6978"/>
      <c r="AZ3" s="6978"/>
      <c r="BA3" s="6978"/>
      <c r="BB3" s="6978"/>
      <c r="BC3" s="6978"/>
      <c r="BD3" s="6978"/>
      <c r="BE3" s="6978"/>
      <c r="BF3" s="6978"/>
      <c r="BG3" s="6978"/>
      <c r="BH3" s="6978"/>
      <c r="BI3" s="6978"/>
      <c r="BJ3" s="6978"/>
      <c r="BK3" s="6978"/>
      <c r="BL3" s="6978"/>
      <c r="BW3" s="656"/>
    </row>
    <row customHeight="1" ht="15">
      <c r="C4" s="384"/>
      <c r="D4" s="746"/>
      <c r="E4" s="746"/>
      <c r="F4" s="746"/>
      <c r="G4" s="746"/>
      <c r="H4" s="746"/>
      <c r="I4" s="746"/>
      <c r="J4" s="746"/>
      <c r="K4" s="6985"/>
      <c r="L4" s="6985"/>
      <c r="M4" s="6985"/>
      <c r="N4" s="6985"/>
      <c r="O4" s="6985"/>
      <c r="P4" s="6985"/>
      <c r="Q4" s="6985"/>
      <c r="R4" s="6985"/>
      <c r="S4" s="6985"/>
      <c r="T4" s="6985"/>
      <c r="U4" s="6985"/>
      <c r="V4" s="6985"/>
      <c r="W4" s="6985"/>
      <c r="X4" s="6985"/>
      <c r="Y4" s="6985"/>
      <c r="Z4" s="6985"/>
      <c r="AA4" s="6985"/>
      <c r="AB4" s="6985"/>
      <c r="AC4" s="6985"/>
      <c r="AD4" s="6985"/>
      <c r="AE4" s="6985"/>
      <c r="AF4" s="6985"/>
      <c r="AG4" s="6985"/>
      <c r="AH4" s="6985"/>
      <c r="AI4" s="6985"/>
      <c r="AJ4" s="6985"/>
      <c r="AK4" s="6985"/>
      <c r="AL4" s="6985"/>
      <c r="AM4" s="6985"/>
      <c r="AN4" s="6985"/>
      <c r="AO4" s="6985"/>
      <c r="AP4" s="6985"/>
      <c r="AQ4" s="6985"/>
      <c r="AR4" s="6985"/>
      <c r="AS4" s="6985"/>
      <c r="AT4" s="6985"/>
      <c r="AU4" s="6985"/>
      <c r="AV4" s="6985"/>
      <c r="AW4" s="6985"/>
      <c r="AX4" s="6985"/>
      <c r="AY4" s="6985"/>
      <c r="AZ4" s="6985"/>
      <c r="BA4" s="6985"/>
      <c r="BB4" s="6985"/>
      <c r="BC4" s="6985"/>
      <c r="BD4" s="6985"/>
      <c r="BE4" s="6985"/>
      <c r="BF4" s="6985"/>
      <c r="BG4" s="6985"/>
      <c r="BH4" s="6985"/>
      <c r="BI4" s="6985"/>
      <c r="BJ4" s="6985"/>
      <c r="BK4" s="6985"/>
      <c r="BL4" s="6985"/>
    </row>
    <row customHeight="1" ht="63">
      <c r="C5" s="384"/>
      <c r="D5" s="2196" t="s">
        <v>1654</v>
      </c>
      <c r="E5" s="2197"/>
      <c r="F5" s="2197"/>
      <c r="G5" s="2197"/>
      <c r="H5" s="2197"/>
      <c r="I5" s="2197"/>
      <c r="J5" s="2198"/>
      <c r="K5" s="6986"/>
      <c r="L5" s="6986"/>
      <c r="M5" s="6986"/>
      <c r="N5" s="6986"/>
      <c r="O5" s="6986"/>
      <c r="P5" s="6986"/>
      <c r="Q5" s="6986"/>
      <c r="R5" s="6986"/>
      <c r="S5" s="6986"/>
      <c r="T5" s="6986"/>
      <c r="U5" s="6986"/>
      <c r="V5" s="6986"/>
      <c r="W5" s="6986"/>
      <c r="X5" s="6986"/>
      <c r="Y5" s="6986"/>
      <c r="Z5" s="6986"/>
      <c r="AA5" s="6986"/>
      <c r="AB5" s="6986"/>
      <c r="AC5" s="6986"/>
      <c r="AD5" s="6986"/>
      <c r="AE5" s="6986"/>
      <c r="AF5" s="6986"/>
      <c r="AG5" s="6986"/>
      <c r="AH5" s="6986"/>
      <c r="AI5" s="6986"/>
      <c r="AJ5" s="6986"/>
      <c r="AK5" s="6986"/>
      <c r="AL5" s="6986"/>
      <c r="AM5" s="6986"/>
      <c r="AN5" s="6986"/>
      <c r="AO5" s="6986"/>
      <c r="AP5" s="6986"/>
      <c r="AQ5" s="6986"/>
      <c r="AR5" s="6986"/>
      <c r="AS5" s="6986"/>
      <c r="AT5" s="6986"/>
      <c r="AU5" s="6986"/>
      <c r="AV5" s="6986"/>
      <c r="AW5" s="6986"/>
      <c r="AX5" s="6986"/>
      <c r="AY5" s="6986"/>
      <c r="AZ5" s="6986"/>
      <c r="BA5" s="6986"/>
      <c r="BB5" s="6986"/>
      <c r="BC5" s="6986"/>
      <c r="BD5" s="6986"/>
      <c r="BE5" s="6986"/>
      <c r="BF5" s="6986"/>
      <c r="BG5" s="6986"/>
      <c r="BH5" s="6986"/>
      <c r="BI5" s="6986"/>
      <c r="BJ5" s="6986"/>
      <c r="BK5" s="6986"/>
      <c r="BL5" s="6986"/>
    </row>
    <row customHeight="1" ht="15">
      <c r="C6" s="384"/>
      <c r="D6" s="2267" t="str">
        <f>IF(org=0,"Не определено",org)</f>
        <v>ООО "СамРЭК-Тепло Жигулевск"</v>
      </c>
      <c r="E6" s="2268"/>
      <c r="F6" s="2268"/>
      <c r="G6" s="2268"/>
      <c r="H6" s="2268"/>
      <c r="I6" s="2268"/>
      <c r="J6" s="2269"/>
      <c r="K6" s="6987"/>
      <c r="L6" s="6987"/>
      <c r="M6" s="6987"/>
      <c r="N6" s="6987"/>
      <c r="O6" s="6987"/>
      <c r="P6" s="6987"/>
      <c r="Q6" s="6987"/>
      <c r="R6" s="6987"/>
      <c r="S6" s="6987"/>
      <c r="T6" s="6987"/>
      <c r="U6" s="6987"/>
      <c r="V6" s="6987"/>
      <c r="W6" s="6987"/>
      <c r="X6" s="6987"/>
      <c r="Y6" s="6987"/>
      <c r="Z6" s="6987"/>
      <c r="AA6" s="6987"/>
      <c r="AB6" s="6987"/>
      <c r="AC6" s="6987"/>
      <c r="AD6" s="6987"/>
      <c r="AE6" s="6987"/>
      <c r="AF6" s="6987"/>
      <c r="AG6" s="6987"/>
      <c r="AH6" s="6987"/>
      <c r="AI6" s="6987"/>
      <c r="AJ6" s="6987"/>
      <c r="AK6" s="6987"/>
      <c r="AL6" s="6987"/>
      <c r="AM6" s="6987"/>
      <c r="AN6" s="6987"/>
      <c r="AO6" s="6987"/>
      <c r="AP6" s="6987"/>
      <c r="AQ6" s="6987"/>
      <c r="AR6" s="6987"/>
      <c r="AS6" s="6987"/>
      <c r="AT6" s="6987"/>
      <c r="AU6" s="6987"/>
      <c r="AV6" s="6987"/>
      <c r="AW6" s="6987"/>
      <c r="AX6" s="6987"/>
      <c r="AY6" s="6987"/>
      <c r="AZ6" s="6987"/>
      <c r="BA6" s="6987"/>
      <c r="BB6" s="6987"/>
      <c r="BC6" s="6987"/>
      <c r="BD6" s="6987"/>
      <c r="BE6" s="6987"/>
      <c r="BF6" s="6987"/>
      <c r="BG6" s="6987"/>
      <c r="BH6" s="6987"/>
      <c r="BI6" s="6987"/>
      <c r="BJ6" s="6987"/>
      <c r="BK6" s="6987"/>
      <c r="BL6" s="6987"/>
      <c r="BM6" s="774"/>
    </row>
    <row customHeight="1" ht="15">
      <c r="C7" s="384"/>
      <c r="D7" s="991"/>
      <c r="E7" s="746"/>
      <c r="F7" s="746"/>
      <c r="G7" s="774">
        <v>22</v>
      </c>
      <c r="I7" s="774">
        <v>1</v>
      </c>
      <c r="J7" s="991"/>
      <c r="K7" s="6978" t="s">
        <v>17</v>
      </c>
      <c r="L7" s="6985"/>
      <c r="M7" s="6978" t="s">
        <v>17</v>
      </c>
      <c r="N7" s="6985"/>
      <c r="O7" s="6978" t="s">
        <v>17</v>
      </c>
      <c r="P7" s="6985"/>
      <c r="Q7" s="6978" t="s">
        <v>17</v>
      </c>
      <c r="R7" s="6985"/>
      <c r="S7" s="6978" t="s">
        <v>17</v>
      </c>
      <c r="T7" s="6985"/>
      <c r="U7" s="6978" t="s">
        <v>17</v>
      </c>
      <c r="V7" s="6985"/>
      <c r="W7" s="6978" t="s">
        <v>17</v>
      </c>
      <c r="X7" s="6985"/>
      <c r="Y7" s="6978" t="s">
        <v>17</v>
      </c>
      <c r="Z7" s="6985"/>
      <c r="AA7" s="6978" t="s">
        <v>17</v>
      </c>
      <c r="AB7" s="6985"/>
      <c r="AC7" s="6978" t="s">
        <v>17</v>
      </c>
      <c r="AD7" s="6985"/>
      <c r="AE7" s="6978" t="s">
        <v>17</v>
      </c>
      <c r="AF7" s="6985"/>
      <c r="AG7" s="6978" t="s">
        <v>17</v>
      </c>
      <c r="AH7" s="6985"/>
      <c r="AI7" s="6978" t="s">
        <v>17</v>
      </c>
      <c r="AJ7" s="6985"/>
      <c r="AK7" s="6978" t="s">
        <v>17</v>
      </c>
      <c r="AL7" s="6985"/>
      <c r="AM7" s="6978" t="s">
        <v>17</v>
      </c>
      <c r="AN7" s="6985"/>
      <c r="AO7" s="6978" t="s">
        <v>17</v>
      </c>
      <c r="AP7" s="6985"/>
      <c r="AQ7" s="6978" t="s">
        <v>17</v>
      </c>
      <c r="AR7" s="6985"/>
      <c r="AS7" s="6978" t="s">
        <v>17</v>
      </c>
      <c r="AT7" s="6985"/>
      <c r="AU7" s="6978" t="s">
        <v>17</v>
      </c>
      <c r="AV7" s="6985"/>
      <c r="AW7" s="6978" t="s">
        <v>17</v>
      </c>
      <c r="AX7" s="6985"/>
      <c r="AY7" s="6978" t="s">
        <v>17</v>
      </c>
      <c r="AZ7" s="6985"/>
      <c r="BA7" s="6978" t="s">
        <v>17</v>
      </c>
      <c r="BB7" s="6985"/>
      <c r="BC7" s="6978" t="s">
        <v>17</v>
      </c>
      <c r="BD7" s="6985"/>
      <c r="BE7" s="6978" t="s">
        <v>17</v>
      </c>
      <c r="BF7" s="6985"/>
      <c r="BG7" s="6978" t="s">
        <v>17</v>
      </c>
      <c r="BH7" s="6985"/>
      <c r="BI7" s="6978" t="s">
        <v>17</v>
      </c>
      <c r="BJ7" s="6985"/>
      <c r="BK7" s="6978" t="s">
        <v>17</v>
      </c>
      <c r="BL7" s="6985"/>
    </row>
    <row s="11126" customFormat="1" customHeight="1" ht="0.75">
      <c r="A8" s="998"/>
      <c r="C8" s="384"/>
      <c r="D8" s="746"/>
      <c r="E8" s="746"/>
      <c r="F8" s="746"/>
      <c r="G8" s="774"/>
      <c r="H8" s="991"/>
      <c r="I8" s="774" t="s">
        <v>118</v>
      </c>
      <c r="J8" s="991"/>
      <c r="K8" s="6978" t="s">
        <v>123</v>
      </c>
      <c r="L8" s="6988"/>
      <c r="M8" s="6978" t="s">
        <v>125</v>
      </c>
      <c r="N8" s="6988"/>
      <c r="O8" s="6978" t="s">
        <v>127</v>
      </c>
      <c r="P8" s="6988"/>
      <c r="Q8" s="6978" t="s">
        <v>129</v>
      </c>
      <c r="R8" s="6988"/>
      <c r="S8" s="6978" t="s">
        <v>131</v>
      </c>
      <c r="T8" s="6988"/>
      <c r="U8" s="6978" t="s">
        <v>133</v>
      </c>
      <c r="V8" s="6988"/>
      <c r="W8" s="6978" t="s">
        <v>135</v>
      </c>
      <c r="X8" s="6988"/>
      <c r="Y8" s="6978" t="s">
        <v>138</v>
      </c>
      <c r="Z8" s="6988"/>
      <c r="AA8" s="6978" t="s">
        <v>141</v>
      </c>
      <c r="AB8" s="6988"/>
      <c r="AC8" s="6978" t="s">
        <v>144</v>
      </c>
      <c r="AD8" s="6988"/>
      <c r="AE8" s="6978" t="s">
        <v>147</v>
      </c>
      <c r="AF8" s="6988"/>
      <c r="AG8" s="6978" t="s">
        <v>150</v>
      </c>
      <c r="AH8" s="6988"/>
      <c r="AI8" s="6978" t="s">
        <v>153</v>
      </c>
      <c r="AJ8" s="6988"/>
      <c r="AK8" s="6978" t="s">
        <v>156</v>
      </c>
      <c r="AL8" s="6988"/>
      <c r="AM8" s="6978" t="s">
        <v>159</v>
      </c>
      <c r="AN8" s="6988"/>
      <c r="AO8" s="6978" t="s">
        <v>162</v>
      </c>
      <c r="AP8" s="6988"/>
      <c r="AQ8" s="6978" t="s">
        <v>165</v>
      </c>
      <c r="AR8" s="6988"/>
      <c r="AS8" s="6978" t="s">
        <v>168</v>
      </c>
      <c r="AT8" s="6988"/>
      <c r="AU8" s="6978" t="s">
        <v>171</v>
      </c>
      <c r="AV8" s="6988"/>
      <c r="AW8" s="6978" t="s">
        <v>174</v>
      </c>
      <c r="AX8" s="6988"/>
      <c r="AY8" s="6978" t="s">
        <v>177</v>
      </c>
      <c r="AZ8" s="6988"/>
      <c r="BA8" s="6978" t="s">
        <v>180</v>
      </c>
      <c r="BB8" s="6988"/>
      <c r="BC8" s="6978" t="s">
        <v>183</v>
      </c>
      <c r="BD8" s="6988"/>
      <c r="BE8" s="6978" t="s">
        <v>186</v>
      </c>
      <c r="BF8" s="6988"/>
      <c r="BG8" s="6978" t="s">
        <v>189</v>
      </c>
      <c r="BH8" s="6988"/>
      <c r="BI8" s="6978" t="s">
        <v>192</v>
      </c>
      <c r="BJ8" s="6988"/>
      <c r="BK8" s="6978" t="s">
        <v>195</v>
      </c>
      <c r="BL8" s="6988"/>
      <c r="BM8" s="653"/>
      <c r="BW8" s="912"/>
    </row>
    <row customHeight="1" ht="15">
      <c r="C9" s="384"/>
      <c r="D9" s="948"/>
      <c r="E9" s="2545" t="s">
        <v>105</v>
      </c>
      <c r="F9" s="2546"/>
      <c r="G9" s="2543" t="str">
        <f>IF(G8="","",INDEX(DIFFERENTIATION_UNMERGE_VD,MATCH(G8,DIFFERENTIATION_ID_DIFF,0)))</f>
        <v/>
      </c>
      <c r="H9" s="2544"/>
      <c r="I9" s="2543" t="str">
        <f>IF(I8="","",INDEX(DIFFERENTIATION_UNMERGE_VD,MATCH(I8,DIFFERENTIATION_ID_DIFF,0)))</f>
        <v>Производство тепловой энергии. Некомбинированная выработка</v>
      </c>
      <c r="J9" s="2544"/>
      <c r="K9" s="6995" t="str">
        <f>IF(K8="","",INDEX(DIFFERENTIATION_UNMERGE_VD,MATCH(K8,DIFFERENTIATION_ID_DIFF,0)))</f>
        <v>Производство тепловой энергии. Некомбинированная выработка</v>
      </c>
      <c r="L9" s="6996"/>
      <c r="M9" s="6995" t="str">
        <f>IF(M8="","",INDEX(DIFFERENTIATION_UNMERGE_VD,MATCH(M8,DIFFERENTIATION_ID_DIFF,0)))</f>
        <v>Производство тепловой энергии. Некомбинированная выработка</v>
      </c>
      <c r="N9" s="6996"/>
      <c r="O9" s="6995" t="str">
        <f>IF(O8="","",INDEX(DIFFERENTIATION_UNMERGE_VD,MATCH(O8,DIFFERENTIATION_ID_DIFF,0)))</f>
        <v>Производство тепловой энергии. Некомбинированная выработка</v>
      </c>
      <c r="P9" s="6996"/>
      <c r="Q9" s="6995" t="str">
        <f>IF(Q8="","",INDEX(DIFFERENTIATION_UNMERGE_VD,MATCH(Q8,DIFFERENTIATION_ID_DIFF,0)))</f>
        <v>Производство тепловой энергии. Некомбинированная выработка</v>
      </c>
      <c r="R9" s="6996"/>
      <c r="S9" s="6995" t="str">
        <f>IF(S8="","",INDEX(DIFFERENTIATION_UNMERGE_VD,MATCH(S8,DIFFERENTIATION_ID_DIFF,0)))</f>
        <v>Производство тепловой энергии. Некомбинированная выработка</v>
      </c>
      <c r="T9" s="6996"/>
      <c r="U9" s="6995" t="str">
        <f>IF(U8="","",INDEX(DIFFERENTIATION_UNMERGE_VD,MATCH(U8,DIFFERENTIATION_ID_DIFF,0)))</f>
        <v>Производство тепловой энергии. Некомбинированная выработка</v>
      </c>
      <c r="V9" s="6996"/>
      <c r="W9" s="6995" t="str">
        <f>IF(W8="","",INDEX(DIFFERENTIATION_UNMERGE_VD,MATCH(W8,DIFFERENTIATION_ID_DIFF,0)))</f>
        <v>Производство тепловой энергии. Некомбинированная выработка</v>
      </c>
      <c r="X9" s="6996"/>
      <c r="Y9" s="6995" t="str">
        <f>IF(Y8="","",INDEX(DIFFERENTIATION_UNMERGE_VD,MATCH(Y8,DIFFERENTIATION_ID_DIFF,0)))</f>
        <v>Производство тепловой энергии. Некомбинированная выработка</v>
      </c>
      <c r="Z9" s="6996"/>
      <c r="AA9" s="6995" t="str">
        <f>IF(AA8="","",INDEX(DIFFERENTIATION_UNMERGE_VD,MATCH(AA8,DIFFERENTIATION_ID_DIFF,0)))</f>
        <v>Производство тепловой энергии. Некомбинированная выработка</v>
      </c>
      <c r="AB9" s="6996"/>
      <c r="AC9" s="6995" t="str">
        <f>IF(AC8="","",INDEX(DIFFERENTIATION_UNMERGE_VD,MATCH(AC8,DIFFERENTIATION_ID_DIFF,0)))</f>
        <v>Производство тепловой энергии. Некомбинированная выработка</v>
      </c>
      <c r="AD9" s="6996"/>
      <c r="AE9" s="6995" t="str">
        <f>IF(AE8="","",INDEX(DIFFERENTIATION_UNMERGE_VD,MATCH(AE8,DIFFERENTIATION_ID_DIFF,0)))</f>
        <v>Производство тепловой энергии. Некомбинированная выработка</v>
      </c>
      <c r="AF9" s="6996"/>
      <c r="AG9" s="6995" t="str">
        <f>IF(AG8="","",INDEX(DIFFERENTIATION_UNMERGE_VD,MATCH(AG8,DIFFERENTIATION_ID_DIFF,0)))</f>
        <v>Производство тепловой энергии. Некомбинированная выработка</v>
      </c>
      <c r="AH9" s="6996"/>
      <c r="AI9" s="6995" t="str">
        <f>IF(AI8="","",INDEX(DIFFERENTIATION_UNMERGE_VD,MATCH(AI8,DIFFERENTIATION_ID_DIFF,0)))</f>
        <v>Производство тепловой энергии. Некомбинированная выработка</v>
      </c>
      <c r="AJ9" s="6996"/>
      <c r="AK9" s="6995" t="str">
        <f>IF(AK8="","",INDEX(DIFFERENTIATION_UNMERGE_VD,MATCH(AK8,DIFFERENTIATION_ID_DIFF,0)))</f>
        <v>Производство тепловой энергии. Некомбинированная выработка</v>
      </c>
      <c r="AL9" s="6996"/>
      <c r="AM9" s="6995" t="str">
        <f>IF(AM8="","",INDEX(DIFFERENTIATION_UNMERGE_VD,MATCH(AM8,DIFFERENTIATION_ID_DIFF,0)))</f>
        <v>Производство тепловой энергии. Некомбинированная выработка</v>
      </c>
      <c r="AN9" s="6996"/>
      <c r="AO9" s="6995" t="str">
        <f>IF(AO8="","",INDEX(DIFFERENTIATION_UNMERGE_VD,MATCH(AO8,DIFFERENTIATION_ID_DIFF,0)))</f>
        <v>Производство тепловой энергии. Некомбинированная выработка</v>
      </c>
      <c r="AP9" s="6996"/>
      <c r="AQ9" s="6995" t="str">
        <f>IF(AQ8="","",INDEX(DIFFERENTIATION_UNMERGE_VD,MATCH(AQ8,DIFFERENTIATION_ID_DIFF,0)))</f>
        <v>Производство тепловой энергии. Некомбинированная выработка</v>
      </c>
      <c r="AR9" s="6996"/>
      <c r="AS9" s="6995" t="str">
        <f>IF(AS8="","",INDEX(DIFFERENTIATION_UNMERGE_VD,MATCH(AS8,DIFFERENTIATION_ID_DIFF,0)))</f>
        <v>Производство тепловой энергии. Некомбинированная выработка</v>
      </c>
      <c r="AT9" s="6996"/>
      <c r="AU9" s="6995" t="str">
        <f>IF(AU8="","",INDEX(DIFFERENTIATION_UNMERGE_VD,MATCH(AU8,DIFFERENTIATION_ID_DIFF,0)))</f>
        <v>Производство тепловой энергии. Некомбинированная выработка</v>
      </c>
      <c r="AV9" s="6996"/>
      <c r="AW9" s="6995" t="str">
        <f>IF(AW8="","",INDEX(DIFFERENTIATION_UNMERGE_VD,MATCH(AW8,DIFFERENTIATION_ID_DIFF,0)))</f>
        <v>Производство тепловой энергии. Некомбинированная выработка</v>
      </c>
      <c r="AX9" s="6996"/>
      <c r="AY9" s="6995" t="str">
        <f>IF(AY8="","",INDEX(DIFFERENTIATION_UNMERGE_VD,MATCH(AY8,DIFFERENTIATION_ID_DIFF,0)))</f>
        <v>Производство тепловой энергии. Некомбинированная выработка</v>
      </c>
      <c r="AZ9" s="6996"/>
      <c r="BA9" s="6995" t="str">
        <f>IF(BA8="","",INDEX(DIFFERENTIATION_UNMERGE_VD,MATCH(BA8,DIFFERENTIATION_ID_DIFF,0)))</f>
        <v>Производство тепловой энергии. Некомбинированная выработка</v>
      </c>
      <c r="BB9" s="6996"/>
      <c r="BC9" s="6995" t="str">
        <f>IF(BC8="","",INDEX(DIFFERENTIATION_UNMERGE_VD,MATCH(BC8,DIFFERENTIATION_ID_DIFF,0)))</f>
        <v>Производство тепловой энергии. Некомбинированная выработка</v>
      </c>
      <c r="BD9" s="6996"/>
      <c r="BE9" s="6995" t="str">
        <f>IF(BE8="","",INDEX(DIFFERENTIATION_UNMERGE_VD,MATCH(BE8,DIFFERENTIATION_ID_DIFF,0)))</f>
        <v>Производство тепловой энергии. Некомбинированная выработка</v>
      </c>
      <c r="BF9" s="6996"/>
      <c r="BG9" s="6995" t="str">
        <f>IF(BG8="","",INDEX(DIFFERENTIATION_UNMERGE_VD,MATCH(BG8,DIFFERENTIATION_ID_DIFF,0)))</f>
        <v>Производство тепловой энергии. Некомбинированная выработка</v>
      </c>
      <c r="BH9" s="6996"/>
      <c r="BI9" s="6995" t="str">
        <f>IF(BI8="","",INDEX(DIFFERENTIATION_UNMERGE_VD,MATCH(BI8,DIFFERENTIATION_ID_DIFF,0)))</f>
        <v>Производство тепловой энергии. Некомбинированная выработка</v>
      </c>
      <c r="BJ9" s="6996"/>
      <c r="BK9" s="6995" t="str">
        <f>IF(BK8="","",INDEX(DIFFERENTIATION_UNMERGE_VD,MATCH(BK8,DIFFERENTIATION_ID_DIFF,0)))</f>
        <v>Производство тепловой энергии. Некомбинированная выработка</v>
      </c>
      <c r="BL9" s="6996"/>
      <c r="BM9" s="2294" t="s">
        <v>363</v>
      </c>
    </row>
    <row s="11126" customFormat="1" customHeight="1" ht="15">
      <c r="A10" s="998"/>
      <c r="C10" s="384"/>
      <c r="D10" s="948"/>
      <c r="E10" s="2545" t="s">
        <v>1476</v>
      </c>
      <c r="F10" s="2546"/>
      <c r="G10" s="2543" t="str">
        <f>IF(G8="","",INDEX(DIFFERENTIATION_UNMERGE_AREA,MATCH(G8,DIFFERENTIATION_ID_DIFF,0)))</f>
        <v/>
      </c>
      <c r="H10" s="2544"/>
      <c r="I10" s="2543" t="str">
        <f>IF(I8="","",INDEX(DIFFERENTIATION_UNMERGE_AREA,MATCH(I8,DIFFERENTIATION_ID_DIFF,0)))</f>
        <v>Территория 1</v>
      </c>
      <c r="J10" s="2544"/>
      <c r="K10" s="6995" t="str">
        <f>IF(K8="","",INDEX(DIFFERENTIATION_UNMERGE_AREA,MATCH(K8,DIFFERENTIATION_ID_DIFF,0)))</f>
        <v>Территория 1</v>
      </c>
      <c r="L10" s="6996"/>
      <c r="M10" s="6995" t="str">
        <f>IF(M8="","",INDEX(DIFFERENTIATION_UNMERGE_AREA,MATCH(M8,DIFFERENTIATION_ID_DIFF,0)))</f>
        <v>Территория 1</v>
      </c>
      <c r="N10" s="6996"/>
      <c r="O10" s="6995" t="str">
        <f>IF(O8="","",INDEX(DIFFERENTIATION_UNMERGE_AREA,MATCH(O8,DIFFERENTIATION_ID_DIFF,0)))</f>
        <v>Территория 1</v>
      </c>
      <c r="P10" s="6996"/>
      <c r="Q10" s="6995" t="str">
        <f>IF(Q8="","",INDEX(DIFFERENTIATION_UNMERGE_AREA,MATCH(Q8,DIFFERENTIATION_ID_DIFF,0)))</f>
        <v>Территория 1</v>
      </c>
      <c r="R10" s="6996"/>
      <c r="S10" s="6995" t="str">
        <f>IF(S8="","",INDEX(DIFFERENTIATION_UNMERGE_AREA,MATCH(S8,DIFFERENTIATION_ID_DIFF,0)))</f>
        <v>Территория 1</v>
      </c>
      <c r="T10" s="6996"/>
      <c r="U10" s="6995" t="str">
        <f>IF(U8="","",INDEX(DIFFERENTIATION_UNMERGE_AREA,MATCH(U8,DIFFERENTIATION_ID_DIFF,0)))</f>
        <v>Территория 1</v>
      </c>
      <c r="V10" s="6996"/>
      <c r="W10" s="6995" t="str">
        <f>IF(W8="","",INDEX(DIFFERENTIATION_UNMERGE_AREA,MATCH(W8,DIFFERENTIATION_ID_DIFF,0)))</f>
        <v>Территория 1</v>
      </c>
      <c r="X10" s="6996"/>
      <c r="Y10" s="6995" t="str">
        <f>IF(Y8="","",INDEX(DIFFERENTIATION_UNMERGE_AREA,MATCH(Y8,DIFFERENTIATION_ID_DIFF,0)))</f>
        <v>Территория 1</v>
      </c>
      <c r="Z10" s="6996"/>
      <c r="AA10" s="6995" t="str">
        <f>IF(AA8="","",INDEX(DIFFERENTIATION_UNMERGE_AREA,MATCH(AA8,DIFFERENTIATION_ID_DIFF,0)))</f>
        <v>Территория 1</v>
      </c>
      <c r="AB10" s="6996"/>
      <c r="AC10" s="6995" t="str">
        <f>IF(AC8="","",INDEX(DIFFERENTIATION_UNMERGE_AREA,MATCH(AC8,DIFFERENTIATION_ID_DIFF,0)))</f>
        <v>Территория 1</v>
      </c>
      <c r="AD10" s="6996"/>
      <c r="AE10" s="6995" t="str">
        <f>IF(AE8="","",INDEX(DIFFERENTIATION_UNMERGE_AREA,MATCH(AE8,DIFFERENTIATION_ID_DIFF,0)))</f>
        <v>Территория 1</v>
      </c>
      <c r="AF10" s="6996"/>
      <c r="AG10" s="6995" t="str">
        <f>IF(AG8="","",INDEX(DIFFERENTIATION_UNMERGE_AREA,MATCH(AG8,DIFFERENTIATION_ID_DIFF,0)))</f>
        <v>Территория 1</v>
      </c>
      <c r="AH10" s="6996"/>
      <c r="AI10" s="6995" t="str">
        <f>IF(AI8="","",INDEX(DIFFERENTIATION_UNMERGE_AREA,MATCH(AI8,DIFFERENTIATION_ID_DIFF,0)))</f>
        <v>Территория 1</v>
      </c>
      <c r="AJ10" s="6996"/>
      <c r="AK10" s="6995" t="str">
        <f>IF(AK8="","",INDEX(DIFFERENTIATION_UNMERGE_AREA,MATCH(AK8,DIFFERENTIATION_ID_DIFF,0)))</f>
        <v>Территория 1</v>
      </c>
      <c r="AL10" s="6996"/>
      <c r="AM10" s="6995" t="str">
        <f>IF(AM8="","",INDEX(DIFFERENTIATION_UNMERGE_AREA,MATCH(AM8,DIFFERENTIATION_ID_DIFF,0)))</f>
        <v>Территория 1</v>
      </c>
      <c r="AN10" s="6996"/>
      <c r="AO10" s="6995" t="str">
        <f>IF(AO8="","",INDEX(DIFFERENTIATION_UNMERGE_AREA,MATCH(AO8,DIFFERENTIATION_ID_DIFF,0)))</f>
        <v>Территория 1</v>
      </c>
      <c r="AP10" s="6996"/>
      <c r="AQ10" s="6995" t="str">
        <f>IF(AQ8="","",INDEX(DIFFERENTIATION_UNMERGE_AREA,MATCH(AQ8,DIFFERENTIATION_ID_DIFF,0)))</f>
        <v>Территория 1</v>
      </c>
      <c r="AR10" s="6996"/>
      <c r="AS10" s="6995" t="str">
        <f>IF(AS8="","",INDEX(DIFFERENTIATION_UNMERGE_AREA,MATCH(AS8,DIFFERENTIATION_ID_DIFF,0)))</f>
        <v>Территория 1</v>
      </c>
      <c r="AT10" s="6996"/>
      <c r="AU10" s="6995" t="str">
        <f>IF(AU8="","",INDEX(DIFFERENTIATION_UNMERGE_AREA,MATCH(AU8,DIFFERENTIATION_ID_DIFF,0)))</f>
        <v>Территория 1</v>
      </c>
      <c r="AV10" s="6996"/>
      <c r="AW10" s="6995" t="str">
        <f>IF(AW8="","",INDEX(DIFFERENTIATION_UNMERGE_AREA,MATCH(AW8,DIFFERENTIATION_ID_DIFF,0)))</f>
        <v>Территория 1</v>
      </c>
      <c r="AX10" s="6996"/>
      <c r="AY10" s="6995" t="str">
        <f>IF(AY8="","",INDEX(DIFFERENTIATION_UNMERGE_AREA,MATCH(AY8,DIFFERENTIATION_ID_DIFF,0)))</f>
        <v>Территория 1</v>
      </c>
      <c r="AZ10" s="6996"/>
      <c r="BA10" s="6995" t="str">
        <f>IF(BA8="","",INDEX(DIFFERENTIATION_UNMERGE_AREA,MATCH(BA8,DIFFERENTIATION_ID_DIFF,0)))</f>
        <v>Территория 1</v>
      </c>
      <c r="BB10" s="6996"/>
      <c r="BC10" s="6995" t="str">
        <f>IF(BC8="","",INDEX(DIFFERENTIATION_UNMERGE_AREA,MATCH(BC8,DIFFERENTIATION_ID_DIFF,0)))</f>
        <v>Территория 1</v>
      </c>
      <c r="BD10" s="6996"/>
      <c r="BE10" s="6995" t="str">
        <f>IF(BE8="","",INDEX(DIFFERENTIATION_UNMERGE_AREA,MATCH(BE8,DIFFERENTIATION_ID_DIFF,0)))</f>
        <v>Территория 1</v>
      </c>
      <c r="BF10" s="6996"/>
      <c r="BG10" s="6995" t="str">
        <f>IF(BG8="","",INDEX(DIFFERENTIATION_UNMERGE_AREA,MATCH(BG8,DIFFERENTIATION_ID_DIFF,0)))</f>
        <v>Территория 1</v>
      </c>
      <c r="BH10" s="6996"/>
      <c r="BI10" s="6995" t="str">
        <f>IF(BI8="","",INDEX(DIFFERENTIATION_UNMERGE_AREA,MATCH(BI8,DIFFERENTIATION_ID_DIFF,0)))</f>
        <v>Территория 1</v>
      </c>
      <c r="BJ10" s="6996"/>
      <c r="BK10" s="6995" t="str">
        <f>IF(BK8="","",INDEX(DIFFERENTIATION_UNMERGE_AREA,MATCH(BK8,DIFFERENTIATION_ID_DIFF,0)))</f>
        <v>Территория 1</v>
      </c>
      <c r="BL10" s="6996"/>
      <c r="BM10" s="2542"/>
      <c r="BW10" s="912"/>
    </row>
    <row s="11126" customFormat="1" customHeight="1" ht="15">
      <c r="A11" s="998"/>
      <c r="C11" s="384"/>
      <c r="D11" s="948"/>
      <c r="E11" s="2545" t="s">
        <v>1477</v>
      </c>
      <c r="F11" s="2546"/>
      <c r="G11" s="2543" t="str">
        <f>IF(G8="","",INDEX(DIFFERENTIATION_UNMERGE_SYSTEM,MATCH(G8,DIFFERENTIATION_ID_DIFF,0)))</f>
        <v/>
      </c>
      <c r="H11" s="2544"/>
      <c r="I11" s="2543" t="str">
        <f>IF(I8="","",INDEX(DIFFERENTIATION_UNMERGE_SYSTEM,MATCH(I8,DIFFERENTIATION_ID_DIFF,0)))</f>
        <v>Котельная №1 по ул.Ново-Самарская, д.12</v>
      </c>
      <c r="J11" s="2544"/>
      <c r="K11" s="6995" t="str">
        <f>IF(K8="","",INDEX(DIFFERENTIATION_UNMERGE_SYSTEM,MATCH(K8,DIFFERENTIATION_ID_DIFF,0)))</f>
        <v>Котельная №2,  ул.Пирогова около д.4</v>
      </c>
      <c r="L11" s="6996"/>
      <c r="M11" s="6995" t="str">
        <f>IF(M8="","",INDEX(DIFFERENTIATION_UNMERGE_SYSTEM,MATCH(M8,DIFFERENTIATION_ID_DIFF,0)))</f>
        <v>Котельная №3, ул.Комсомольская около д.1 по ул.Ленина</v>
      </c>
      <c r="N11" s="6996"/>
      <c r="O11" s="6995" t="str">
        <f>IF(O8="","",INDEX(DIFFERENTIATION_UNMERGE_SYSTEM,MATCH(O8,DIFFERENTIATION_ID_DIFF,0)))</f>
        <v>Тепловой центр №1 ул.Вокзальная ок д.№8</v>
      </c>
      <c r="P11" s="6996"/>
      <c r="Q11" s="6995" t="str">
        <f>IF(Q8="","",INDEX(DIFFERENTIATION_UNMERGE_SYSTEM,MATCH(Q8,DIFFERENTIATION_ID_DIFF,0)))</f>
        <v>Котельная №5, Александр. Поле, около д.30 по ул.Советская </v>
      </c>
      <c r="R11" s="6996"/>
      <c r="S11" s="6995" t="str">
        <f>IF(S8="","",INDEX(DIFFERENTIATION_UNMERGE_SYSTEM,MATCH(S8,DIFFERENTIATION_ID_DIFF,0)))</f>
        <v>Котельная №6, ул.Пушкина </v>
      </c>
      <c r="T11" s="6996"/>
      <c r="U11" s="6995" t="str">
        <f>IF(U8="","",INDEX(DIFFERENTIATION_UNMERGE_SYSTEM,MATCH(U8,DIFFERENTIATION_ID_DIFF,0)))</f>
        <v>Тепловой центр №2 ул.Вокзальная ок д.№20</v>
      </c>
      <c r="V11" s="6996"/>
      <c r="W11" s="6995" t="str">
        <f>IF(W8="","",INDEX(DIFFERENTIATION_UNMERGE_SYSTEM,MATCH(W8,DIFFERENTIATION_ID_DIFF,0)))</f>
        <v>Котельная №8, ул.Мира</v>
      </c>
      <c r="X11" s="6996"/>
      <c r="Y11" s="6995" t="str">
        <f>IF(Y8="","",INDEX(DIFFERENTIATION_UNMERGE_SYSTEM,MATCH(Y8,DIFFERENTIATION_ID_DIFF,0)))</f>
        <v>Котельная №9, ул.Гоголя</v>
      </c>
      <c r="Z11" s="6996"/>
      <c r="AA11" s="6995" t="str">
        <f>IF(AA8="","",INDEX(DIFFERENTIATION_UNMERGE_SYSTEM,MATCH(AA8,DIFFERENTIATION_ID_DIFF,0)))</f>
        <v>Котельная №10, ул.Гоголя</v>
      </c>
      <c r="AB11" s="6996"/>
      <c r="AC11" s="6995" t="str">
        <f>IF(AC8="","",INDEX(DIFFERENTIATION_UNMERGE_SYSTEM,MATCH(AC8,DIFFERENTIATION_ID_DIFF,0)))</f>
        <v>Котельная №12а, ул.Мира</v>
      </c>
      <c r="AD11" s="6996"/>
      <c r="AE11" s="6995" t="str">
        <f>IF(AE8="","",INDEX(DIFFERENTIATION_UNMERGE_SYSTEM,MATCH(AE8,DIFFERENTIATION_ID_DIFF,0)))</f>
        <v>Котельная №13, ул.Морквашинская</v>
      </c>
      <c r="AF11" s="6996"/>
      <c r="AG11" s="6995" t="str">
        <f>IF(AG8="","",INDEX(DIFFERENTIATION_UNMERGE_SYSTEM,MATCH(AG8,DIFFERENTIATION_ID_DIFF,0)))</f>
        <v>ЦТП-1 ул.Морквашинская ок.д№7</v>
      </c>
      <c r="AH11" s="6996"/>
      <c r="AI11" s="6995" t="str">
        <f>IF(AI8="","",INDEX(DIFFERENTIATION_UNMERGE_SYSTEM,MATCH(AI8,DIFFERENTIATION_ID_DIFF,0)))</f>
        <v>ЦТП-2, В-1,ок.д.№10</v>
      </c>
      <c r="AJ11" s="6996"/>
      <c r="AK11" s="6995" t="str">
        <f>IF(AK8="","",INDEX(DIFFERENTIATION_UNMERGE_SYSTEM,MATCH(AK8,DIFFERENTIATION_ID_DIFF,0)))</f>
        <v>ЦТП-9, ул.Пролетарская д.23/ул.Транспортная д.10</v>
      </c>
      <c r="AL11" s="6996"/>
      <c r="AM11" s="6995" t="str">
        <f>IF(AM8="","",INDEX(DIFFERENTIATION_UNMERGE_SYSTEM,MATCH(AM8,DIFFERENTIATION_ID_DIFF,0)))</f>
        <v>ПНС№1-  Пролет, 5</v>
      </c>
      <c r="AN11" s="6996"/>
      <c r="AO11" s="6995" t="str">
        <f>IF(AO8="","",INDEX(DIFFERENTIATION_UNMERGE_SYSTEM,MATCH(AO8,DIFFERENTIATION_ID_DIFF,0)))</f>
        <v>ПНС№2, ул.Репина,3</v>
      </c>
      <c r="AP11" s="6996"/>
      <c r="AQ11" s="6995" t="str">
        <f>IF(AQ8="","",INDEX(DIFFERENTIATION_UNMERGE_SYSTEM,MATCH(AQ8,DIFFERENTIATION_ID_DIFF,0)))</f>
        <v>Котельная №14, ул.Радиозаводская</v>
      </c>
      <c r="AR11" s="6996"/>
      <c r="AS11" s="6995" t="str">
        <f>IF(AS8="","",INDEX(DIFFERENTIATION_UNMERGE_SYSTEM,MATCH(AS8,DIFFERENTIATION_ID_DIFF,0)))</f>
        <v>ЦТП-3, ул.Радиозаводская,ок.д.№6</v>
      </c>
      <c r="AT11" s="6996"/>
      <c r="AU11" s="6995" t="str">
        <f>IF(AU8="","",INDEX(DIFFERENTIATION_UNMERGE_SYSTEM,MATCH(AU8,DIFFERENTIATION_ID_DIFF,0)))</f>
        <v>Котельная №17а с.Зольное , ул.Первомайская.</v>
      </c>
      <c r="AV11" s="6996"/>
      <c r="AW11" s="6995" t="str">
        <f>IF(AW8="","",INDEX(DIFFERENTIATION_UNMERGE_SYSTEM,MATCH(AW8,DIFFERENTIATION_ID_DIFF,0)))</f>
        <v>Котельная №18А, с.Солнечная Поляна, ул. 4-я Линия</v>
      </c>
      <c r="AX11" s="6996"/>
      <c r="AY11" s="6995" t="str">
        <f>IF(AY8="","",INDEX(DIFFERENTIATION_UNMERGE_SYSTEM,MATCH(AY8,DIFFERENTIATION_ID_DIFF,0)))</f>
        <v>Котельная №20,пос.Яблоневый Овраг , ул Никитина</v>
      </c>
      <c r="AZ11" s="6996"/>
      <c r="BA11" s="6995" t="str">
        <f>IF(BA8="","",INDEX(DIFFERENTIATION_UNMERGE_SYSTEM,MATCH(BA8,DIFFERENTIATION_ID_DIFF,0)))</f>
        <v>Котельная №22, ул.Магистральная</v>
      </c>
      <c r="BB11" s="6996"/>
      <c r="BC11" s="6995" t="str">
        <f>IF(BC8="","",INDEX(DIFFERENTIATION_UNMERGE_SYSTEM,MATCH(BC8,DIFFERENTIATION_ID_DIFF,0)))</f>
        <v>Котельная №25,  МКР Г-1, ул.Гидротехническая</v>
      </c>
      <c r="BD11" s="6996"/>
      <c r="BE11" s="6995" t="str">
        <f>IF(BE8="","",INDEX(DIFFERENTIATION_UNMERGE_SYSTEM,MATCH(BE8,DIFFERENTIATION_ID_DIFF,0)))</f>
        <v>ЦТП-7, ул.Оборонная</v>
      </c>
      <c r="BF11" s="6996"/>
      <c r="BG11" s="6995" t="str">
        <f>IF(BG8="","",INDEX(DIFFERENTIATION_UNMERGE_SYSTEM,MATCH(BG8,DIFFERENTIATION_ID_DIFF,0)))</f>
        <v>ЦТП-8, ул.Шевченко</v>
      </c>
      <c r="BH11" s="6996"/>
      <c r="BI11" s="6995" t="str">
        <f>IF(BI8="","",INDEX(DIFFERENTIATION_UNMERGE_SYSTEM,MATCH(BI8,DIFFERENTIATION_ID_DIFF,0)))</f>
        <v>ПНС, ул.Парковая</v>
      </c>
      <c r="BJ11" s="6996"/>
      <c r="BK11" s="6995" t="str">
        <f>IF(BK8="","",INDEX(DIFFERENTIATION_UNMERGE_SYSTEM,MATCH(BK8,DIFFERENTIATION_ID_DIFF,0)))</f>
        <v>Котельная №27, п.Богатырь, ул.Управленческая</v>
      </c>
      <c r="BL11" s="6996"/>
      <c r="BM11" s="2542"/>
      <c r="BW11" s="912"/>
    </row>
    <row s="11126" customFormat="1" customHeight="1" ht="15">
      <c r="A12" s="998"/>
      <c r="C12" s="384"/>
      <c r="D12" s="2547" t="s">
        <v>362</v>
      </c>
      <c r="E12" s="2548"/>
      <c r="F12" s="2548"/>
      <c r="G12" s="1136"/>
      <c r="H12" s="1136"/>
      <c r="I12" s="1136"/>
      <c r="J12" s="1136"/>
      <c r="K12" s="7001"/>
      <c r="L12" s="7001"/>
      <c r="M12" s="7001"/>
      <c r="N12" s="7001"/>
      <c r="O12" s="7001"/>
      <c r="P12" s="7001"/>
      <c r="Q12" s="7001"/>
      <c r="R12" s="7001"/>
      <c r="S12" s="7001"/>
      <c r="T12" s="7001"/>
      <c r="U12" s="7001"/>
      <c r="V12" s="7001"/>
      <c r="W12" s="7001"/>
      <c r="X12" s="7001"/>
      <c r="Y12" s="7001"/>
      <c r="Z12" s="7001"/>
      <c r="AA12" s="7001"/>
      <c r="AB12" s="7001"/>
      <c r="AC12" s="7001"/>
      <c r="AD12" s="7001"/>
      <c r="AE12" s="7001"/>
      <c r="AF12" s="7001"/>
      <c r="AG12" s="7001"/>
      <c r="AH12" s="7001"/>
      <c r="AI12" s="7001"/>
      <c r="AJ12" s="7001"/>
      <c r="AK12" s="7001"/>
      <c r="AL12" s="7001"/>
      <c r="AM12" s="7001"/>
      <c r="AN12" s="7001"/>
      <c r="AO12" s="7001"/>
      <c r="AP12" s="7001"/>
      <c r="AQ12" s="7001"/>
      <c r="AR12" s="7001"/>
      <c r="AS12" s="7001"/>
      <c r="AT12" s="7001"/>
      <c r="AU12" s="7001"/>
      <c r="AV12" s="7001"/>
      <c r="AW12" s="7001"/>
      <c r="AX12" s="7001"/>
      <c r="AY12" s="7001"/>
      <c r="AZ12" s="7001"/>
      <c r="BA12" s="7001"/>
      <c r="BB12" s="7001"/>
      <c r="BC12" s="7001"/>
      <c r="BD12" s="7001"/>
      <c r="BE12" s="7001"/>
      <c r="BF12" s="7001"/>
      <c r="BG12" s="7001"/>
      <c r="BH12" s="7001"/>
      <c r="BI12" s="7001"/>
      <c r="BJ12" s="7001"/>
      <c r="BK12" s="7001"/>
      <c r="BL12" s="7001"/>
      <c r="BM12" s="2542"/>
      <c r="BW12" s="912"/>
    </row>
    <row customHeight="1" ht="33.75">
      <c r="C13" s="384"/>
      <c r="D13" s="1047" t="s">
        <v>88</v>
      </c>
      <c r="E13" s="1050" t="s">
        <v>364</v>
      </c>
      <c r="F13" s="1050" t="s">
        <v>1655</v>
      </c>
      <c r="G13" s="1051" t="s">
        <v>365</v>
      </c>
      <c r="H13" s="1050" t="s">
        <v>454</v>
      </c>
      <c r="I13" s="1051" t="s">
        <v>365</v>
      </c>
      <c r="J13" s="1050" t="s">
        <v>454</v>
      </c>
      <c r="K13" s="7005" t="s">
        <v>365</v>
      </c>
      <c r="L13" s="7006" t="s">
        <v>454</v>
      </c>
      <c r="M13" s="7005" t="s">
        <v>365</v>
      </c>
      <c r="N13" s="7006" t="s">
        <v>454</v>
      </c>
      <c r="O13" s="7005" t="s">
        <v>365</v>
      </c>
      <c r="P13" s="7006" t="s">
        <v>454</v>
      </c>
      <c r="Q13" s="7005" t="s">
        <v>365</v>
      </c>
      <c r="R13" s="7006" t="s">
        <v>454</v>
      </c>
      <c r="S13" s="7005" t="s">
        <v>365</v>
      </c>
      <c r="T13" s="7006" t="s">
        <v>454</v>
      </c>
      <c r="U13" s="7005" t="s">
        <v>365</v>
      </c>
      <c r="V13" s="7006" t="s">
        <v>454</v>
      </c>
      <c r="W13" s="7005" t="s">
        <v>365</v>
      </c>
      <c r="X13" s="7006" t="s">
        <v>454</v>
      </c>
      <c r="Y13" s="7005" t="s">
        <v>365</v>
      </c>
      <c r="Z13" s="7006" t="s">
        <v>454</v>
      </c>
      <c r="AA13" s="7005" t="s">
        <v>365</v>
      </c>
      <c r="AB13" s="7006" t="s">
        <v>454</v>
      </c>
      <c r="AC13" s="7005" t="s">
        <v>365</v>
      </c>
      <c r="AD13" s="7006" t="s">
        <v>454</v>
      </c>
      <c r="AE13" s="7005" t="s">
        <v>365</v>
      </c>
      <c r="AF13" s="7006" t="s">
        <v>454</v>
      </c>
      <c r="AG13" s="7005" t="s">
        <v>365</v>
      </c>
      <c r="AH13" s="7006" t="s">
        <v>454</v>
      </c>
      <c r="AI13" s="7005" t="s">
        <v>365</v>
      </c>
      <c r="AJ13" s="7006" t="s">
        <v>454</v>
      </c>
      <c r="AK13" s="7005" t="s">
        <v>365</v>
      </c>
      <c r="AL13" s="7006" t="s">
        <v>454</v>
      </c>
      <c r="AM13" s="7005" t="s">
        <v>365</v>
      </c>
      <c r="AN13" s="7006" t="s">
        <v>454</v>
      </c>
      <c r="AO13" s="7005" t="s">
        <v>365</v>
      </c>
      <c r="AP13" s="7006" t="s">
        <v>454</v>
      </c>
      <c r="AQ13" s="7005" t="s">
        <v>365</v>
      </c>
      <c r="AR13" s="7006" t="s">
        <v>454</v>
      </c>
      <c r="AS13" s="7005" t="s">
        <v>365</v>
      </c>
      <c r="AT13" s="7006" t="s">
        <v>454</v>
      </c>
      <c r="AU13" s="7005" t="s">
        <v>365</v>
      </c>
      <c r="AV13" s="7006" t="s">
        <v>454</v>
      </c>
      <c r="AW13" s="7005" t="s">
        <v>365</v>
      </c>
      <c r="AX13" s="7006" t="s">
        <v>454</v>
      </c>
      <c r="AY13" s="7005" t="s">
        <v>365</v>
      </c>
      <c r="AZ13" s="7006" t="s">
        <v>454</v>
      </c>
      <c r="BA13" s="7005" t="s">
        <v>365</v>
      </c>
      <c r="BB13" s="7006" t="s">
        <v>454</v>
      </c>
      <c r="BC13" s="7005" t="s">
        <v>365</v>
      </c>
      <c r="BD13" s="7006" t="s">
        <v>454</v>
      </c>
      <c r="BE13" s="7005" t="s">
        <v>365</v>
      </c>
      <c r="BF13" s="7006" t="s">
        <v>454</v>
      </c>
      <c r="BG13" s="7005" t="s">
        <v>365</v>
      </c>
      <c r="BH13" s="7006" t="s">
        <v>454</v>
      </c>
      <c r="BI13" s="7005" t="s">
        <v>365</v>
      </c>
      <c r="BJ13" s="7006" t="s">
        <v>454</v>
      </c>
      <c r="BK13" s="7005" t="s">
        <v>365</v>
      </c>
      <c r="BL13" s="7006" t="s">
        <v>454</v>
      </c>
      <c r="BM13" s="2295"/>
    </row>
    <row customHeight="1" ht="15" hidden="1">
      <c r="C14" s="384"/>
      <c r="D14" s="830" t="s">
        <v>109</v>
      </c>
      <c r="E14" s="830" t="s">
        <v>110</v>
      </c>
      <c r="F14" s="830" t="s">
        <v>90</v>
      </c>
      <c r="G14" s="896" t="str">
        <f>G1&amp;".1"</f>
        <v>4.1</v>
      </c>
      <c r="H14" s="896"/>
      <c r="I14" s="896" t="str">
        <f>I1&amp;".1"</f>
        <v>4.1</v>
      </c>
      <c r="J14" s="896"/>
      <c r="K14" s="7008" t="str">
        <f>K1&amp;".1"</f>
        <v>4.1</v>
      </c>
      <c r="L14" s="7008"/>
      <c r="M14" s="7008" t="str">
        <f>M1&amp;".1"</f>
        <v>4.1</v>
      </c>
      <c r="N14" s="7008"/>
      <c r="O14" s="7008" t="str">
        <f>O1&amp;".1"</f>
        <v>4.1</v>
      </c>
      <c r="P14" s="7008"/>
      <c r="Q14" s="7008" t="str">
        <f>Q1&amp;".1"</f>
        <v>4.1</v>
      </c>
      <c r="R14" s="7008"/>
      <c r="S14" s="7008" t="str">
        <f>S1&amp;".1"</f>
        <v>4.1</v>
      </c>
      <c r="T14" s="7008"/>
      <c r="U14" s="7008" t="str">
        <f>U1&amp;".1"</f>
        <v>4.1</v>
      </c>
      <c r="V14" s="7008"/>
      <c r="W14" s="7008" t="str">
        <f>W1&amp;".1"</f>
        <v>4.1</v>
      </c>
      <c r="X14" s="7008"/>
      <c r="Y14" s="7008" t="str">
        <f>Y1&amp;".1"</f>
        <v>4.1</v>
      </c>
      <c r="Z14" s="7008"/>
      <c r="AA14" s="7008" t="str">
        <f>AA1&amp;".1"</f>
        <v>4.1</v>
      </c>
      <c r="AB14" s="7008"/>
      <c r="AC14" s="7008" t="str">
        <f>AC1&amp;".1"</f>
        <v>4.1</v>
      </c>
      <c r="AD14" s="7008"/>
      <c r="AE14" s="7008" t="str">
        <f>AE1&amp;".1"</f>
        <v>4.1</v>
      </c>
      <c r="AF14" s="7008"/>
      <c r="AG14" s="7008" t="str">
        <f>AG1&amp;".1"</f>
        <v>4.1</v>
      </c>
      <c r="AH14" s="7008"/>
      <c r="AI14" s="7008" t="str">
        <f>AI1&amp;".1"</f>
        <v>4.1</v>
      </c>
      <c r="AJ14" s="7008"/>
      <c r="AK14" s="7008" t="str">
        <f>AK1&amp;".1"</f>
        <v>4.1</v>
      </c>
      <c r="AL14" s="7008"/>
      <c r="AM14" s="7008" t="str">
        <f>AM1&amp;".1"</f>
        <v>4.1</v>
      </c>
      <c r="AN14" s="7008"/>
      <c r="AO14" s="7008" t="str">
        <f>AO1&amp;".1"</f>
        <v>4.1</v>
      </c>
      <c r="AP14" s="7008"/>
      <c r="AQ14" s="7008" t="str">
        <f>AQ1&amp;".1"</f>
        <v>4.1</v>
      </c>
      <c r="AR14" s="7008"/>
      <c r="AS14" s="7008" t="str">
        <f>AS1&amp;".1"</f>
        <v>4.1</v>
      </c>
      <c r="AT14" s="7008"/>
      <c r="AU14" s="7008" t="str">
        <f>AU1&amp;".1"</f>
        <v>4.1</v>
      </c>
      <c r="AV14" s="7008"/>
      <c r="AW14" s="7008" t="str">
        <f>AW1&amp;".1"</f>
        <v>4.1</v>
      </c>
      <c r="AX14" s="7008"/>
      <c r="AY14" s="7008" t="str">
        <f>AY1&amp;".1"</f>
        <v>4.1</v>
      </c>
      <c r="AZ14" s="7008"/>
      <c r="BA14" s="7008" t="str">
        <f>BA1&amp;".1"</f>
        <v>4.1</v>
      </c>
      <c r="BB14" s="7008"/>
      <c r="BC14" s="7008" t="str">
        <f>BC1&amp;".1"</f>
        <v>4.1</v>
      </c>
      <c r="BD14" s="7008"/>
      <c r="BE14" s="7008" t="str">
        <f>BE1&amp;".1"</f>
        <v>4.1</v>
      </c>
      <c r="BF14" s="7008"/>
      <c r="BG14" s="7008" t="str">
        <f>BG1&amp;".1"</f>
        <v>4.1</v>
      </c>
      <c r="BH14" s="7008"/>
      <c r="BI14" s="7008" t="str">
        <f>BI1&amp;".1"</f>
        <v>4.1</v>
      </c>
      <c r="BJ14" s="7008"/>
      <c r="BK14" s="7008" t="str">
        <f>BK1&amp;".1"</f>
        <v>4.1</v>
      </c>
      <c r="BL14" s="7008"/>
      <c r="BM14" s="499"/>
    </row>
    <row customHeight="1" ht="22.5" hidden="1">
      <c r="A15" s="742"/>
      <c r="C15" s="763"/>
      <c r="D15" s="758">
        <v>1</v>
      </c>
      <c r="E15" s="914" t="s">
        <v>1656</v>
      </c>
      <c r="F15" s="758" t="s">
        <v>1657</v>
      </c>
      <c r="G15" s="915"/>
      <c r="H15" s="915"/>
      <c r="I15" s="915"/>
      <c r="J15" s="915"/>
      <c r="K15" s="7012"/>
      <c r="L15" s="7012"/>
      <c r="M15" s="7012"/>
      <c r="N15" s="7012"/>
      <c r="O15" s="7012"/>
      <c r="P15" s="7012"/>
      <c r="Q15" s="7012"/>
      <c r="R15" s="7012"/>
      <c r="S15" s="7012"/>
      <c r="T15" s="7012"/>
      <c r="U15" s="7012"/>
      <c r="V15" s="7012"/>
      <c r="W15" s="7012"/>
      <c r="X15" s="7012"/>
      <c r="Y15" s="7012"/>
      <c r="Z15" s="7012"/>
      <c r="AA15" s="7012"/>
      <c r="AB15" s="7012"/>
      <c r="AC15" s="7012"/>
      <c r="AD15" s="7012"/>
      <c r="AE15" s="7012"/>
      <c r="AF15" s="7012"/>
      <c r="AG15" s="7012"/>
      <c r="AH15" s="7012"/>
      <c r="AI15" s="7012"/>
      <c r="AJ15" s="7012"/>
      <c r="AK15" s="7012"/>
      <c r="AL15" s="7012"/>
      <c r="AM15" s="7012"/>
      <c r="AN15" s="7012"/>
      <c r="AO15" s="7012"/>
      <c r="AP15" s="7012"/>
      <c r="AQ15" s="7012"/>
      <c r="AR15" s="7012"/>
      <c r="AS15" s="7012"/>
      <c r="AT15" s="7012"/>
      <c r="AU15" s="7012"/>
      <c r="AV15" s="7012"/>
      <c r="AW15" s="7012"/>
      <c r="AX15" s="7012"/>
      <c r="AY15" s="7012"/>
      <c r="AZ15" s="7012"/>
      <c r="BA15" s="7012"/>
      <c r="BB15" s="7012"/>
      <c r="BC15" s="7012"/>
      <c r="BD15" s="7012"/>
      <c r="BE15" s="7012"/>
      <c r="BF15" s="7012"/>
      <c r="BG15" s="7012"/>
      <c r="BH15" s="7012"/>
      <c r="BI15" s="7012"/>
      <c r="BJ15" s="7012"/>
      <c r="BK15" s="7012"/>
      <c r="BL15" s="7012"/>
      <c r="BM15" s="499" t="s">
        <v>1658</v>
      </c>
    </row>
    <row customHeight="1" ht="22.5" hidden="1">
      <c r="A16" s="742"/>
      <c r="C16" s="763"/>
      <c r="D16" s="758">
        <v>2</v>
      </c>
      <c r="E16" s="489" t="s">
        <v>1659</v>
      </c>
      <c r="F16" s="758" t="s">
        <v>1660</v>
      </c>
      <c r="G16" s="915"/>
      <c r="H16" s="915"/>
      <c r="I16" s="915"/>
      <c r="J16" s="915"/>
      <c r="K16" s="7012"/>
      <c r="L16" s="7012"/>
      <c r="M16" s="7012"/>
      <c r="N16" s="7012"/>
      <c r="O16" s="7012"/>
      <c r="P16" s="7012"/>
      <c r="Q16" s="7012"/>
      <c r="R16" s="7012"/>
      <c r="S16" s="7012"/>
      <c r="T16" s="7012"/>
      <c r="U16" s="7012"/>
      <c r="V16" s="7012"/>
      <c r="W16" s="7012"/>
      <c r="X16" s="7012"/>
      <c r="Y16" s="7012"/>
      <c r="Z16" s="7012"/>
      <c r="AA16" s="7012"/>
      <c r="AB16" s="7012"/>
      <c r="AC16" s="7012"/>
      <c r="AD16" s="7012"/>
      <c r="AE16" s="7012"/>
      <c r="AF16" s="7012"/>
      <c r="AG16" s="7012"/>
      <c r="AH16" s="7012"/>
      <c r="AI16" s="7012"/>
      <c r="AJ16" s="7012"/>
      <c r="AK16" s="7012"/>
      <c r="AL16" s="7012"/>
      <c r="AM16" s="7012"/>
      <c r="AN16" s="7012"/>
      <c r="AO16" s="7012"/>
      <c r="AP16" s="7012"/>
      <c r="AQ16" s="7012"/>
      <c r="AR16" s="7012"/>
      <c r="AS16" s="7012"/>
      <c r="AT16" s="7012"/>
      <c r="AU16" s="7012"/>
      <c r="AV16" s="7012"/>
      <c r="AW16" s="7012"/>
      <c r="AX16" s="7012"/>
      <c r="AY16" s="7012"/>
      <c r="AZ16" s="7012"/>
      <c r="BA16" s="7012"/>
      <c r="BB16" s="7012"/>
      <c r="BC16" s="7012"/>
      <c r="BD16" s="7012"/>
      <c r="BE16" s="7012"/>
      <c r="BF16" s="7012"/>
      <c r="BG16" s="7012"/>
      <c r="BH16" s="7012"/>
      <c r="BI16" s="7012"/>
      <c r="BJ16" s="7012"/>
      <c r="BK16" s="7012"/>
      <c r="BL16" s="7012"/>
      <c r="BM16" s="499" t="s">
        <v>1661</v>
      </c>
    </row>
    <row customHeight="1" ht="123.75" hidden="1">
      <c r="A17" s="742"/>
      <c r="C17" s="763"/>
      <c r="D17" s="758">
        <v>3</v>
      </c>
      <c r="E17" s="489" t="s">
        <v>1662</v>
      </c>
      <c r="F17" s="758" t="s">
        <v>368</v>
      </c>
      <c r="G17" s="915"/>
      <c r="H17" s="915"/>
      <c r="I17" s="915"/>
      <c r="J17" s="915"/>
      <c r="K17" s="7012"/>
      <c r="L17" s="7012"/>
      <c r="M17" s="7012"/>
      <c r="N17" s="7012"/>
      <c r="O17" s="7012"/>
      <c r="P17" s="7012"/>
      <c r="Q17" s="7012"/>
      <c r="R17" s="7012"/>
      <c r="S17" s="7012"/>
      <c r="T17" s="7012"/>
      <c r="U17" s="7012"/>
      <c r="V17" s="7012"/>
      <c r="W17" s="7012"/>
      <c r="X17" s="7012"/>
      <c r="Y17" s="7012"/>
      <c r="Z17" s="7012"/>
      <c r="AA17" s="7012"/>
      <c r="AB17" s="7012"/>
      <c r="AC17" s="7012"/>
      <c r="AD17" s="7012"/>
      <c r="AE17" s="7012"/>
      <c r="AF17" s="7012"/>
      <c r="AG17" s="7012"/>
      <c r="AH17" s="7012"/>
      <c r="AI17" s="7012"/>
      <c r="AJ17" s="7012"/>
      <c r="AK17" s="7012"/>
      <c r="AL17" s="7012"/>
      <c r="AM17" s="7012"/>
      <c r="AN17" s="7012"/>
      <c r="AO17" s="7012"/>
      <c r="AP17" s="7012"/>
      <c r="AQ17" s="7012"/>
      <c r="AR17" s="7012"/>
      <c r="AS17" s="7012"/>
      <c r="AT17" s="7012"/>
      <c r="AU17" s="7012"/>
      <c r="AV17" s="7012"/>
      <c r="AW17" s="7012"/>
      <c r="AX17" s="7012"/>
      <c r="AY17" s="7012"/>
      <c r="AZ17" s="7012"/>
      <c r="BA17" s="7012"/>
      <c r="BB17" s="7012"/>
      <c r="BC17" s="7012"/>
      <c r="BD17" s="7012"/>
      <c r="BE17" s="7012"/>
      <c r="BF17" s="7012"/>
      <c r="BG17" s="7012"/>
      <c r="BH17" s="7012"/>
      <c r="BI17" s="7012"/>
      <c r="BJ17" s="7012"/>
      <c r="BK17" s="7012"/>
      <c r="BL17" s="7012"/>
      <c r="BM17" s="499" t="s">
        <v>1663</v>
      </c>
    </row>
    <row customHeight="1" ht="45">
      <c r="A18" s="742"/>
      <c r="C18" s="763"/>
      <c r="D18" s="758">
        <v>4</v>
      </c>
      <c r="E18" s="489" t="s">
        <v>1664</v>
      </c>
      <c r="F18" s="758" t="s">
        <v>368</v>
      </c>
      <c r="G18" s="1052" t="s">
        <v>368</v>
      </c>
      <c r="H18" s="1053" t="s">
        <v>368</v>
      </c>
      <c r="I18" s="758" t="s">
        <v>368</v>
      </c>
      <c r="J18" s="815" t="s">
        <v>368</v>
      </c>
      <c r="K18" s="7017" t="s">
        <v>368</v>
      </c>
      <c r="L18" s="7018" t="s">
        <v>368</v>
      </c>
      <c r="M18" s="7017" t="s">
        <v>368</v>
      </c>
      <c r="N18" s="7018" t="s">
        <v>368</v>
      </c>
      <c r="O18" s="7017" t="s">
        <v>368</v>
      </c>
      <c r="P18" s="7018" t="s">
        <v>368</v>
      </c>
      <c r="Q18" s="7017" t="s">
        <v>368</v>
      </c>
      <c r="R18" s="7018" t="s">
        <v>368</v>
      </c>
      <c r="S18" s="7017" t="s">
        <v>368</v>
      </c>
      <c r="T18" s="7018" t="s">
        <v>368</v>
      </c>
      <c r="U18" s="7017" t="s">
        <v>368</v>
      </c>
      <c r="V18" s="7018" t="s">
        <v>368</v>
      </c>
      <c r="W18" s="7017" t="s">
        <v>368</v>
      </c>
      <c r="X18" s="7018" t="s">
        <v>368</v>
      </c>
      <c r="Y18" s="7017" t="s">
        <v>368</v>
      </c>
      <c r="Z18" s="7018" t="s">
        <v>368</v>
      </c>
      <c r="AA18" s="7017" t="s">
        <v>368</v>
      </c>
      <c r="AB18" s="7018" t="s">
        <v>368</v>
      </c>
      <c r="AC18" s="7017" t="s">
        <v>368</v>
      </c>
      <c r="AD18" s="7018" t="s">
        <v>368</v>
      </c>
      <c r="AE18" s="7017" t="s">
        <v>368</v>
      </c>
      <c r="AF18" s="7018" t="s">
        <v>368</v>
      </c>
      <c r="AG18" s="7017" t="s">
        <v>368</v>
      </c>
      <c r="AH18" s="7018" t="s">
        <v>368</v>
      </c>
      <c r="AI18" s="7017" t="s">
        <v>368</v>
      </c>
      <c r="AJ18" s="7018" t="s">
        <v>368</v>
      </c>
      <c r="AK18" s="7017" t="s">
        <v>368</v>
      </c>
      <c r="AL18" s="7018" t="s">
        <v>368</v>
      </c>
      <c r="AM18" s="7017" t="s">
        <v>368</v>
      </c>
      <c r="AN18" s="7018" t="s">
        <v>368</v>
      </c>
      <c r="AO18" s="7017" t="s">
        <v>368</v>
      </c>
      <c r="AP18" s="7018" t="s">
        <v>368</v>
      </c>
      <c r="AQ18" s="7017" t="s">
        <v>368</v>
      </c>
      <c r="AR18" s="7018" t="s">
        <v>368</v>
      </c>
      <c r="AS18" s="7017" t="s">
        <v>368</v>
      </c>
      <c r="AT18" s="7018" t="s">
        <v>368</v>
      </c>
      <c r="AU18" s="7017" t="s">
        <v>368</v>
      </c>
      <c r="AV18" s="7018" t="s">
        <v>368</v>
      </c>
      <c r="AW18" s="7017" t="s">
        <v>368</v>
      </c>
      <c r="AX18" s="7018" t="s">
        <v>368</v>
      </c>
      <c r="AY18" s="7017" t="s">
        <v>368</v>
      </c>
      <c r="AZ18" s="7018" t="s">
        <v>368</v>
      </c>
      <c r="BA18" s="7017" t="s">
        <v>368</v>
      </c>
      <c r="BB18" s="7018" t="s">
        <v>368</v>
      </c>
      <c r="BC18" s="7017" t="s">
        <v>368</v>
      </c>
      <c r="BD18" s="7018" t="s">
        <v>368</v>
      </c>
      <c r="BE18" s="7017" t="s">
        <v>368</v>
      </c>
      <c r="BF18" s="7018" t="s">
        <v>368</v>
      </c>
      <c r="BG18" s="7017" t="s">
        <v>368</v>
      </c>
      <c r="BH18" s="7018" t="s">
        <v>368</v>
      </c>
      <c r="BI18" s="7017" t="s">
        <v>368</v>
      </c>
      <c r="BJ18" s="7018" t="s">
        <v>368</v>
      </c>
      <c r="BK18" s="7017" t="s">
        <v>368</v>
      </c>
      <c r="BL18" s="7018" t="s">
        <v>368</v>
      </c>
      <c r="BM18" s="499" t="s">
        <v>1665</v>
      </c>
    </row>
    <row customHeight="1" ht="33.75">
      <c r="A19" s="742"/>
      <c r="C19" s="763"/>
      <c r="D19" s="776" t="s">
        <v>678</v>
      </c>
      <c r="E19" s="796" t="s">
        <v>1666</v>
      </c>
      <c r="F19" s="758" t="s">
        <v>1667</v>
      </c>
      <c r="G19" s="1060"/>
      <c r="H19" s="311"/>
      <c r="I19" s="1060"/>
      <c r="J19" s="1061"/>
      <c r="K19" s="7024"/>
      <c r="L19" s="7025"/>
      <c r="M19" s="7024"/>
      <c r="N19" s="7025"/>
      <c r="O19" s="7024"/>
      <c r="P19" s="7025"/>
      <c r="Q19" s="7024"/>
      <c r="R19" s="7025"/>
      <c r="S19" s="7024"/>
      <c r="T19" s="7025"/>
      <c r="U19" s="7024"/>
      <c r="V19" s="7025"/>
      <c r="W19" s="7024"/>
      <c r="X19" s="7025"/>
      <c r="Y19" s="7024"/>
      <c r="Z19" s="7025"/>
      <c r="AA19" s="7024"/>
      <c r="AB19" s="7025"/>
      <c r="AC19" s="7024"/>
      <c r="AD19" s="7025"/>
      <c r="AE19" s="7024"/>
      <c r="AF19" s="7025"/>
      <c r="AG19" s="7024"/>
      <c r="AH19" s="7025"/>
      <c r="AI19" s="7024"/>
      <c r="AJ19" s="7025"/>
      <c r="AK19" s="7024"/>
      <c r="AL19" s="7025"/>
      <c r="AM19" s="7024"/>
      <c r="AN19" s="7025"/>
      <c r="AO19" s="7024"/>
      <c r="AP19" s="7025"/>
      <c r="AQ19" s="7024"/>
      <c r="AR19" s="7025"/>
      <c r="AS19" s="7024"/>
      <c r="AT19" s="7025"/>
      <c r="AU19" s="7024"/>
      <c r="AV19" s="7025"/>
      <c r="AW19" s="7024"/>
      <c r="AX19" s="7025"/>
      <c r="AY19" s="7024"/>
      <c r="AZ19" s="7025"/>
      <c r="BA19" s="7024"/>
      <c r="BB19" s="7025"/>
      <c r="BC19" s="7024"/>
      <c r="BD19" s="7025"/>
      <c r="BE19" s="7024"/>
      <c r="BF19" s="7025"/>
      <c r="BG19" s="7024"/>
      <c r="BH19" s="7025"/>
      <c r="BI19" s="7024"/>
      <c r="BJ19" s="7025"/>
      <c r="BK19" s="7024"/>
      <c r="BL19" s="7025"/>
      <c r="BM19" s="916"/>
    </row>
    <row customHeight="1" ht="33.75">
      <c r="A20" s="742"/>
      <c r="C20" s="763"/>
      <c r="D20" s="776" t="s">
        <v>697</v>
      </c>
      <c r="E20" s="796" t="s">
        <v>1668</v>
      </c>
      <c r="F20" s="758" t="s">
        <v>1669</v>
      </c>
      <c r="G20" s="1060"/>
      <c r="H20" s="311"/>
      <c r="I20" s="1060"/>
      <c r="J20" s="311"/>
      <c r="K20" s="7024"/>
      <c r="L20" s="7025"/>
      <c r="M20" s="7024"/>
      <c r="N20" s="7025"/>
      <c r="O20" s="7024"/>
      <c r="P20" s="7025"/>
      <c r="Q20" s="7024"/>
      <c r="R20" s="7025"/>
      <c r="S20" s="7024"/>
      <c r="T20" s="7025"/>
      <c r="U20" s="7024"/>
      <c r="V20" s="7025"/>
      <c r="W20" s="7024"/>
      <c r="X20" s="7025"/>
      <c r="Y20" s="7024"/>
      <c r="Z20" s="7025"/>
      <c r="AA20" s="7024"/>
      <c r="AB20" s="7025"/>
      <c r="AC20" s="7024"/>
      <c r="AD20" s="7025"/>
      <c r="AE20" s="7024"/>
      <c r="AF20" s="7025"/>
      <c r="AG20" s="7024"/>
      <c r="AH20" s="7025"/>
      <c r="AI20" s="7024"/>
      <c r="AJ20" s="7025"/>
      <c r="AK20" s="7024"/>
      <c r="AL20" s="7025"/>
      <c r="AM20" s="7024"/>
      <c r="AN20" s="7025"/>
      <c r="AO20" s="7024"/>
      <c r="AP20" s="7025"/>
      <c r="AQ20" s="7024"/>
      <c r="AR20" s="7025"/>
      <c r="AS20" s="7024"/>
      <c r="AT20" s="7025"/>
      <c r="AU20" s="7024"/>
      <c r="AV20" s="7025"/>
      <c r="AW20" s="7024"/>
      <c r="AX20" s="7025"/>
      <c r="AY20" s="7024"/>
      <c r="AZ20" s="7025"/>
      <c r="BA20" s="7024"/>
      <c r="BB20" s="7025"/>
      <c r="BC20" s="7024"/>
      <c r="BD20" s="7025"/>
      <c r="BE20" s="7024"/>
      <c r="BF20" s="7025"/>
      <c r="BG20" s="7024"/>
      <c r="BH20" s="7025"/>
      <c r="BI20" s="7024"/>
      <c r="BJ20" s="7025"/>
      <c r="BK20" s="7024"/>
      <c r="BL20" s="7025"/>
      <c r="BM20" s="916"/>
    </row>
    <row customHeight="1" ht="45">
      <c r="A21" s="742"/>
      <c r="C21" s="763"/>
      <c r="D21" s="776" t="s">
        <v>1670</v>
      </c>
      <c r="E21" s="796" t="s">
        <v>1671</v>
      </c>
      <c r="F21" s="758" t="s">
        <v>1672</v>
      </c>
      <c r="G21" s="917"/>
      <c r="H21" s="311"/>
      <c r="I21" s="917"/>
      <c r="J21" s="311"/>
      <c r="K21" s="7028"/>
      <c r="L21" s="7025"/>
      <c r="M21" s="7028"/>
      <c r="N21" s="7025"/>
      <c r="O21" s="7028"/>
      <c r="P21" s="7025"/>
      <c r="Q21" s="7028"/>
      <c r="R21" s="7025"/>
      <c r="S21" s="7028"/>
      <c r="T21" s="7025"/>
      <c r="U21" s="7028"/>
      <c r="V21" s="7025"/>
      <c r="W21" s="7028"/>
      <c r="X21" s="7025"/>
      <c r="Y21" s="7028"/>
      <c r="Z21" s="7025"/>
      <c r="AA21" s="7028"/>
      <c r="AB21" s="7025"/>
      <c r="AC21" s="7028"/>
      <c r="AD21" s="7025"/>
      <c r="AE21" s="7028"/>
      <c r="AF21" s="7025"/>
      <c r="AG21" s="7028"/>
      <c r="AH21" s="7025"/>
      <c r="AI21" s="7028"/>
      <c r="AJ21" s="7025"/>
      <c r="AK21" s="7028"/>
      <c r="AL21" s="7025"/>
      <c r="AM21" s="7028"/>
      <c r="AN21" s="7025"/>
      <c r="AO21" s="7028"/>
      <c r="AP21" s="7025"/>
      <c r="AQ21" s="7028"/>
      <c r="AR21" s="7025"/>
      <c r="AS21" s="7028"/>
      <c r="AT21" s="7025"/>
      <c r="AU21" s="7028"/>
      <c r="AV21" s="7025"/>
      <c r="AW21" s="7028"/>
      <c r="AX21" s="7025"/>
      <c r="AY21" s="7028"/>
      <c r="AZ21" s="7025"/>
      <c r="BA21" s="7028"/>
      <c r="BB21" s="7025"/>
      <c r="BC21" s="7028"/>
      <c r="BD21" s="7025"/>
      <c r="BE21" s="7028"/>
      <c r="BF21" s="7025"/>
      <c r="BG21" s="7028"/>
      <c r="BH21" s="7025"/>
      <c r="BI21" s="7028"/>
      <c r="BJ21" s="7025"/>
      <c r="BK21" s="7028"/>
      <c r="BL21" s="7025"/>
      <c r="BM21" s="916"/>
    </row>
    <row customHeight="1" ht="67.5" hidden="1">
      <c r="A22" s="742"/>
      <c r="C22" s="763"/>
      <c r="D22" s="758">
        <v>5</v>
      </c>
      <c r="E22" s="489" t="s">
        <v>1673</v>
      </c>
      <c r="F22" s="758" t="s">
        <v>1674</v>
      </c>
      <c r="G22" s="918"/>
      <c r="H22" s="919"/>
      <c r="I22" s="918"/>
      <c r="J22" s="919"/>
      <c r="K22" s="7031"/>
      <c r="L22" s="7032"/>
      <c r="M22" s="7031"/>
      <c r="N22" s="7032"/>
      <c r="O22" s="7031"/>
      <c r="P22" s="7032"/>
      <c r="Q22" s="7031"/>
      <c r="R22" s="7032"/>
      <c r="S22" s="7031"/>
      <c r="T22" s="7032"/>
      <c r="U22" s="7031"/>
      <c r="V22" s="7032"/>
      <c r="W22" s="7031"/>
      <c r="X22" s="7032"/>
      <c r="Y22" s="7031"/>
      <c r="Z22" s="7032"/>
      <c r="AA22" s="7031"/>
      <c r="AB22" s="7032"/>
      <c r="AC22" s="7031"/>
      <c r="AD22" s="7032"/>
      <c r="AE22" s="7031"/>
      <c r="AF22" s="7032"/>
      <c r="AG22" s="7031"/>
      <c r="AH22" s="7032"/>
      <c r="AI22" s="7031"/>
      <c r="AJ22" s="7032"/>
      <c r="AK22" s="7031"/>
      <c r="AL22" s="7032"/>
      <c r="AM22" s="7031"/>
      <c r="AN22" s="7032"/>
      <c r="AO22" s="7031"/>
      <c r="AP22" s="7032"/>
      <c r="AQ22" s="7031"/>
      <c r="AR22" s="7032"/>
      <c r="AS22" s="7031"/>
      <c r="AT22" s="7032"/>
      <c r="AU22" s="7031"/>
      <c r="AV22" s="7032"/>
      <c r="AW22" s="7031"/>
      <c r="AX22" s="7032"/>
      <c r="AY22" s="7031"/>
      <c r="AZ22" s="7032"/>
      <c r="BA22" s="7031"/>
      <c r="BB22" s="7032"/>
      <c r="BC22" s="7031"/>
      <c r="BD22" s="7032"/>
      <c r="BE22" s="7031"/>
      <c r="BF22" s="7032"/>
      <c r="BG22" s="7031"/>
      <c r="BH22" s="7032"/>
      <c r="BI22" s="7031"/>
      <c r="BJ22" s="7032"/>
      <c r="BK22" s="7031"/>
      <c r="BL22" s="7032"/>
      <c r="BM22" s="499" t="s">
        <v>1675</v>
      </c>
    </row>
    <row customHeight="1" ht="33.75" hidden="1">
      <c r="C23" s="688"/>
      <c r="D23" s="758">
        <v>6</v>
      </c>
      <c r="E23" s="489" t="s">
        <v>1676</v>
      </c>
      <c r="F23" s="758" t="s">
        <v>1677</v>
      </c>
      <c r="G23" s="918"/>
      <c r="H23" s="918"/>
      <c r="I23" s="918"/>
      <c r="J23" s="918"/>
      <c r="K23" s="7031"/>
      <c r="L23" s="7031"/>
      <c r="M23" s="7031"/>
      <c r="N23" s="7031"/>
      <c r="O23" s="7031"/>
      <c r="P23" s="7031"/>
      <c r="Q23" s="7031"/>
      <c r="R23" s="7031"/>
      <c r="S23" s="7031"/>
      <c r="T23" s="7031"/>
      <c r="U23" s="7031"/>
      <c r="V23" s="7031"/>
      <c r="W23" s="7031"/>
      <c r="X23" s="7031"/>
      <c r="Y23" s="7031"/>
      <c r="Z23" s="7031"/>
      <c r="AA23" s="7031"/>
      <c r="AB23" s="7031"/>
      <c r="AC23" s="7031"/>
      <c r="AD23" s="7031"/>
      <c r="AE23" s="7031"/>
      <c r="AF23" s="7031"/>
      <c r="AG23" s="7031"/>
      <c r="AH23" s="7031"/>
      <c r="AI23" s="7031"/>
      <c r="AJ23" s="7031"/>
      <c r="AK23" s="7031"/>
      <c r="AL23" s="7031"/>
      <c r="AM23" s="7031"/>
      <c r="AN23" s="7031"/>
      <c r="AO23" s="7031"/>
      <c r="AP23" s="7031"/>
      <c r="AQ23" s="7031"/>
      <c r="AR23" s="7031"/>
      <c r="AS23" s="7031"/>
      <c r="AT23" s="7031"/>
      <c r="AU23" s="7031"/>
      <c r="AV23" s="7031"/>
      <c r="AW23" s="7031"/>
      <c r="AX23" s="7031"/>
      <c r="AY23" s="7031"/>
      <c r="AZ23" s="7031"/>
      <c r="BA23" s="7031"/>
      <c r="BB23" s="7031"/>
      <c r="BC23" s="7031"/>
      <c r="BD23" s="7031"/>
      <c r="BE23" s="7031"/>
      <c r="BF23" s="7031"/>
      <c r="BG23" s="7031"/>
      <c r="BH23" s="7031"/>
      <c r="BI23" s="7031"/>
      <c r="BJ23" s="7031"/>
      <c r="BK23" s="7031"/>
      <c r="BL23" s="7031"/>
      <c r="BM23" s="499" t="s">
        <v>1678</v>
      </c>
    </row>
    <row customHeight="1" ht="15">
      <c r="K24" s="6985"/>
      <c r="L24" s="6985"/>
      <c r="M24" s="6985"/>
      <c r="N24" s="6985"/>
      <c r="O24" s="6985"/>
      <c r="P24" s="6985"/>
      <c r="Q24" s="6985"/>
      <c r="R24" s="6985"/>
      <c r="S24" s="6985"/>
      <c r="T24" s="6985"/>
      <c r="U24" s="6985"/>
      <c r="V24" s="6985"/>
      <c r="W24" s="6985"/>
      <c r="X24" s="6985"/>
      <c r="Y24" s="6985"/>
      <c r="Z24" s="6985"/>
      <c r="AA24" s="6985"/>
      <c r="AB24" s="6985"/>
      <c r="AC24" s="6985"/>
      <c r="AD24" s="6985"/>
      <c r="AE24" s="6985"/>
      <c r="AF24" s="6985"/>
      <c r="AG24" s="6985"/>
      <c r="AH24" s="6985"/>
      <c r="AI24" s="6985"/>
      <c r="AJ24" s="6985"/>
      <c r="AK24" s="6985"/>
      <c r="AL24" s="6985"/>
      <c r="AM24" s="6985"/>
      <c r="AN24" s="6985"/>
      <c r="AO24" s="6985"/>
      <c r="AP24" s="6985"/>
      <c r="AQ24" s="6985"/>
      <c r="AR24" s="6985"/>
      <c r="AS24" s="6985"/>
      <c r="AT24" s="6985"/>
      <c r="AU24" s="6985"/>
      <c r="AV24" s="6985"/>
      <c r="AW24" s="6985"/>
      <c r="AX24" s="6985"/>
      <c r="AY24" s="6985"/>
      <c r="AZ24" s="6985"/>
      <c r="BA24" s="6985"/>
      <c r="BB24" s="6985"/>
      <c r="BC24" s="6985"/>
      <c r="BD24" s="6985"/>
      <c r="BE24" s="6985"/>
      <c r="BF24" s="6985"/>
      <c r="BG24" s="6985"/>
      <c r="BH24" s="6985"/>
      <c r="BI24" s="6985"/>
      <c r="BJ24" s="6985"/>
      <c r="BK24" s="6985"/>
      <c r="BL24" s="6985"/>
    </row>
    <row customHeight="1" ht="15">
      <c r="K25" s="6985"/>
      <c r="L25" s="6985"/>
      <c r="M25" s="6985"/>
      <c r="N25" s="6985"/>
      <c r="O25" s="6985"/>
      <c r="P25" s="6985"/>
      <c r="Q25" s="6985"/>
      <c r="R25" s="6985"/>
      <c r="S25" s="6985"/>
      <c r="T25" s="6985"/>
      <c r="U25" s="6985"/>
      <c r="V25" s="6985"/>
      <c r="W25" s="6985"/>
      <c r="X25" s="6985"/>
      <c r="Y25" s="6985"/>
      <c r="Z25" s="6985"/>
      <c r="AA25" s="6985"/>
      <c r="AB25" s="6985"/>
      <c r="AC25" s="6985"/>
      <c r="AD25" s="6985"/>
      <c r="AE25" s="6985"/>
      <c r="AF25" s="6985"/>
      <c r="AG25" s="6985"/>
      <c r="AH25" s="6985"/>
      <c r="AI25" s="6985"/>
      <c r="AJ25" s="6985"/>
      <c r="AK25" s="6985"/>
      <c r="AL25" s="6985"/>
      <c r="AM25" s="6985"/>
      <c r="AN25" s="6985"/>
      <c r="AO25" s="6985"/>
      <c r="AP25" s="6985"/>
      <c r="AQ25" s="6985"/>
      <c r="AR25" s="6985"/>
      <c r="AS25" s="6985"/>
      <c r="AT25" s="6985"/>
      <c r="AU25" s="6985"/>
      <c r="AV25" s="6985"/>
      <c r="AW25" s="6985"/>
      <c r="AX25" s="6985"/>
      <c r="AY25" s="6985"/>
      <c r="AZ25" s="6985"/>
      <c r="BA25" s="6985"/>
      <c r="BB25" s="6985"/>
      <c r="BC25" s="6985"/>
      <c r="BD25" s="6985"/>
      <c r="BE25" s="6985"/>
      <c r="BF25" s="6985"/>
      <c r="BG25" s="6985"/>
      <c r="BH25" s="6985"/>
      <c r="BI25" s="6985"/>
      <c r="BJ25" s="6985"/>
      <c r="BK25" s="6985"/>
      <c r="BL25" s="6985"/>
    </row>
    <row customHeight="1" ht="15">
      <c r="K26" s="6985"/>
      <c r="L26" s="6985"/>
      <c r="M26" s="6985"/>
      <c r="N26" s="6985"/>
      <c r="O26" s="6985"/>
      <c r="P26" s="6985"/>
      <c r="Q26" s="6985"/>
      <c r="R26" s="6985"/>
      <c r="S26" s="6985"/>
      <c r="T26" s="6985"/>
      <c r="U26" s="6985"/>
      <c r="V26" s="6985"/>
      <c r="W26" s="6985"/>
      <c r="X26" s="6985"/>
      <c r="Y26" s="6985"/>
      <c r="Z26" s="6985"/>
      <c r="AA26" s="6985"/>
      <c r="AB26" s="6985"/>
      <c r="AC26" s="6985"/>
      <c r="AD26" s="6985"/>
      <c r="AE26" s="6985"/>
      <c r="AF26" s="6985"/>
      <c r="AG26" s="6985"/>
      <c r="AH26" s="6985"/>
      <c r="AI26" s="6985"/>
      <c r="AJ26" s="6985"/>
      <c r="AK26" s="6985"/>
      <c r="AL26" s="6985"/>
      <c r="AM26" s="6985"/>
      <c r="AN26" s="6985"/>
      <c r="AO26" s="6985"/>
      <c r="AP26" s="6985"/>
      <c r="AQ26" s="6985"/>
      <c r="AR26" s="6985"/>
      <c r="AS26" s="6985"/>
      <c r="AT26" s="6985"/>
      <c r="AU26" s="6985"/>
      <c r="AV26" s="6985"/>
      <c r="AW26" s="6985"/>
      <c r="AX26" s="6985"/>
      <c r="AY26" s="6985"/>
      <c r="AZ26" s="6985"/>
      <c r="BA26" s="6985"/>
      <c r="BB26" s="6985"/>
      <c r="BC26" s="6985"/>
      <c r="BD26" s="6985"/>
      <c r="BE26" s="6985"/>
      <c r="BF26" s="6985"/>
      <c r="BG26" s="6985"/>
      <c r="BH26" s="6985"/>
      <c r="BI26" s="6985"/>
      <c r="BJ26" s="6985"/>
      <c r="BK26" s="6985"/>
      <c r="BL26" s="6985"/>
    </row>
    <row customHeight="1" ht="15">
      <c r="K27" s="6985"/>
      <c r="L27" s="6985"/>
      <c r="M27" s="6985"/>
      <c r="N27" s="6985"/>
      <c r="O27" s="6985"/>
      <c r="P27" s="6985"/>
      <c r="Q27" s="6985"/>
      <c r="R27" s="6985"/>
      <c r="S27" s="6985"/>
      <c r="T27" s="6985"/>
      <c r="U27" s="6985"/>
      <c r="V27" s="6985"/>
      <c r="W27" s="6985"/>
      <c r="X27" s="6985"/>
      <c r="Y27" s="6985"/>
      <c r="Z27" s="6985"/>
      <c r="AA27" s="6985"/>
      <c r="AB27" s="6985"/>
      <c r="AC27" s="6985"/>
      <c r="AD27" s="6985"/>
      <c r="AE27" s="6985"/>
      <c r="AF27" s="6985"/>
      <c r="AG27" s="6985"/>
      <c r="AH27" s="6985"/>
      <c r="AI27" s="6985"/>
      <c r="AJ27" s="6985"/>
      <c r="AK27" s="6985"/>
      <c r="AL27" s="6985"/>
      <c r="AM27" s="6985"/>
      <c r="AN27" s="6985"/>
      <c r="AO27" s="6985"/>
      <c r="AP27" s="6985"/>
      <c r="AQ27" s="6985"/>
      <c r="AR27" s="6985"/>
      <c r="AS27" s="6985"/>
      <c r="AT27" s="6985"/>
      <c r="AU27" s="6985"/>
      <c r="AV27" s="6985"/>
      <c r="AW27" s="6985"/>
      <c r="AX27" s="6985"/>
      <c r="AY27" s="6985"/>
      <c r="AZ27" s="6985"/>
      <c r="BA27" s="6985"/>
      <c r="BB27" s="6985"/>
      <c r="BC27" s="6985"/>
      <c r="BD27" s="6985"/>
      <c r="BE27" s="6985"/>
      <c r="BF27" s="6985"/>
      <c r="BG27" s="6985"/>
      <c r="BH27" s="6985"/>
      <c r="BI27" s="6985"/>
      <c r="BJ27" s="6985"/>
      <c r="BK27" s="6985"/>
      <c r="BL27" s="6985"/>
    </row>
    <row customHeight="1" ht="15">
      <c r="K28" s="6985"/>
      <c r="L28" s="6985"/>
      <c r="M28" s="6985"/>
      <c r="N28" s="6985"/>
      <c r="O28" s="6985"/>
      <c r="P28" s="6985"/>
      <c r="Q28" s="6985"/>
      <c r="R28" s="6985"/>
      <c r="S28" s="6985"/>
      <c r="T28" s="6985"/>
      <c r="U28" s="6985"/>
      <c r="V28" s="6985"/>
      <c r="W28" s="6985"/>
      <c r="X28" s="6985"/>
      <c r="Y28" s="6985"/>
      <c r="Z28" s="6985"/>
      <c r="AA28" s="6985"/>
      <c r="AB28" s="6985"/>
      <c r="AC28" s="6985"/>
      <c r="AD28" s="6985"/>
      <c r="AE28" s="6985"/>
      <c r="AF28" s="6985"/>
      <c r="AG28" s="6985"/>
      <c r="AH28" s="6985"/>
      <c r="AI28" s="6985"/>
      <c r="AJ28" s="6985"/>
      <c r="AK28" s="6985"/>
      <c r="AL28" s="6985"/>
      <c r="AM28" s="6985"/>
      <c r="AN28" s="6985"/>
      <c r="AO28" s="6985"/>
      <c r="AP28" s="6985"/>
      <c r="AQ28" s="6985"/>
      <c r="AR28" s="6985"/>
      <c r="AS28" s="6985"/>
      <c r="AT28" s="6985"/>
      <c r="AU28" s="6985"/>
      <c r="AV28" s="6985"/>
      <c r="AW28" s="6985"/>
      <c r="AX28" s="6985"/>
      <c r="AY28" s="6985"/>
      <c r="AZ28" s="6985"/>
      <c r="BA28" s="6985"/>
      <c r="BB28" s="6985"/>
      <c r="BC28" s="6985"/>
      <c r="BD28" s="6985"/>
      <c r="BE28" s="6985"/>
      <c r="BF28" s="6985"/>
      <c r="BG28" s="6985"/>
      <c r="BH28" s="6985"/>
      <c r="BI28" s="6985"/>
      <c r="BJ28" s="6985"/>
      <c r="BK28" s="6985"/>
      <c r="BL28" s="6985"/>
    </row>
    <row customHeight="1" ht="15">
      <c r="J29" s="1062"/>
      <c r="K29" s="6985"/>
      <c r="L29" s="6985"/>
      <c r="M29" s="6985"/>
      <c r="N29" s="6985"/>
      <c r="O29" s="6985"/>
      <c r="P29" s="6985"/>
      <c r="Q29" s="6985"/>
      <c r="R29" s="6985"/>
      <c r="S29" s="6985"/>
      <c r="T29" s="6985"/>
      <c r="U29" s="6985"/>
      <c r="V29" s="6985"/>
      <c r="W29" s="6985"/>
      <c r="X29" s="6985"/>
      <c r="Y29" s="6985"/>
      <c r="Z29" s="6985"/>
      <c r="AA29" s="6985"/>
      <c r="AB29" s="6985"/>
      <c r="AC29" s="6985"/>
      <c r="AD29" s="6985"/>
      <c r="AE29" s="6985"/>
      <c r="AF29" s="6985"/>
      <c r="AG29" s="6985"/>
      <c r="AH29" s="6985"/>
      <c r="AI29" s="6985"/>
      <c r="AJ29" s="6985"/>
      <c r="AK29" s="6985"/>
      <c r="AL29" s="6985"/>
      <c r="AM29" s="6985"/>
      <c r="AN29" s="6985"/>
      <c r="AO29" s="6985"/>
      <c r="AP29" s="6985"/>
      <c r="AQ29" s="6985"/>
      <c r="AR29" s="6985"/>
      <c r="AS29" s="6985"/>
      <c r="AT29" s="6985"/>
      <c r="AU29" s="6985"/>
      <c r="AV29" s="6985"/>
      <c r="AW29" s="6985"/>
      <c r="AX29" s="6985"/>
      <c r="AY29" s="6985"/>
      <c r="AZ29" s="6985"/>
      <c r="BA29" s="6985"/>
      <c r="BB29" s="6985"/>
      <c r="BC29" s="6985"/>
      <c r="BD29" s="6985"/>
      <c r="BE29" s="6985"/>
      <c r="BF29" s="6985"/>
      <c r="BG29" s="6985"/>
      <c r="BH29" s="6985"/>
      <c r="BI29" s="6985"/>
      <c r="BJ29" s="6985"/>
      <c r="BK29" s="6985"/>
      <c r="BL29" s="6985"/>
    </row>
  </sheetData>
  <sheetProtection formatColumns="0" formatRows="0" autoFilter="0" sort="0" insertRows="0" insertColumns="1" deleteRows="0" deleteColumns="0"/>
  <mergeCells count="94">
    <mergeCell ref="D5:J5"/>
    <mergeCell ref="D6:J6"/>
    <mergeCell ref="BM9:BM13"/>
    <mergeCell ref="I9:J9"/>
    <mergeCell ref="E9:F9"/>
    <mergeCell ref="E10:F10"/>
    <mergeCell ref="E11:F11"/>
    <mergeCell ref="I10:J10"/>
    <mergeCell ref="I11:J11"/>
    <mergeCell ref="G9:H9"/>
    <mergeCell ref="G10:H10"/>
    <mergeCell ref="G11:H11"/>
    <mergeCell ref="D12:F12"/>
    <mergeCell ref="K9:L9"/>
    <mergeCell ref="K10:L10"/>
    <mergeCell ref="K11:L11"/>
    <mergeCell ref="M9:N9"/>
    <mergeCell ref="M10:N10"/>
    <mergeCell ref="M11:N11"/>
    <mergeCell ref="O9:P9"/>
    <mergeCell ref="O10:P10"/>
    <mergeCell ref="O11:P11"/>
    <mergeCell ref="Q9:R9"/>
    <mergeCell ref="Q10:R10"/>
    <mergeCell ref="Q11:R11"/>
    <mergeCell ref="S9:T9"/>
    <mergeCell ref="S10:T10"/>
    <mergeCell ref="S11:T11"/>
    <mergeCell ref="U9:V9"/>
    <mergeCell ref="U10:V10"/>
    <mergeCell ref="U11:V11"/>
    <mergeCell ref="W9:X9"/>
    <mergeCell ref="W10:X10"/>
    <mergeCell ref="W11:X11"/>
    <mergeCell ref="Y9:Z9"/>
    <mergeCell ref="Y10:Z10"/>
    <mergeCell ref="Y11:Z11"/>
    <mergeCell ref="AA9:AB9"/>
    <mergeCell ref="AA10:AB10"/>
    <mergeCell ref="AA11:AB11"/>
    <mergeCell ref="AC9:AD9"/>
    <mergeCell ref="AC10:AD10"/>
    <mergeCell ref="AC11:AD11"/>
    <mergeCell ref="AE9:AF9"/>
    <mergeCell ref="AE10:AF10"/>
    <mergeCell ref="AE11:AF11"/>
    <mergeCell ref="AG9:AH9"/>
    <mergeCell ref="AG10:AH10"/>
    <mergeCell ref="AG11:AH11"/>
    <mergeCell ref="AI9:AJ9"/>
    <mergeCell ref="AI10:AJ10"/>
    <mergeCell ref="AI11:AJ11"/>
    <mergeCell ref="AK9:AL9"/>
    <mergeCell ref="AK10:AL10"/>
    <mergeCell ref="AK11:AL11"/>
    <mergeCell ref="AM9:AN9"/>
    <mergeCell ref="AM10:AN10"/>
    <mergeCell ref="AM11:AN11"/>
    <mergeCell ref="AO9:AP9"/>
    <mergeCell ref="AO10:AP10"/>
    <mergeCell ref="AO11:AP11"/>
    <mergeCell ref="AQ9:AR9"/>
    <mergeCell ref="AQ10:AR10"/>
    <mergeCell ref="AQ11:AR11"/>
    <mergeCell ref="AS9:AT9"/>
    <mergeCell ref="AS10:AT10"/>
    <mergeCell ref="AS11:AT11"/>
    <mergeCell ref="AU9:AV9"/>
    <mergeCell ref="AU10:AV10"/>
    <mergeCell ref="AU11:AV11"/>
    <mergeCell ref="AW9:AX9"/>
    <mergeCell ref="AW10:AX10"/>
    <mergeCell ref="AW11:AX11"/>
    <mergeCell ref="AY9:AZ9"/>
    <mergeCell ref="AY10:AZ10"/>
    <mergeCell ref="AY11:AZ11"/>
    <mergeCell ref="BA9:BB9"/>
    <mergeCell ref="BA10:BB10"/>
    <mergeCell ref="BA11:BB11"/>
    <mergeCell ref="BC9:BD9"/>
    <mergeCell ref="BC10:BD10"/>
    <mergeCell ref="BC11:BD11"/>
    <mergeCell ref="BE9:BF9"/>
    <mergeCell ref="BE10:BF10"/>
    <mergeCell ref="BE11:BF11"/>
    <mergeCell ref="BG9:BH9"/>
    <mergeCell ref="BG10:BH10"/>
    <mergeCell ref="BG11:BH11"/>
    <mergeCell ref="BI9:BJ9"/>
    <mergeCell ref="BI10:BJ10"/>
    <mergeCell ref="BI11:BJ11"/>
    <mergeCell ref="BK9:BL9"/>
    <mergeCell ref="BK10:BL10"/>
    <mergeCell ref="BK11:BL11"/>
  </mergeCells>
  <dataValidations count="4">
    <dataValidation type="textLength" operator="lessThanOrEqual" allowBlank="1" showInputMessage="1" showErrorMessage="1" errorTitle="Ошибка" error="Допускается ввод не более 900 символов!" sqref="H19:H21 J19:J21 L19:L21 N19:N21 P19:P21 R19:R21 T19:T21 V19:V21 X19:X21 Z19:Z21 AB19:AB21 AD19:AD21 AF19:AF21 AH19:AH21 AJ19:AJ21 AL19:AL21 AN19:AN21 AP19:AP21 AR19:AR21 AT19:AT21 AV19:AV21 AX19:AX21 AZ19:AZ21 BB19:BB21 BD19:BD21 BF19:BF21 BH19:BH21 BJ19:BJ21 BL19:BL21">
      <formula1>900</formula1>
    </dataValidation>
    <dataValidation type="whole" allowBlank="1" showErrorMessage="1" errorTitle="Ошибка" error="Допускается ввод только неотрицательных целых чисел!" sqref="G19:G20 I19:I20 K19 K20 M19 M20 O19 O20 Q19 Q20 S19 S20 U19 U20 W19 W20 Y19 Y20 AA19 AA20 AC19 AC20 AE19 AE20 AG19 AG20 AI19 AI20 AK19 AK20 AM19 AM20 AO19 AO20 AQ19 AQ20 AS19 AS20 AU19 AU20 AW19 AW20 AY19 AY20 BA19 BA20 BC19 BC20 BE19 BE20 BG19 BG20 BI19 BI20 BK19 BK20">
      <formula1>0</formula1>
      <formula2>9.99999999999999E+23</formula2>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 type="decimal" allowBlank="1" showErrorMessage="1" errorTitle="Ошибка" error="Допускается ввод только неотрицательных чисел!" sqref="G21 I21 K21 M21 O21 Q21 S21 U21 W21 Y21 AA21 AC21 AE21 AG21 AI21 AK21 AM21 AO21 AQ21 AS21 AU21 AW21 AY21 BA21 BC21 BE21 BG21 BI21 BK21">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4E69FD1-324C-B99A-CAC8-D80029CF5309}" mc:Ignorable="x14ac xr xr2 xr3">
  <sheetPr>
    <tabColor theme="2" tint="-0.1"/>
  </sheetPr>
  <dimension ref="A1:AS22"/>
  <sheetViews>
    <sheetView topLeftCell="C5" showGridLines="0" zoomScale="90" workbookViewId="0" tabSelected="1">
      <selection activeCell="E22" sqref="E22"/>
    </sheetView>
  </sheetViews>
  <sheetFormatPr defaultColWidth="10.57421875" customHeight="1" defaultRowHeight="15"/>
  <cols>
    <col min="1" max="1" style="11248" width="9.140625" hidden="1" customWidth="1"/>
    <col min="2" max="2" style="11126" width="9.140625" hidden="1" customWidth="1"/>
    <col min="3" max="3" style="10141" width="4.7109375" customWidth="1"/>
    <col min="4" max="4" style="11126" width="6.28125" customWidth="1"/>
    <col min="5" max="5" style="11126" width="36.7109375" customWidth="1"/>
    <col min="6" max="6" style="11126" width="9.57421875" customWidth="1"/>
    <col min="7" max="7" style="11126" width="42.421875" hidden="1" customWidth="1"/>
    <col min="8" max="8" style="11126" width="40.7109375" customWidth="1"/>
    <col min="9" max="35" style="11126" width="42.421875" customWidth="1"/>
    <col min="36" max="36" style="11074" width="93.421875" customWidth="1"/>
    <col min="37" max="44" style="11126" width="10.57421875"/>
    <col min="45" max="45" style="10142" width="10.57421875"/>
  </cols>
  <sheetData>
    <row s="11074" customFormat="1" customHeight="1" ht="15" hidden="1">
      <c r="C1" s="909"/>
      <c r="H1" s="653">
        <v>4</v>
      </c>
      <c r="I1" s="6978"/>
      <c r="J1" s="6978"/>
      <c r="K1" s="6978"/>
      <c r="L1" s="6978"/>
      <c r="M1" s="6978"/>
      <c r="N1" s="6978"/>
      <c r="O1" s="6978"/>
      <c r="P1" s="6978"/>
      <c r="Q1" s="6978"/>
      <c r="R1" s="6978"/>
      <c r="S1" s="6978"/>
      <c r="T1" s="6978"/>
      <c r="U1" s="6978"/>
      <c r="V1" s="6978"/>
      <c r="W1" s="6978"/>
      <c r="X1" s="6978"/>
      <c r="Y1" s="6978"/>
      <c r="Z1" s="6978"/>
      <c r="AA1" s="6978"/>
      <c r="AB1" s="6978"/>
      <c r="AC1" s="6978"/>
      <c r="AD1" s="6978"/>
      <c r="AE1" s="6978"/>
      <c r="AF1" s="6978"/>
      <c r="AG1" s="6978"/>
      <c r="AH1" s="6978"/>
      <c r="AI1" s="6978"/>
      <c r="AS1" s="656"/>
    </row>
    <row customHeight="1" ht="22.5" hidden="1">
      <c r="D2" s="776"/>
      <c r="E2" s="900"/>
      <c r="F2" s="2101" t="str">
        <f>IF(TEMPLATE_SPHERE="HEAT","Гкал/час","тыс. куб. м/сутки")</f>
        <v>Гкал/час</v>
      </c>
      <c r="G2" s="917"/>
      <c r="H2" s="917"/>
      <c r="I2" s="7028"/>
      <c r="J2" s="7028"/>
      <c r="K2" s="7028"/>
      <c r="L2" s="7028"/>
      <c r="M2" s="7028"/>
      <c r="N2" s="7028"/>
      <c r="O2" s="7028"/>
      <c r="P2" s="7028"/>
      <c r="Q2" s="7028"/>
      <c r="R2" s="7028"/>
      <c r="S2" s="7028"/>
      <c r="T2" s="7028"/>
      <c r="U2" s="7028"/>
      <c r="V2" s="7028"/>
      <c r="W2" s="7028"/>
      <c r="X2" s="7028"/>
      <c r="Y2" s="7028"/>
      <c r="Z2" s="7028"/>
      <c r="AA2" s="7028"/>
      <c r="AB2" s="7028"/>
      <c r="AC2" s="7028"/>
      <c r="AD2" s="7028"/>
      <c r="AE2" s="7028"/>
      <c r="AF2" s="7028"/>
      <c r="AG2" s="7028"/>
      <c r="AH2" s="7028"/>
      <c r="AI2" s="7028"/>
      <c r="AJ2" s="499"/>
    </row>
    <row s="11074" customFormat="1" customHeight="1" ht="15" hidden="1">
      <c r="C3" s="909"/>
      <c r="I3" s="6978"/>
      <c r="J3" s="6978"/>
      <c r="K3" s="6978"/>
      <c r="L3" s="6978"/>
      <c r="M3" s="6978"/>
      <c r="N3" s="6978"/>
      <c r="O3" s="6978"/>
      <c r="P3" s="6978"/>
      <c r="Q3" s="6978"/>
      <c r="R3" s="6978"/>
      <c r="S3" s="6978"/>
      <c r="T3" s="6978"/>
      <c r="U3" s="6978"/>
      <c r="V3" s="6978"/>
      <c r="W3" s="6978"/>
      <c r="X3" s="6978"/>
      <c r="Y3" s="6978"/>
      <c r="Z3" s="6978"/>
      <c r="AA3" s="6978"/>
      <c r="AB3" s="6978"/>
      <c r="AC3" s="6978"/>
      <c r="AD3" s="6978"/>
      <c r="AE3" s="6978"/>
      <c r="AF3" s="6978"/>
      <c r="AG3" s="6978"/>
      <c r="AH3" s="6978"/>
      <c r="AI3" s="6978"/>
      <c r="AS3" s="656"/>
    </row>
    <row customHeight="1" ht="15">
      <c r="C4" s="384"/>
      <c r="D4" s="746"/>
      <c r="E4" s="746"/>
      <c r="F4" s="746"/>
      <c r="G4" s="746"/>
      <c r="H4" s="746"/>
      <c r="I4" s="6985"/>
      <c r="J4" s="6985"/>
      <c r="K4" s="6985"/>
      <c r="L4" s="6985"/>
      <c r="M4" s="6985"/>
      <c r="N4" s="6985"/>
      <c r="O4" s="6985"/>
      <c r="P4" s="6985"/>
      <c r="Q4" s="6985"/>
      <c r="R4" s="6985"/>
      <c r="S4" s="6985"/>
      <c r="T4" s="6985"/>
      <c r="U4" s="6985"/>
      <c r="V4" s="6985"/>
      <c r="W4" s="6985"/>
      <c r="X4" s="6985"/>
      <c r="Y4" s="6985"/>
      <c r="Z4" s="6985"/>
      <c r="AA4" s="6985"/>
      <c r="AB4" s="6985"/>
      <c r="AC4" s="6985"/>
      <c r="AD4" s="6985"/>
      <c r="AE4" s="6985"/>
      <c r="AF4" s="6985"/>
      <c r="AG4" s="6985"/>
      <c r="AH4" s="6985"/>
      <c r="AI4" s="6985"/>
    </row>
    <row customHeight="1" ht="47.25">
      <c r="C5" s="384"/>
      <c r="D5" s="2551" t="str">
        <f>TP_NAME_FORM</f>
        <v>Форма 16. Информация о наличии (об отсутствии) технической возможности подключения (технологического присоединения) к системе теплоснабжения, а также о принятии и ходе рассмотрения заявок на заключение договора о подключении (технологическом присоединении) к системе теплоснабжения</v>
      </c>
      <c r="E5" s="2551"/>
      <c r="F5" s="2551"/>
      <c r="G5" s="2551"/>
      <c r="H5" s="2551"/>
      <c r="I5" s="7039"/>
      <c r="J5" s="7039"/>
      <c r="K5" s="7039"/>
      <c r="L5" s="7039"/>
      <c r="M5" s="7039"/>
      <c r="N5" s="7039"/>
      <c r="O5" s="7039"/>
      <c r="P5" s="7039"/>
      <c r="Q5" s="7039"/>
      <c r="R5" s="7039"/>
      <c r="S5" s="7039"/>
      <c r="T5" s="7039"/>
      <c r="U5" s="7039"/>
      <c r="V5" s="7039"/>
      <c r="W5" s="7039"/>
      <c r="X5" s="7039"/>
      <c r="Y5" s="7039"/>
      <c r="Z5" s="7039"/>
      <c r="AA5" s="7039"/>
      <c r="AB5" s="7039"/>
      <c r="AC5" s="7039"/>
      <c r="AD5" s="7039"/>
      <c r="AE5" s="7039"/>
      <c r="AF5" s="7039"/>
      <c r="AG5" s="7039"/>
      <c r="AH5" s="7039"/>
      <c r="AI5" s="7039"/>
      <c r="AJ5" s="774"/>
    </row>
    <row customHeight="1" ht="15">
      <c r="C6" s="384"/>
      <c r="D6" s="2552" t="str">
        <f>IF(org=0,"Не определено",org)</f>
        <v>ООО "СамРЭК-Тепло Жигулевск"</v>
      </c>
      <c r="E6" s="2552"/>
      <c r="F6" s="2552"/>
      <c r="G6" s="2552"/>
      <c r="H6" s="2552"/>
      <c r="I6" s="7041"/>
      <c r="J6" s="7041"/>
      <c r="K6" s="7041"/>
      <c r="L6" s="7041"/>
      <c r="M6" s="7041"/>
      <c r="N6" s="7041"/>
      <c r="O6" s="7041"/>
      <c r="P6" s="7041"/>
      <c r="Q6" s="7041"/>
      <c r="R6" s="7041"/>
      <c r="S6" s="7041"/>
      <c r="T6" s="7041"/>
      <c r="U6" s="7041"/>
      <c r="V6" s="7041"/>
      <c r="W6" s="7041"/>
      <c r="X6" s="7041"/>
      <c r="Y6" s="7041"/>
      <c r="Z6" s="7041"/>
      <c r="AA6" s="7041"/>
      <c r="AB6" s="7041"/>
      <c r="AC6" s="7041"/>
      <c r="AD6" s="7041"/>
      <c r="AE6" s="7041"/>
      <c r="AF6" s="7041"/>
      <c r="AG6" s="7041"/>
      <c r="AH6" s="7041"/>
      <c r="AI6" s="7041"/>
      <c r="AJ6" s="774"/>
    </row>
    <row s="11126" customFormat="1" customHeight="1" ht="15">
      <c r="A7" s="998"/>
      <c r="C7" s="384"/>
      <c r="D7" s="913"/>
      <c r="E7" s="913"/>
      <c r="F7" s="913"/>
      <c r="G7" s="913"/>
      <c r="H7" s="991"/>
      <c r="I7" s="7043" t="s">
        <v>17</v>
      </c>
      <c r="J7" s="7043" t="s">
        <v>17</v>
      </c>
      <c r="K7" s="7043" t="s">
        <v>17</v>
      </c>
      <c r="L7" s="7043" t="s">
        <v>17</v>
      </c>
      <c r="M7" s="7043" t="s">
        <v>17</v>
      </c>
      <c r="N7" s="7043" t="s">
        <v>17</v>
      </c>
      <c r="O7" s="7043" t="s">
        <v>17</v>
      </c>
      <c r="P7" s="7043" t="s">
        <v>17</v>
      </c>
      <c r="Q7" s="7043" t="s">
        <v>17</v>
      </c>
      <c r="R7" s="7043" t="s">
        <v>17</v>
      </c>
      <c r="S7" s="7043" t="s">
        <v>17</v>
      </c>
      <c r="T7" s="7043" t="s">
        <v>17</v>
      </c>
      <c r="U7" s="7043" t="s">
        <v>17</v>
      </c>
      <c r="V7" s="7043" t="s">
        <v>17</v>
      </c>
      <c r="W7" s="7043" t="s">
        <v>17</v>
      </c>
      <c r="X7" s="7043" t="s">
        <v>17</v>
      </c>
      <c r="Y7" s="7043" t="s">
        <v>17</v>
      </c>
      <c r="Z7" s="7043" t="s">
        <v>17</v>
      </c>
      <c r="AA7" s="7043" t="s">
        <v>17</v>
      </c>
      <c r="AB7" s="7043" t="s">
        <v>17</v>
      </c>
      <c r="AC7" s="7043" t="s">
        <v>17</v>
      </c>
      <c r="AD7" s="7043" t="s">
        <v>17</v>
      </c>
      <c r="AE7" s="7043" t="s">
        <v>17</v>
      </c>
      <c r="AF7" s="7043" t="s">
        <v>17</v>
      </c>
      <c r="AG7" s="7043" t="s">
        <v>17</v>
      </c>
      <c r="AH7" s="7043" t="s">
        <v>17</v>
      </c>
      <c r="AI7" s="7043" t="s">
        <v>17</v>
      </c>
      <c r="AJ7" s="774"/>
      <c r="AS7" s="912"/>
    </row>
    <row customHeight="1" ht="0.75">
      <c r="C8" s="384"/>
      <c r="D8" s="746"/>
      <c r="E8" s="746"/>
      <c r="F8" s="746"/>
      <c r="G8" s="746"/>
      <c r="H8" s="774" t="s">
        <v>118</v>
      </c>
      <c r="I8" s="6985" t="s">
        <v>123</v>
      </c>
      <c r="J8" s="6985" t="s">
        <v>125</v>
      </c>
      <c r="K8" s="6985" t="s">
        <v>127</v>
      </c>
      <c r="L8" s="6985" t="s">
        <v>129</v>
      </c>
      <c r="M8" s="6985" t="s">
        <v>131</v>
      </c>
      <c r="N8" s="6985" t="s">
        <v>133</v>
      </c>
      <c r="O8" s="6985" t="s">
        <v>135</v>
      </c>
      <c r="P8" s="6985" t="s">
        <v>138</v>
      </c>
      <c r="Q8" s="6985" t="s">
        <v>141</v>
      </c>
      <c r="R8" s="6985" t="s">
        <v>144</v>
      </c>
      <c r="S8" s="6985" t="s">
        <v>147</v>
      </c>
      <c r="T8" s="6985" t="s">
        <v>150</v>
      </c>
      <c r="U8" s="6985" t="s">
        <v>153</v>
      </c>
      <c r="V8" s="6985" t="s">
        <v>156</v>
      </c>
      <c r="W8" s="6985" t="s">
        <v>159</v>
      </c>
      <c r="X8" s="6985" t="s">
        <v>162</v>
      </c>
      <c r="Y8" s="6985" t="s">
        <v>165</v>
      </c>
      <c r="Z8" s="6985" t="s">
        <v>168</v>
      </c>
      <c r="AA8" s="6985" t="s">
        <v>171</v>
      </c>
      <c r="AB8" s="6985" t="s">
        <v>174</v>
      </c>
      <c r="AC8" s="6985" t="s">
        <v>177</v>
      </c>
      <c r="AD8" s="6985" t="s">
        <v>180</v>
      </c>
      <c r="AE8" s="6985" t="s">
        <v>183</v>
      </c>
      <c r="AF8" s="6985" t="s">
        <v>186</v>
      </c>
      <c r="AG8" s="6985" t="s">
        <v>189</v>
      </c>
      <c r="AH8" s="6985" t="s">
        <v>192</v>
      </c>
      <c r="AI8" s="6985" t="s">
        <v>195</v>
      </c>
    </row>
    <row customHeight="1" ht="15">
      <c r="C9" s="384"/>
      <c r="D9" s="948"/>
      <c r="E9" s="2545" t="s">
        <v>105</v>
      </c>
      <c r="F9" s="2546"/>
      <c r="G9" s="1059" t="str">
        <f>IF(G8="","",INDEX(DIFFERENTIATION_UNMERGE_VD,MATCH(G8,DIFFERENTIATION_ID_DIFF,0)))</f>
        <v/>
      </c>
      <c r="H9" s="1059" t="str">
        <f>IF(H8="","",INDEX(DIFFERENTIATION_UNMERGE_VD,MATCH(H8,DIFFERENTIATION_ID_DIFF,0)))</f>
        <v>Производство тепловой энергии. Некомбинированная выработка</v>
      </c>
      <c r="I9" s="6995" t="str">
        <f>IF(I8="","",INDEX(DIFFERENTIATION_UNMERGE_VD,MATCH(I8,DIFFERENTIATION_ID_DIFF,0)))</f>
        <v>Производство тепловой энергии. Некомбинированная выработка</v>
      </c>
      <c r="J9" s="6995" t="str">
        <f>IF(J8="","",INDEX(DIFFERENTIATION_UNMERGE_VD,MATCH(J8,DIFFERENTIATION_ID_DIFF,0)))</f>
        <v>Производство тепловой энергии. Некомбинированная выработка</v>
      </c>
      <c r="K9" s="6995" t="str">
        <f>IF(K8="","",INDEX(DIFFERENTIATION_UNMERGE_VD,MATCH(K8,DIFFERENTIATION_ID_DIFF,0)))</f>
        <v>Производство тепловой энергии. Некомбинированная выработка</v>
      </c>
      <c r="L9" s="6995" t="str">
        <f>IF(L8="","",INDEX(DIFFERENTIATION_UNMERGE_VD,MATCH(L8,DIFFERENTIATION_ID_DIFF,0)))</f>
        <v>Производство тепловой энергии. Некомбинированная выработка</v>
      </c>
      <c r="M9" s="6995" t="str">
        <f>IF(M8="","",INDEX(DIFFERENTIATION_UNMERGE_VD,MATCH(M8,DIFFERENTIATION_ID_DIFF,0)))</f>
        <v>Производство тепловой энергии. Некомбинированная выработка</v>
      </c>
      <c r="N9" s="6995" t="str">
        <f>IF(N8="","",INDEX(DIFFERENTIATION_UNMERGE_VD,MATCH(N8,DIFFERENTIATION_ID_DIFF,0)))</f>
        <v>Производство тепловой энергии. Некомбинированная выработка</v>
      </c>
      <c r="O9" s="6995" t="str">
        <f>IF(O8="","",INDEX(DIFFERENTIATION_UNMERGE_VD,MATCH(O8,DIFFERENTIATION_ID_DIFF,0)))</f>
        <v>Производство тепловой энергии. Некомбинированная выработка</v>
      </c>
      <c r="P9" s="6995" t="str">
        <f>IF(P8="","",INDEX(DIFFERENTIATION_UNMERGE_VD,MATCH(P8,DIFFERENTIATION_ID_DIFF,0)))</f>
        <v>Производство тепловой энергии. Некомбинированная выработка</v>
      </c>
      <c r="Q9" s="6995" t="str">
        <f>IF(Q8="","",INDEX(DIFFERENTIATION_UNMERGE_VD,MATCH(Q8,DIFFERENTIATION_ID_DIFF,0)))</f>
        <v>Производство тепловой энергии. Некомбинированная выработка</v>
      </c>
      <c r="R9" s="6995" t="str">
        <f>IF(R8="","",INDEX(DIFFERENTIATION_UNMERGE_VD,MATCH(R8,DIFFERENTIATION_ID_DIFF,0)))</f>
        <v>Производство тепловой энергии. Некомбинированная выработка</v>
      </c>
      <c r="S9" s="6995" t="str">
        <f>IF(S8="","",INDEX(DIFFERENTIATION_UNMERGE_VD,MATCH(S8,DIFFERENTIATION_ID_DIFF,0)))</f>
        <v>Производство тепловой энергии. Некомбинированная выработка</v>
      </c>
      <c r="T9" s="6995" t="str">
        <f>IF(T8="","",INDEX(DIFFERENTIATION_UNMERGE_VD,MATCH(T8,DIFFERENTIATION_ID_DIFF,0)))</f>
        <v>Производство тепловой энергии. Некомбинированная выработка</v>
      </c>
      <c r="U9" s="6995" t="str">
        <f>IF(U8="","",INDEX(DIFFERENTIATION_UNMERGE_VD,MATCH(U8,DIFFERENTIATION_ID_DIFF,0)))</f>
        <v>Производство тепловой энергии. Некомбинированная выработка</v>
      </c>
      <c r="V9" s="6995" t="str">
        <f>IF(V8="","",INDEX(DIFFERENTIATION_UNMERGE_VD,MATCH(V8,DIFFERENTIATION_ID_DIFF,0)))</f>
        <v>Производство тепловой энергии. Некомбинированная выработка</v>
      </c>
      <c r="W9" s="6995" t="str">
        <f>IF(W8="","",INDEX(DIFFERENTIATION_UNMERGE_VD,MATCH(W8,DIFFERENTIATION_ID_DIFF,0)))</f>
        <v>Производство тепловой энергии. Некомбинированная выработка</v>
      </c>
      <c r="X9" s="6995" t="str">
        <f>IF(X8="","",INDEX(DIFFERENTIATION_UNMERGE_VD,MATCH(X8,DIFFERENTIATION_ID_DIFF,0)))</f>
        <v>Производство тепловой энергии. Некомбинированная выработка</v>
      </c>
      <c r="Y9" s="6995" t="str">
        <f>IF(Y8="","",INDEX(DIFFERENTIATION_UNMERGE_VD,MATCH(Y8,DIFFERENTIATION_ID_DIFF,0)))</f>
        <v>Производство тепловой энергии. Некомбинированная выработка</v>
      </c>
      <c r="Z9" s="6995" t="str">
        <f>IF(Z8="","",INDEX(DIFFERENTIATION_UNMERGE_VD,MATCH(Z8,DIFFERENTIATION_ID_DIFF,0)))</f>
        <v>Производство тепловой энергии. Некомбинированная выработка</v>
      </c>
      <c r="AA9" s="6995" t="str">
        <f>IF(AA8="","",INDEX(DIFFERENTIATION_UNMERGE_VD,MATCH(AA8,DIFFERENTIATION_ID_DIFF,0)))</f>
        <v>Производство тепловой энергии. Некомбинированная выработка</v>
      </c>
      <c r="AB9" s="6995" t="str">
        <f>IF(AB8="","",INDEX(DIFFERENTIATION_UNMERGE_VD,MATCH(AB8,DIFFERENTIATION_ID_DIFF,0)))</f>
        <v>Производство тепловой энергии. Некомбинированная выработка</v>
      </c>
      <c r="AC9" s="6995" t="str">
        <f>IF(AC8="","",INDEX(DIFFERENTIATION_UNMERGE_VD,MATCH(AC8,DIFFERENTIATION_ID_DIFF,0)))</f>
        <v>Производство тепловой энергии. Некомбинированная выработка</v>
      </c>
      <c r="AD9" s="6995" t="str">
        <f>IF(AD8="","",INDEX(DIFFERENTIATION_UNMERGE_VD,MATCH(AD8,DIFFERENTIATION_ID_DIFF,0)))</f>
        <v>Производство тепловой энергии. Некомбинированная выработка</v>
      </c>
      <c r="AE9" s="6995" t="str">
        <f>IF(AE8="","",INDEX(DIFFERENTIATION_UNMERGE_VD,MATCH(AE8,DIFFERENTIATION_ID_DIFF,0)))</f>
        <v>Производство тепловой энергии. Некомбинированная выработка</v>
      </c>
      <c r="AF9" s="6995" t="str">
        <f>IF(AF8="","",INDEX(DIFFERENTIATION_UNMERGE_VD,MATCH(AF8,DIFFERENTIATION_ID_DIFF,0)))</f>
        <v>Производство тепловой энергии. Некомбинированная выработка</v>
      </c>
      <c r="AG9" s="6995" t="str">
        <f>IF(AG8="","",INDEX(DIFFERENTIATION_UNMERGE_VD,MATCH(AG8,DIFFERENTIATION_ID_DIFF,0)))</f>
        <v>Производство тепловой энергии. Некомбинированная выработка</v>
      </c>
      <c r="AH9" s="6995" t="str">
        <f>IF(AH8="","",INDEX(DIFFERENTIATION_UNMERGE_VD,MATCH(AH8,DIFFERENTIATION_ID_DIFF,0)))</f>
        <v>Производство тепловой энергии. Некомбинированная выработка</v>
      </c>
      <c r="AI9" s="6995" t="str">
        <f>IF(AI8="","",INDEX(DIFFERENTIATION_UNMERGE_VD,MATCH(AI8,DIFFERENTIATION_ID_DIFF,0)))</f>
        <v>Производство тепловой энергии. Некомбинированная выработка</v>
      </c>
      <c r="AJ9" s="2277" t="s">
        <v>363</v>
      </c>
    </row>
    <row s="11126" customFormat="1" customHeight="1" ht="15">
      <c r="A10" s="998"/>
      <c r="C10" s="384"/>
      <c r="D10" s="948"/>
      <c r="E10" s="2545" t="s">
        <v>1476</v>
      </c>
      <c r="F10" s="2546"/>
      <c r="G10" s="1059" t="str">
        <f>IF(G8="","",INDEX(DIFFERENTIATION_UNMERGE_AREA,MATCH(G8,DIFFERENTIATION_ID_DIFF,0)))</f>
        <v/>
      </c>
      <c r="H10" s="1059" t="str">
        <f>IF(H8="","",INDEX(DIFFERENTIATION_UNMERGE_AREA,MATCH(H8,DIFFERENTIATION_ID_DIFF,0)))</f>
        <v>Территория 1</v>
      </c>
      <c r="I10" s="6995" t="str">
        <f>IF(I8="","",INDEX(DIFFERENTIATION_UNMERGE_AREA,MATCH(I8,DIFFERENTIATION_ID_DIFF,0)))</f>
        <v>Территория 1</v>
      </c>
      <c r="J10" s="6995" t="str">
        <f>IF(J8="","",INDEX(DIFFERENTIATION_UNMERGE_AREA,MATCH(J8,DIFFERENTIATION_ID_DIFF,0)))</f>
        <v>Территория 1</v>
      </c>
      <c r="K10" s="6995" t="str">
        <f>IF(K8="","",INDEX(DIFFERENTIATION_UNMERGE_AREA,MATCH(K8,DIFFERENTIATION_ID_DIFF,0)))</f>
        <v>Территория 1</v>
      </c>
      <c r="L10" s="6995" t="str">
        <f>IF(L8="","",INDEX(DIFFERENTIATION_UNMERGE_AREA,MATCH(L8,DIFFERENTIATION_ID_DIFF,0)))</f>
        <v>Территория 1</v>
      </c>
      <c r="M10" s="6995" t="str">
        <f>IF(M8="","",INDEX(DIFFERENTIATION_UNMERGE_AREA,MATCH(M8,DIFFERENTIATION_ID_DIFF,0)))</f>
        <v>Территория 1</v>
      </c>
      <c r="N10" s="6995" t="str">
        <f>IF(N8="","",INDEX(DIFFERENTIATION_UNMERGE_AREA,MATCH(N8,DIFFERENTIATION_ID_DIFF,0)))</f>
        <v>Территория 1</v>
      </c>
      <c r="O10" s="6995" t="str">
        <f>IF(O8="","",INDEX(DIFFERENTIATION_UNMERGE_AREA,MATCH(O8,DIFFERENTIATION_ID_DIFF,0)))</f>
        <v>Территория 1</v>
      </c>
      <c r="P10" s="6995" t="str">
        <f>IF(P8="","",INDEX(DIFFERENTIATION_UNMERGE_AREA,MATCH(P8,DIFFERENTIATION_ID_DIFF,0)))</f>
        <v>Территория 1</v>
      </c>
      <c r="Q10" s="6995" t="str">
        <f>IF(Q8="","",INDEX(DIFFERENTIATION_UNMERGE_AREA,MATCH(Q8,DIFFERENTIATION_ID_DIFF,0)))</f>
        <v>Территория 1</v>
      </c>
      <c r="R10" s="6995" t="str">
        <f>IF(R8="","",INDEX(DIFFERENTIATION_UNMERGE_AREA,MATCH(R8,DIFFERENTIATION_ID_DIFF,0)))</f>
        <v>Территория 1</v>
      </c>
      <c r="S10" s="6995" t="str">
        <f>IF(S8="","",INDEX(DIFFERENTIATION_UNMERGE_AREA,MATCH(S8,DIFFERENTIATION_ID_DIFF,0)))</f>
        <v>Территория 1</v>
      </c>
      <c r="T10" s="6995" t="str">
        <f>IF(T8="","",INDEX(DIFFERENTIATION_UNMERGE_AREA,MATCH(T8,DIFFERENTIATION_ID_DIFF,0)))</f>
        <v>Территория 1</v>
      </c>
      <c r="U10" s="6995" t="str">
        <f>IF(U8="","",INDEX(DIFFERENTIATION_UNMERGE_AREA,MATCH(U8,DIFFERENTIATION_ID_DIFF,0)))</f>
        <v>Территория 1</v>
      </c>
      <c r="V10" s="6995" t="str">
        <f>IF(V8="","",INDEX(DIFFERENTIATION_UNMERGE_AREA,MATCH(V8,DIFFERENTIATION_ID_DIFF,0)))</f>
        <v>Территория 1</v>
      </c>
      <c r="W10" s="6995" t="str">
        <f>IF(W8="","",INDEX(DIFFERENTIATION_UNMERGE_AREA,MATCH(W8,DIFFERENTIATION_ID_DIFF,0)))</f>
        <v>Территория 1</v>
      </c>
      <c r="X10" s="6995" t="str">
        <f>IF(X8="","",INDEX(DIFFERENTIATION_UNMERGE_AREA,MATCH(X8,DIFFERENTIATION_ID_DIFF,0)))</f>
        <v>Территория 1</v>
      </c>
      <c r="Y10" s="6995" t="str">
        <f>IF(Y8="","",INDEX(DIFFERENTIATION_UNMERGE_AREA,MATCH(Y8,DIFFERENTIATION_ID_DIFF,0)))</f>
        <v>Территория 1</v>
      </c>
      <c r="Z10" s="6995" t="str">
        <f>IF(Z8="","",INDEX(DIFFERENTIATION_UNMERGE_AREA,MATCH(Z8,DIFFERENTIATION_ID_DIFF,0)))</f>
        <v>Территория 1</v>
      </c>
      <c r="AA10" s="6995" t="str">
        <f>IF(AA8="","",INDEX(DIFFERENTIATION_UNMERGE_AREA,MATCH(AA8,DIFFERENTIATION_ID_DIFF,0)))</f>
        <v>Территория 1</v>
      </c>
      <c r="AB10" s="6995" t="str">
        <f>IF(AB8="","",INDEX(DIFFERENTIATION_UNMERGE_AREA,MATCH(AB8,DIFFERENTIATION_ID_DIFF,0)))</f>
        <v>Территория 1</v>
      </c>
      <c r="AC10" s="6995" t="str">
        <f>IF(AC8="","",INDEX(DIFFERENTIATION_UNMERGE_AREA,MATCH(AC8,DIFFERENTIATION_ID_DIFF,0)))</f>
        <v>Территория 1</v>
      </c>
      <c r="AD10" s="6995" t="str">
        <f>IF(AD8="","",INDEX(DIFFERENTIATION_UNMERGE_AREA,MATCH(AD8,DIFFERENTIATION_ID_DIFF,0)))</f>
        <v>Территория 1</v>
      </c>
      <c r="AE10" s="6995" t="str">
        <f>IF(AE8="","",INDEX(DIFFERENTIATION_UNMERGE_AREA,MATCH(AE8,DIFFERENTIATION_ID_DIFF,0)))</f>
        <v>Территория 1</v>
      </c>
      <c r="AF10" s="6995" t="str">
        <f>IF(AF8="","",INDEX(DIFFERENTIATION_UNMERGE_AREA,MATCH(AF8,DIFFERENTIATION_ID_DIFF,0)))</f>
        <v>Территория 1</v>
      </c>
      <c r="AG10" s="6995" t="str">
        <f>IF(AG8="","",INDEX(DIFFERENTIATION_UNMERGE_AREA,MATCH(AG8,DIFFERENTIATION_ID_DIFF,0)))</f>
        <v>Территория 1</v>
      </c>
      <c r="AH10" s="6995" t="str">
        <f>IF(AH8="","",INDEX(DIFFERENTIATION_UNMERGE_AREA,MATCH(AH8,DIFFERENTIATION_ID_DIFF,0)))</f>
        <v>Территория 1</v>
      </c>
      <c r="AI10" s="6995" t="str">
        <f>IF(AI8="","",INDEX(DIFFERENTIATION_UNMERGE_AREA,MATCH(AI8,DIFFERENTIATION_ID_DIFF,0)))</f>
        <v>Территория 1</v>
      </c>
      <c r="AJ10" s="2277"/>
      <c r="AS10" s="912"/>
    </row>
    <row s="11126" customFormat="1" customHeight="1" ht="15">
      <c r="A11" s="998"/>
      <c r="C11" s="384"/>
      <c r="D11" s="948"/>
      <c r="E11" s="2545" t="s">
        <v>1477</v>
      </c>
      <c r="F11" s="2546"/>
      <c r="G11" s="1059" t="str">
        <f>IF(G8="","",INDEX(DIFFERENTIATION_UNMERGE_SYSTEM,MATCH(G8,DIFFERENTIATION_ID_DIFF,0)))</f>
        <v/>
      </c>
      <c r="H11" s="1059" t="str">
        <f>IF(H8="","",INDEX(DIFFERENTIATION_UNMERGE_SYSTEM,MATCH(H8,DIFFERENTIATION_ID_DIFF,0)))</f>
        <v>Котельная №1 по ул.Ново-Самарская, д.12</v>
      </c>
      <c r="I11" s="6995" t="str">
        <f>IF(I8="","",INDEX(DIFFERENTIATION_UNMERGE_SYSTEM,MATCH(I8,DIFFERENTIATION_ID_DIFF,0)))</f>
        <v>Котельная №2,  ул.Пирогова около д.4</v>
      </c>
      <c r="J11" s="6995" t="str">
        <f>IF(J8="","",INDEX(DIFFERENTIATION_UNMERGE_SYSTEM,MATCH(J8,DIFFERENTIATION_ID_DIFF,0)))</f>
        <v>Котельная №3, ул.Комсомольская около д.1 по ул.Ленина</v>
      </c>
      <c r="K11" s="6995" t="str">
        <f>IF(K8="","",INDEX(DIFFERENTIATION_UNMERGE_SYSTEM,MATCH(K8,DIFFERENTIATION_ID_DIFF,0)))</f>
        <v>Тепловой центр №1 ул.Вокзальная ок д.№8</v>
      </c>
      <c r="L11" s="6995" t="str">
        <f>IF(L8="","",INDEX(DIFFERENTIATION_UNMERGE_SYSTEM,MATCH(L8,DIFFERENTIATION_ID_DIFF,0)))</f>
        <v>Котельная №5, Александр. Поле, около д.30 по ул.Советская </v>
      </c>
      <c r="M11" s="6995" t="str">
        <f>IF(M8="","",INDEX(DIFFERENTIATION_UNMERGE_SYSTEM,MATCH(M8,DIFFERENTIATION_ID_DIFF,0)))</f>
        <v>Котельная №6, ул.Пушкина </v>
      </c>
      <c r="N11" s="6995" t="str">
        <f>IF(N8="","",INDEX(DIFFERENTIATION_UNMERGE_SYSTEM,MATCH(N8,DIFFERENTIATION_ID_DIFF,0)))</f>
        <v>Тепловой центр №2 ул.Вокзальная ок д.№20</v>
      </c>
      <c r="O11" s="6995" t="str">
        <f>IF(O8="","",INDEX(DIFFERENTIATION_UNMERGE_SYSTEM,MATCH(O8,DIFFERENTIATION_ID_DIFF,0)))</f>
        <v>Котельная №8, ул.Мира</v>
      </c>
      <c r="P11" s="6995" t="str">
        <f>IF(P8="","",INDEX(DIFFERENTIATION_UNMERGE_SYSTEM,MATCH(P8,DIFFERENTIATION_ID_DIFF,0)))</f>
        <v>Котельная №9, ул.Гоголя</v>
      </c>
      <c r="Q11" s="6995" t="str">
        <f>IF(Q8="","",INDEX(DIFFERENTIATION_UNMERGE_SYSTEM,MATCH(Q8,DIFFERENTIATION_ID_DIFF,0)))</f>
        <v>Котельная №10, ул.Гоголя</v>
      </c>
      <c r="R11" s="6995" t="str">
        <f>IF(R8="","",INDEX(DIFFERENTIATION_UNMERGE_SYSTEM,MATCH(R8,DIFFERENTIATION_ID_DIFF,0)))</f>
        <v>Котельная №12а, ул.Мира</v>
      </c>
      <c r="S11" s="6995" t="str">
        <f>IF(S8="","",INDEX(DIFFERENTIATION_UNMERGE_SYSTEM,MATCH(S8,DIFFERENTIATION_ID_DIFF,0)))</f>
        <v>Котельная №13, ул.Морквашинская</v>
      </c>
      <c r="T11" s="6995" t="str">
        <f>IF(T8="","",INDEX(DIFFERENTIATION_UNMERGE_SYSTEM,MATCH(T8,DIFFERENTIATION_ID_DIFF,0)))</f>
        <v>ЦТП-1 ул.Морквашинская ок.д№7</v>
      </c>
      <c r="U11" s="6995" t="str">
        <f>IF(U8="","",INDEX(DIFFERENTIATION_UNMERGE_SYSTEM,MATCH(U8,DIFFERENTIATION_ID_DIFF,0)))</f>
        <v>ЦТП-2, В-1,ок.д.№10</v>
      </c>
      <c r="V11" s="6995" t="str">
        <f>IF(V8="","",INDEX(DIFFERENTIATION_UNMERGE_SYSTEM,MATCH(V8,DIFFERENTIATION_ID_DIFF,0)))</f>
        <v>ЦТП-9, ул.Пролетарская д.23/ул.Транспортная д.10</v>
      </c>
      <c r="W11" s="6995" t="str">
        <f>IF(W8="","",INDEX(DIFFERENTIATION_UNMERGE_SYSTEM,MATCH(W8,DIFFERENTIATION_ID_DIFF,0)))</f>
        <v>ПНС№1-  Пролет, 5</v>
      </c>
      <c r="X11" s="6995" t="str">
        <f>IF(X8="","",INDEX(DIFFERENTIATION_UNMERGE_SYSTEM,MATCH(X8,DIFFERENTIATION_ID_DIFF,0)))</f>
        <v>ПНС№2, ул.Репина,3</v>
      </c>
      <c r="Y11" s="6995" t="str">
        <f>IF(Y8="","",INDEX(DIFFERENTIATION_UNMERGE_SYSTEM,MATCH(Y8,DIFFERENTIATION_ID_DIFF,0)))</f>
        <v>Котельная №14, ул.Радиозаводская</v>
      </c>
      <c r="Z11" s="6995" t="str">
        <f>IF(Z8="","",INDEX(DIFFERENTIATION_UNMERGE_SYSTEM,MATCH(Z8,DIFFERENTIATION_ID_DIFF,0)))</f>
        <v>ЦТП-3, ул.Радиозаводская,ок.д.№6</v>
      </c>
      <c r="AA11" s="6995" t="str">
        <f>IF(AA8="","",INDEX(DIFFERENTIATION_UNMERGE_SYSTEM,MATCH(AA8,DIFFERENTIATION_ID_DIFF,0)))</f>
        <v>Котельная №17а с.Зольное , ул.Первомайская.</v>
      </c>
      <c r="AB11" s="6995" t="str">
        <f>IF(AB8="","",INDEX(DIFFERENTIATION_UNMERGE_SYSTEM,MATCH(AB8,DIFFERENTIATION_ID_DIFF,0)))</f>
        <v>Котельная №18А, с.Солнечная Поляна, ул. 4-я Линия</v>
      </c>
      <c r="AC11" s="6995" t="str">
        <f>IF(AC8="","",INDEX(DIFFERENTIATION_UNMERGE_SYSTEM,MATCH(AC8,DIFFERENTIATION_ID_DIFF,0)))</f>
        <v>Котельная №20,пос.Яблоневый Овраг , ул Никитина</v>
      </c>
      <c r="AD11" s="6995" t="str">
        <f>IF(AD8="","",INDEX(DIFFERENTIATION_UNMERGE_SYSTEM,MATCH(AD8,DIFFERENTIATION_ID_DIFF,0)))</f>
        <v>Котельная №22, ул.Магистральная</v>
      </c>
      <c r="AE11" s="6995" t="str">
        <f>IF(AE8="","",INDEX(DIFFERENTIATION_UNMERGE_SYSTEM,MATCH(AE8,DIFFERENTIATION_ID_DIFF,0)))</f>
        <v>Котельная №25,  МКР Г-1, ул.Гидротехническая</v>
      </c>
      <c r="AF11" s="6995" t="str">
        <f>IF(AF8="","",INDEX(DIFFERENTIATION_UNMERGE_SYSTEM,MATCH(AF8,DIFFERENTIATION_ID_DIFF,0)))</f>
        <v>ЦТП-7, ул.Оборонная</v>
      </c>
      <c r="AG11" s="6995" t="str">
        <f>IF(AG8="","",INDEX(DIFFERENTIATION_UNMERGE_SYSTEM,MATCH(AG8,DIFFERENTIATION_ID_DIFF,0)))</f>
        <v>ЦТП-8, ул.Шевченко</v>
      </c>
      <c r="AH11" s="6995" t="str">
        <f>IF(AH8="","",INDEX(DIFFERENTIATION_UNMERGE_SYSTEM,MATCH(AH8,DIFFERENTIATION_ID_DIFF,0)))</f>
        <v>ПНС, ул.Парковая</v>
      </c>
      <c r="AI11" s="6995" t="str">
        <f>IF(AI8="","",INDEX(DIFFERENTIATION_UNMERGE_SYSTEM,MATCH(AI8,DIFFERENTIATION_ID_DIFF,0)))</f>
        <v>Котельная №27, п.Богатырь, ул.Управленческая</v>
      </c>
      <c r="AJ11" s="2277"/>
      <c r="AS11" s="912"/>
    </row>
    <row s="11126" customFormat="1" customHeight="1" ht="15">
      <c r="A12" s="998"/>
      <c r="C12" s="384"/>
      <c r="D12" s="2547" t="s">
        <v>362</v>
      </c>
      <c r="E12" s="2548"/>
      <c r="F12" s="2548"/>
      <c r="G12" s="1136"/>
      <c r="H12" s="1136"/>
      <c r="I12" s="7001"/>
      <c r="J12" s="7001"/>
      <c r="K12" s="7001"/>
      <c r="L12" s="7001"/>
      <c r="M12" s="7001"/>
      <c r="N12" s="7001"/>
      <c r="O12" s="7001"/>
      <c r="P12" s="7001"/>
      <c r="Q12" s="7001"/>
      <c r="R12" s="7001"/>
      <c r="S12" s="7001"/>
      <c r="T12" s="7001"/>
      <c r="U12" s="7001"/>
      <c r="V12" s="7001"/>
      <c r="W12" s="7001"/>
      <c r="X12" s="7001"/>
      <c r="Y12" s="7001"/>
      <c r="Z12" s="7001"/>
      <c r="AA12" s="7001"/>
      <c r="AB12" s="7001"/>
      <c r="AC12" s="7001"/>
      <c r="AD12" s="7001"/>
      <c r="AE12" s="7001"/>
      <c r="AF12" s="7001"/>
      <c r="AG12" s="7001"/>
      <c r="AH12" s="7001"/>
      <c r="AI12" s="7001"/>
      <c r="AJ12" s="2277"/>
      <c r="AS12" s="912"/>
    </row>
    <row customHeight="1" ht="33.75">
      <c r="C13" s="384"/>
      <c r="D13" s="1000" t="s">
        <v>88</v>
      </c>
      <c r="E13" s="999" t="s">
        <v>364</v>
      </c>
      <c r="F13" s="999" t="s">
        <v>1655</v>
      </c>
      <c r="G13" s="1051" t="s">
        <v>365</v>
      </c>
      <c r="H13" s="993" t="s">
        <v>365</v>
      </c>
      <c r="I13" s="7005" t="s">
        <v>365</v>
      </c>
      <c r="J13" s="7005" t="s">
        <v>365</v>
      </c>
      <c r="K13" s="7005" t="s">
        <v>365</v>
      </c>
      <c r="L13" s="7005" t="s">
        <v>365</v>
      </c>
      <c r="M13" s="7005" t="s">
        <v>365</v>
      </c>
      <c r="N13" s="7005" t="s">
        <v>365</v>
      </c>
      <c r="O13" s="7005" t="s">
        <v>365</v>
      </c>
      <c r="P13" s="7005" t="s">
        <v>365</v>
      </c>
      <c r="Q13" s="7005" t="s">
        <v>365</v>
      </c>
      <c r="R13" s="7005" t="s">
        <v>365</v>
      </c>
      <c r="S13" s="7005" t="s">
        <v>365</v>
      </c>
      <c r="T13" s="7005" t="s">
        <v>365</v>
      </c>
      <c r="U13" s="7005" t="s">
        <v>365</v>
      </c>
      <c r="V13" s="7005" t="s">
        <v>365</v>
      </c>
      <c r="W13" s="7005" t="s">
        <v>365</v>
      </c>
      <c r="X13" s="7005" t="s">
        <v>365</v>
      </c>
      <c r="Y13" s="7005" t="s">
        <v>365</v>
      </c>
      <c r="Z13" s="7005" t="s">
        <v>365</v>
      </c>
      <c r="AA13" s="7005" t="s">
        <v>365</v>
      </c>
      <c r="AB13" s="7005" t="s">
        <v>365</v>
      </c>
      <c r="AC13" s="7005" t="s">
        <v>365</v>
      </c>
      <c r="AD13" s="7005" t="s">
        <v>365</v>
      </c>
      <c r="AE13" s="7005" t="s">
        <v>365</v>
      </c>
      <c r="AF13" s="7005" t="s">
        <v>365</v>
      </c>
      <c r="AG13" s="7005" t="s">
        <v>365</v>
      </c>
      <c r="AH13" s="7005" t="s">
        <v>365</v>
      </c>
      <c r="AI13" s="7005" t="s">
        <v>365</v>
      </c>
      <c r="AJ13" s="2277"/>
    </row>
    <row customHeight="1" ht="15" hidden="1">
      <c r="C14" s="384"/>
      <c r="D14" s="830" t="s">
        <v>109</v>
      </c>
      <c r="E14" s="830" t="s">
        <v>110</v>
      </c>
      <c r="F14" s="830" t="s">
        <v>90</v>
      </c>
      <c r="G14" s="896" t="str">
        <f>G1&amp;".1"</f>
        <v>.1</v>
      </c>
      <c r="H14" s="896" t="str">
        <f>H1&amp;".1"</f>
        <v>4.1</v>
      </c>
      <c r="I14" s="7008" t="str">
        <f>I1&amp;".1"</f>
        <v>.1</v>
      </c>
      <c r="J14" s="7008" t="str">
        <f>J1&amp;".1"</f>
        <v>.1</v>
      </c>
      <c r="K14" s="7008" t="str">
        <f>K1&amp;".1"</f>
        <v>.1</v>
      </c>
      <c r="L14" s="7008" t="str">
        <f>L1&amp;".1"</f>
        <v>.1</v>
      </c>
      <c r="M14" s="7008" t="str">
        <f>M1&amp;".1"</f>
        <v>.1</v>
      </c>
      <c r="N14" s="7008" t="str">
        <f>N1&amp;".1"</f>
        <v>.1</v>
      </c>
      <c r="O14" s="7008" t="str">
        <f>O1&amp;".1"</f>
        <v>.1</v>
      </c>
      <c r="P14" s="7008" t="str">
        <f>P1&amp;".1"</f>
        <v>.1</v>
      </c>
      <c r="Q14" s="7008" t="str">
        <f>Q1&amp;".1"</f>
        <v>.1</v>
      </c>
      <c r="R14" s="7008" t="str">
        <f>R1&amp;".1"</f>
        <v>.1</v>
      </c>
      <c r="S14" s="7008" t="str">
        <f>S1&amp;".1"</f>
        <v>.1</v>
      </c>
      <c r="T14" s="7008" t="str">
        <f>T1&amp;".1"</f>
        <v>.1</v>
      </c>
      <c r="U14" s="7008" t="str">
        <f>U1&amp;".1"</f>
        <v>.1</v>
      </c>
      <c r="V14" s="7008" t="str">
        <f>V1&amp;".1"</f>
        <v>.1</v>
      </c>
      <c r="W14" s="7008" t="str">
        <f>W1&amp;".1"</f>
        <v>.1</v>
      </c>
      <c r="X14" s="7008" t="str">
        <f>X1&amp;".1"</f>
        <v>.1</v>
      </c>
      <c r="Y14" s="7008" t="str">
        <f>Y1&amp;".1"</f>
        <v>.1</v>
      </c>
      <c r="Z14" s="7008" t="str">
        <f>Z1&amp;".1"</f>
        <v>.1</v>
      </c>
      <c r="AA14" s="7008" t="str">
        <f>AA1&amp;".1"</f>
        <v>.1</v>
      </c>
      <c r="AB14" s="7008" t="str">
        <f>AB1&amp;".1"</f>
        <v>.1</v>
      </c>
      <c r="AC14" s="7008" t="str">
        <f>AC1&amp;".1"</f>
        <v>.1</v>
      </c>
      <c r="AD14" s="7008" t="str">
        <f>AD1&amp;".1"</f>
        <v>.1</v>
      </c>
      <c r="AE14" s="7008" t="str">
        <f>AE1&amp;".1"</f>
        <v>.1</v>
      </c>
      <c r="AF14" s="7008" t="str">
        <f>AF1&amp;".1"</f>
        <v>.1</v>
      </c>
      <c r="AG14" s="7008" t="str">
        <f>AG1&amp;".1"</f>
        <v>.1</v>
      </c>
      <c r="AH14" s="7008" t="str">
        <f>AH1&amp;".1"</f>
        <v>.1</v>
      </c>
      <c r="AI14" s="7008" t="str">
        <f>AI1&amp;".1"</f>
        <v>.1</v>
      </c>
      <c r="AJ14" s="499"/>
    </row>
    <row customHeight="1" ht="15">
      <c r="A15" s="742"/>
      <c r="C15" s="763"/>
      <c r="D15" s="758">
        <v>1</v>
      </c>
      <c r="E15" s="914" t="str">
        <f>TP_P_A</f>
        <v>Количество поданных заявок</v>
      </c>
      <c r="F15" s="758" t="s">
        <v>1679</v>
      </c>
      <c r="G15" s="922"/>
      <c r="H15" s="922">
        <v>0</v>
      </c>
      <c r="I15" s="7049">
        <v>0</v>
      </c>
      <c r="J15" s="7049">
        <v>0</v>
      </c>
      <c r="K15" s="7049">
        <v>0</v>
      </c>
      <c r="L15" s="7049">
        <v>0</v>
      </c>
      <c r="M15" s="7049">
        <v>0</v>
      </c>
      <c r="N15" s="7049">
        <v>0</v>
      </c>
      <c r="O15" s="7049">
        <v>0</v>
      </c>
      <c r="P15" s="7049">
        <v>0</v>
      </c>
      <c r="Q15" s="7049">
        <v>0</v>
      </c>
      <c r="R15" s="7049">
        <v>0</v>
      </c>
      <c r="S15" s="7049">
        <v>0</v>
      </c>
      <c r="T15" s="7049">
        <v>0</v>
      </c>
      <c r="U15" s="7049">
        <v>0</v>
      </c>
      <c r="V15" s="7049">
        <v>0</v>
      </c>
      <c r="W15" s="7049">
        <v>0</v>
      </c>
      <c r="X15" s="7049">
        <v>0</v>
      </c>
      <c r="Y15" s="7049">
        <v>0</v>
      </c>
      <c r="Z15" s="7049">
        <v>0</v>
      </c>
      <c r="AA15" s="7049">
        <v>0</v>
      </c>
      <c r="AB15" s="7049">
        <v>0</v>
      </c>
      <c r="AC15" s="7049">
        <v>0</v>
      </c>
      <c r="AD15" s="7049">
        <v>0</v>
      </c>
      <c r="AE15" s="7049">
        <v>0</v>
      </c>
      <c r="AF15" s="7049">
        <v>0</v>
      </c>
      <c r="AG15" s="7049">
        <v>0</v>
      </c>
      <c r="AH15" s="7049">
        <v>0</v>
      </c>
      <c r="AI15" s="7049">
        <v>0</v>
      </c>
      <c r="AJ15" s="415" t="str">
        <f>TP_P_NOTE_A</f>
        <v>Указывается количество поданных заявок на подключение (технологическое присоединение) к системе теплоснабжения в течение отчетного квартала.</v>
      </c>
    </row>
    <row customHeight="1" ht="15">
      <c r="A16" s="742"/>
      <c r="C16" s="763"/>
      <c r="D16" s="758">
        <v>2</v>
      </c>
      <c r="E16" s="489" t="str">
        <f>TP_P_B</f>
        <v>Количество рассмотренных заявок</v>
      </c>
      <c r="F16" s="758" t="s">
        <v>1679</v>
      </c>
      <c r="G16" s="922"/>
      <c r="H16" s="922">
        <v>0</v>
      </c>
      <c r="I16" s="7049">
        <v>0</v>
      </c>
      <c r="J16" s="7049">
        <v>0</v>
      </c>
      <c r="K16" s="7049">
        <v>0</v>
      </c>
      <c r="L16" s="7049">
        <v>0</v>
      </c>
      <c r="M16" s="7049">
        <v>0</v>
      </c>
      <c r="N16" s="7049">
        <v>0</v>
      </c>
      <c r="O16" s="7049">
        <v>0</v>
      </c>
      <c r="P16" s="7049">
        <v>0</v>
      </c>
      <c r="Q16" s="7049">
        <v>0</v>
      </c>
      <c r="R16" s="7049">
        <v>0</v>
      </c>
      <c r="S16" s="7049">
        <v>0</v>
      </c>
      <c r="T16" s="7049">
        <v>0</v>
      </c>
      <c r="U16" s="7049">
        <v>0</v>
      </c>
      <c r="V16" s="7049">
        <v>0</v>
      </c>
      <c r="W16" s="7049">
        <v>0</v>
      </c>
      <c r="X16" s="7049">
        <v>0</v>
      </c>
      <c r="Y16" s="7049">
        <v>0</v>
      </c>
      <c r="Z16" s="7049">
        <v>0</v>
      </c>
      <c r="AA16" s="7049">
        <v>0</v>
      </c>
      <c r="AB16" s="7049">
        <v>0</v>
      </c>
      <c r="AC16" s="7049">
        <v>0</v>
      </c>
      <c r="AD16" s="7049">
        <v>0</v>
      </c>
      <c r="AE16" s="7049">
        <v>0</v>
      </c>
      <c r="AF16" s="7049">
        <v>0</v>
      </c>
      <c r="AG16" s="7049">
        <v>0</v>
      </c>
      <c r="AH16" s="7049">
        <v>0</v>
      </c>
      <c r="AI16" s="7049">
        <v>0</v>
      </c>
      <c r="AJ16" s="415" t="str">
        <f>TP_P_NOTE_B</f>
        <v>Указывается количество исполненных заявок на подключение (технологическое присоединение) к системе теплоснабжения в течение отчетного квартала.</v>
      </c>
    </row>
    <row customHeight="1" ht="33.75">
      <c r="A17" s="742"/>
      <c r="C17" s="763"/>
      <c r="D17" s="758">
        <v>3</v>
      </c>
      <c r="E17" s="489" t="str">
        <f>TP_P_V</f>
        <v>Количество заявок на заключение договора о подключении (технологическом присоединении) к системе теплоснабжения, по которым регулируемой организацией отказано в заключении договора о подключении (технологическом присоединении) к системе теплоснабжения</v>
      </c>
      <c r="F17" s="758" t="s">
        <v>1679</v>
      </c>
      <c r="G17" s="922"/>
      <c r="H17" s="922">
        <v>0</v>
      </c>
      <c r="I17" s="7049">
        <v>0</v>
      </c>
      <c r="J17" s="7049">
        <v>0</v>
      </c>
      <c r="K17" s="7049">
        <v>0</v>
      </c>
      <c r="L17" s="7049">
        <v>0</v>
      </c>
      <c r="M17" s="7049">
        <v>0</v>
      </c>
      <c r="N17" s="7049">
        <v>0</v>
      </c>
      <c r="O17" s="7049">
        <v>0</v>
      </c>
      <c r="P17" s="7049">
        <v>0</v>
      </c>
      <c r="Q17" s="7049">
        <v>0</v>
      </c>
      <c r="R17" s="7049">
        <v>0</v>
      </c>
      <c r="S17" s="7049">
        <v>0</v>
      </c>
      <c r="T17" s="7049">
        <v>0</v>
      </c>
      <c r="U17" s="7049">
        <v>0</v>
      </c>
      <c r="V17" s="7049">
        <v>0</v>
      </c>
      <c r="W17" s="7049">
        <v>0</v>
      </c>
      <c r="X17" s="7049">
        <v>0</v>
      </c>
      <c r="Y17" s="7049">
        <v>0</v>
      </c>
      <c r="Z17" s="7049">
        <v>0</v>
      </c>
      <c r="AA17" s="7049">
        <v>0</v>
      </c>
      <c r="AB17" s="7049">
        <v>0</v>
      </c>
      <c r="AC17" s="7049">
        <v>0</v>
      </c>
      <c r="AD17" s="7049">
        <v>0</v>
      </c>
      <c r="AE17" s="7049">
        <v>0</v>
      </c>
      <c r="AF17" s="7049">
        <v>0</v>
      </c>
      <c r="AG17" s="7049">
        <v>0</v>
      </c>
      <c r="AH17" s="7049">
        <v>0</v>
      </c>
      <c r="AI17" s="7049">
        <v>0</v>
      </c>
      <c r="AJ17" s="415" t="str">
        <f>TP_P_NOTE_V</f>
        <v>Указывается количество заявок с решением об отказе в течение отчетного квартала.</v>
      </c>
    </row>
    <row customHeight="1" ht="22.5">
      <c r="A18" s="742"/>
      <c r="C18" s="763"/>
      <c r="D18" s="758">
        <v>4</v>
      </c>
      <c r="E18" s="489" t="str">
        <f>TP_P_V_1</f>
        <v>Причины отказа в заключении договора о подключении (технологическом присоединении) к системе теплоснабжения</v>
      </c>
      <c r="F18" s="758" t="s">
        <v>368</v>
      </c>
      <c r="G18" s="923"/>
      <c r="H18" s="923"/>
      <c r="I18" s="7051"/>
      <c r="J18" s="7051"/>
      <c r="K18" s="7051"/>
      <c r="L18" s="7051"/>
      <c r="M18" s="7051"/>
      <c r="N18" s="7051"/>
      <c r="O18" s="7051"/>
      <c r="P18" s="7051"/>
      <c r="Q18" s="7051"/>
      <c r="R18" s="7051"/>
      <c r="S18" s="7051"/>
      <c r="T18" s="7051"/>
      <c r="U18" s="7051"/>
      <c r="V18" s="7051"/>
      <c r="W18" s="7051"/>
      <c r="X18" s="7051"/>
      <c r="Y18" s="7051"/>
      <c r="Z18" s="7051"/>
      <c r="AA18" s="7051"/>
      <c r="AB18" s="7051"/>
      <c r="AC18" s="7051"/>
      <c r="AD18" s="7051"/>
      <c r="AE18" s="7051"/>
      <c r="AF18" s="7051"/>
      <c r="AG18" s="7051"/>
      <c r="AH18" s="7051"/>
      <c r="AI18" s="7051"/>
      <c r="AJ18" s="1084" t="str">
        <f>TP_P_NOTE_V_1</f>
        <v>Указывается текстовое описание причин принятия решений.
Не заполняется в случае, если решения об отказе в течение отчетного периода не принимались.</v>
      </c>
    </row>
    <row customHeight="1" ht="22.5">
      <c r="A19" s="742"/>
      <c r="C19" s="763"/>
      <c r="D19" s="758">
        <v>5</v>
      </c>
      <c r="E19" s="489" t="str">
        <f>TP_P_G</f>
        <v>Резерв мощности источников тепловой энергии, входящих в систему теплоснабжения, в течение одного квартала, в том числе:</v>
      </c>
      <c r="F19" s="758" t="str">
        <f>IF(TEMPLATE_SPHERE="HEAT","Гкал/час","тыс. куб. м/сутки")</f>
        <v>Гкал/час</v>
      </c>
      <c r="G19" s="924">
        <f>SUM(G20:G22)</f>
        <v>0</v>
      </c>
      <c r="H19" s="924">
        <f>SUM(H20:H22)</f>
        <v>0</v>
      </c>
      <c r="I19" s="7054">
        <f>SUM(I20:I22)</f>
        <v>0</v>
      </c>
      <c r="J19" s="7054">
        <f>SUM(J20:J22)</f>
        <v>0</v>
      </c>
      <c r="K19" s="7054">
        <f>SUM(K20:K22)</f>
        <v>0</v>
      </c>
      <c r="L19" s="7054">
        <f>SUM(L20:L22)</f>
        <v>0</v>
      </c>
      <c r="M19" s="7054">
        <f>SUM(M20:M22)</f>
        <v>0</v>
      </c>
      <c r="N19" s="7054">
        <f>SUM(N20:N22)</f>
        <v>0</v>
      </c>
      <c r="O19" s="7054">
        <f>SUM(O20:O22)</f>
        <v>0</v>
      </c>
      <c r="P19" s="7054">
        <f>SUM(P20:P22)</f>
        <v>0</v>
      </c>
      <c r="Q19" s="7054">
        <f>SUM(Q20:Q22)</f>
        <v>0</v>
      </c>
      <c r="R19" s="7054">
        <f>SUM(R20:R22)</f>
        <v>0</v>
      </c>
      <c r="S19" s="7054">
        <f>SUM(S20:S22)</f>
        <v>0</v>
      </c>
      <c r="T19" s="7054">
        <f>SUM(T20:T22)</f>
        <v>0</v>
      </c>
      <c r="U19" s="7054">
        <f>SUM(U20:U22)</f>
        <v>0</v>
      </c>
      <c r="V19" s="7054">
        <f>SUM(V20:V22)</f>
        <v>0</v>
      </c>
      <c r="W19" s="7054">
        <f>SUM(W20:W22)</f>
        <v>0</v>
      </c>
      <c r="X19" s="7054">
        <f>SUM(X20:X22)</f>
        <v>0</v>
      </c>
      <c r="Y19" s="7054">
        <f>SUM(Y20:Y22)</f>
        <v>0</v>
      </c>
      <c r="Z19" s="7054">
        <f>SUM(Z20:Z22)</f>
        <v>0</v>
      </c>
      <c r="AA19" s="7054">
        <f>SUM(AA20:AA22)</f>
        <v>0</v>
      </c>
      <c r="AB19" s="7054">
        <f>SUM(AB20:AB22)</f>
        <v>0</v>
      </c>
      <c r="AC19" s="7054">
        <f>SUM(AC20:AC22)</f>
        <v>0</v>
      </c>
      <c r="AD19" s="7054">
        <f>SUM(AD20:AD22)</f>
        <v>0</v>
      </c>
      <c r="AE19" s="7054">
        <f>SUM(AE20:AE22)</f>
        <v>0</v>
      </c>
      <c r="AF19" s="7054">
        <f>SUM(AF20:AF22)</f>
        <v>0</v>
      </c>
      <c r="AG19" s="7054">
        <f>SUM(AG20:AG22)</f>
        <v>0</v>
      </c>
      <c r="AH19" s="7054">
        <f>SUM(AH20:AH22)</f>
        <v>0</v>
      </c>
      <c r="AI19" s="7054">
        <f>SUM(AI20:AI22)</f>
        <v>0</v>
      </c>
      <c r="AJ19" s="415" t="str">
        <f>TP_P_NOTE_G</f>
        <v>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v>
      </c>
    </row>
    <row customHeight="1" ht="15" hidden="1">
      <c r="D20" s="746" t="s">
        <v>1680</v>
      </c>
      <c r="E20" s="925"/>
      <c r="F20" s="746"/>
      <c r="G20" s="746"/>
      <c r="H20" s="746"/>
      <c r="I20" s="6985"/>
      <c r="J20" s="6985"/>
      <c r="K20" s="6985"/>
      <c r="L20" s="6985"/>
      <c r="M20" s="6985"/>
      <c r="N20" s="6985"/>
      <c r="O20" s="6985"/>
      <c r="P20" s="6985"/>
      <c r="Q20" s="6985"/>
      <c r="R20" s="6985"/>
      <c r="S20" s="6985"/>
      <c r="T20" s="6985"/>
      <c r="U20" s="6985"/>
      <c r="V20" s="6985"/>
      <c r="W20" s="6985"/>
      <c r="X20" s="6985"/>
      <c r="Y20" s="6985"/>
      <c r="Z20" s="6985"/>
      <c r="AA20" s="6985"/>
      <c r="AB20" s="6985"/>
      <c r="AC20" s="6985"/>
      <c r="AD20" s="6985"/>
      <c r="AE20" s="6985"/>
      <c r="AF20" s="6985"/>
      <c r="AG20" s="6985"/>
      <c r="AH20" s="6985"/>
      <c r="AI20" s="6985"/>
      <c r="AJ20" s="2103"/>
    </row>
    <row customHeight="1" ht="27.75">
      <c r="C21" s="688"/>
      <c r="D21" s="776" t="s">
        <v>377</v>
      </c>
      <c r="E21" s="907" t="s">
        <v>440</v>
      </c>
      <c r="F21" s="2101" t="str">
        <f>IF(TEMPLATE_SPHERE="HEAT","Гкал/час","тыс. куб. м/сутки")</f>
        <v>Гкал/час</v>
      </c>
      <c r="G21" s="917"/>
      <c r="H21" s="917"/>
      <c r="I21" s="7028"/>
      <c r="J21" s="7028"/>
      <c r="K21" s="7028"/>
      <c r="L21" s="7028"/>
      <c r="M21" s="7028"/>
      <c r="N21" s="7028"/>
      <c r="O21" s="7028"/>
      <c r="P21" s="7028"/>
      <c r="Q21" s="7028"/>
      <c r="R21" s="7028"/>
      <c r="S21" s="7028"/>
      <c r="T21" s="7028"/>
      <c r="U21" s="7028"/>
      <c r="V21" s="7028"/>
      <c r="W21" s="7028"/>
      <c r="X21" s="7028"/>
      <c r="Y21" s="7028"/>
      <c r="Z21" s="7028"/>
      <c r="AA21" s="7028"/>
      <c r="AB21" s="7028"/>
      <c r="AC21" s="7028"/>
      <c r="AD21" s="7028"/>
      <c r="AE21" s="7028"/>
      <c r="AF21" s="7028"/>
      <c r="AG21" s="7028"/>
      <c r="AH21" s="7028"/>
      <c r="AI21" s="7028"/>
      <c r="AJ21" s="2549" t="str">
        <f>TP_P_NOTE_G_1</f>
        <v>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v>
      </c>
    </row>
    <row customHeight="1" ht="15">
      <c r="A22" s="742"/>
      <c r="C22" s="742"/>
      <c r="D22" s="568"/>
      <c r="E22" s="817" t="s">
        <v>1681</v>
      </c>
      <c r="F22" s="809"/>
      <c r="G22" s="809"/>
      <c r="H22" s="809"/>
      <c r="I22" s="7058"/>
      <c r="J22" s="7059"/>
      <c r="K22" s="7060"/>
      <c r="L22" s="7061"/>
      <c r="M22" s="7062"/>
      <c r="N22" s="7063"/>
      <c r="O22" s="7064"/>
      <c r="P22" s="7065"/>
      <c r="Q22" s="7066"/>
      <c r="R22" s="7067"/>
      <c r="S22" s="7068"/>
      <c r="T22" s="7069"/>
      <c r="U22" s="7070"/>
      <c r="V22" s="7071"/>
      <c r="W22" s="7072"/>
      <c r="X22" s="7073"/>
      <c r="Y22" s="7074"/>
      <c r="Z22" s="7075"/>
      <c r="AA22" s="7076"/>
      <c r="AB22" s="7077"/>
      <c r="AC22" s="7078"/>
      <c r="AD22" s="7079"/>
      <c r="AE22" s="7080"/>
      <c r="AF22" s="7081"/>
      <c r="AG22" s="7082"/>
      <c r="AH22" s="7083"/>
      <c r="AI22" s="7084"/>
      <c r="AJ22" s="2550"/>
      <c r="AS22" s="742"/>
    </row>
  </sheetData>
  <sheetProtection formatColumns="0" formatRows="0" autoFilter="0" sort="0" insertRows="0" insertColumns="1" deleteRows="0" deleteColumns="0"/>
  <mergeCells count="8">
    <mergeCell ref="AJ21:AJ22"/>
    <mergeCell ref="AJ9:AJ13"/>
    <mergeCell ref="D5:H5"/>
    <mergeCell ref="D6:H6"/>
    <mergeCell ref="E9:F9"/>
    <mergeCell ref="E10:F10"/>
    <mergeCell ref="E11:F11"/>
    <mergeCell ref="D12:F12"/>
  </mergeCells>
  <dataValidations count="4">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 type="textLength" operator="lessThanOrEqual" allowBlank="1" showInputMessage="1" showErrorMessage="1" errorTitle="Ошибка" error="Допускается ввод не более 900 символов!" sqref="E21 E2 G18:AI18">
      <formula1>900</formula1>
    </dataValidation>
    <dataValidation type="decimal" allowBlank="1" showErrorMessage="1" errorTitle="Ошибка" error="Допускается ввод только неотрицательных чисел!" sqref="G21:AI21 G2:AI2">
      <formula1>0</formula1>
      <formula2>9.99999999999999E+23</formula2>
    </dataValidation>
    <dataValidation type="whole" allowBlank="1" showErrorMessage="1" errorTitle="Ошибка" error="Допускается ввод только неотрицательных целых чисел!" sqref="G15:AI17">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90181DD-C4B1-4DFB-3362-33D437F3FBF4}" mc:Ignorable="x14ac xr xr2 xr3">
  <sheetPr>
    <tabColor rgb="FFDDD9C4"/>
  </sheetPr>
  <dimension ref="A1:BW39"/>
  <sheetViews>
    <sheetView topLeftCell="C21" showGridLines="0" zoomScale="90" workbookViewId="0">
      <selection activeCell="BK25" sqref="BK25"/>
    </sheetView>
  </sheetViews>
  <sheetFormatPr defaultColWidth="10.57421875" customHeight="1" defaultRowHeight="15"/>
  <cols>
    <col min="1" max="1" style="11248" width="9.140625" hidden="1" customWidth="1"/>
    <col min="2" max="2" style="11126" width="9.140625" hidden="1" customWidth="1"/>
    <col min="3" max="3" style="10141" width="4.7109375" customWidth="1"/>
    <col min="4" max="4" style="11126" width="6.28125" customWidth="1"/>
    <col min="5" max="5" style="11126" width="36.7109375" customWidth="1"/>
    <col min="6" max="6" style="11126" width="9.57421875" customWidth="1"/>
    <col min="7" max="7" style="11126" width="25.7109375" hidden="1" customWidth="1"/>
    <col min="8" max="8" style="11126" width="33.7109375" hidden="1" customWidth="1"/>
    <col min="9" max="9" style="11126" width="25.7109375" customWidth="1"/>
    <col min="10" max="10" style="11126" width="33.7109375" customWidth="1"/>
    <col min="11" max="11" style="11126" width="25.7109375" customWidth="1"/>
    <col min="12" max="12" style="11126" width="33.7109375" customWidth="1"/>
    <col min="13" max="13" style="11126" width="25.7109375" customWidth="1"/>
    <col min="14" max="14" style="11126" width="33.7109375" customWidth="1"/>
    <col min="15" max="15" style="11126" width="25.7109375" customWidth="1"/>
    <col min="16" max="16" style="11126" width="33.7109375" customWidth="1"/>
    <col min="17" max="17" style="11126" width="25.7109375" customWidth="1"/>
    <col min="18" max="18" style="11126" width="33.7109375" customWidth="1"/>
    <col min="19" max="19" style="11126" width="25.7109375" customWidth="1"/>
    <col min="20" max="20" style="11126" width="33.7109375" customWidth="1"/>
    <col min="21" max="21" style="11126" width="25.7109375" customWidth="1"/>
    <col min="22" max="22" style="11126" width="33.7109375" customWidth="1"/>
    <col min="23" max="23" style="11126" width="25.7109375" customWidth="1"/>
    <col min="24" max="24" style="11126" width="33.7109375" customWidth="1"/>
    <col min="25" max="25" style="11126" width="25.7109375" customWidth="1"/>
    <col min="26" max="26" style="11126" width="33.7109375" customWidth="1"/>
    <col min="27" max="27" style="11126" width="25.7109375" customWidth="1"/>
    <col min="28" max="28" style="11126" width="33.7109375" customWidth="1"/>
    <col min="29" max="29" style="11126" width="25.7109375" customWidth="1"/>
    <col min="30" max="30" style="11126" width="33.7109375" customWidth="1"/>
    <col min="31" max="31" style="11126" width="25.7109375" customWidth="1"/>
    <col min="32" max="32" style="11126" width="33.7109375" customWidth="1"/>
    <col min="33" max="33" style="11126" width="25.7109375" customWidth="1"/>
    <col min="34" max="34" style="11126" width="33.7109375" customWidth="1"/>
    <col min="35" max="35" style="11126" width="25.7109375" customWidth="1"/>
    <col min="36" max="36" style="11126" width="33.7109375" customWidth="1"/>
    <col min="37" max="37" style="11126" width="25.7109375" customWidth="1"/>
    <col min="38" max="38" style="11126" width="33.7109375" customWidth="1"/>
    <col min="39" max="39" style="11126" width="25.7109375" customWidth="1"/>
    <col min="40" max="40" style="11126" width="33.7109375" customWidth="1"/>
    <col min="41" max="41" style="11126" width="25.7109375" customWidth="1"/>
    <col min="42" max="42" style="11126" width="33.7109375" customWidth="1"/>
    <col min="43" max="43" style="11126" width="25.7109375" customWidth="1"/>
    <col min="44" max="44" style="11126" width="33.7109375" customWidth="1"/>
    <col min="45" max="45" style="11126" width="25.7109375" customWidth="1"/>
    <col min="46" max="46" style="11126" width="33.7109375" customWidth="1"/>
    <col min="47" max="47" style="11126" width="25.7109375" customWidth="1"/>
    <col min="48" max="48" style="11126" width="33.7109375" customWidth="1"/>
    <col min="49" max="49" style="11126" width="25.7109375" customWidth="1"/>
    <col min="50" max="50" style="11126" width="33.7109375" customWidth="1"/>
    <col min="51" max="51" style="11126" width="25.7109375" customWidth="1"/>
    <col min="52" max="52" style="11126" width="33.7109375" customWidth="1"/>
    <col min="53" max="53" style="11126" width="25.7109375" customWidth="1"/>
    <col min="54" max="54" style="11126" width="33.7109375" customWidth="1"/>
    <col min="55" max="55" style="11126" width="25.7109375" customWidth="1"/>
    <col min="56" max="56" style="11126" width="33.7109375" customWidth="1"/>
    <col min="57" max="57" style="11126" width="25.7109375" customWidth="1"/>
    <col min="58" max="58" style="11126" width="33.7109375" customWidth="1"/>
    <col min="59" max="59" style="11126" width="25.7109375" customWidth="1"/>
    <col min="60" max="60" style="11126" width="33.7109375" customWidth="1"/>
    <col min="61" max="61" style="11126" width="25.7109375" customWidth="1"/>
    <col min="62" max="62" style="11126" width="33.7109375" customWidth="1"/>
    <col min="63" max="63" style="11126" width="25.7109375" customWidth="1"/>
    <col min="64" max="64" style="11126" width="33.7109375" customWidth="1"/>
    <col min="65" max="65" style="11074" width="93.421875" customWidth="1"/>
    <col min="66" max="74" style="11126" width="10.57421875"/>
    <col min="75" max="75" style="10142" width="10.57421875"/>
  </cols>
  <sheetData>
    <row s="11074" customFormat="1" customHeight="1" ht="15" hidden="1">
      <c r="C1" s="909"/>
      <c r="G1" s="653">
        <v>4</v>
      </c>
      <c r="I1" s="653">
        <v>4</v>
      </c>
      <c r="K1" s="6978">
        <v>4</v>
      </c>
      <c r="L1" s="6978"/>
      <c r="M1" s="6978">
        <v>4</v>
      </c>
      <c r="N1" s="6978"/>
      <c r="O1" s="6978">
        <v>4</v>
      </c>
      <c r="P1" s="6978"/>
      <c r="Q1" s="6978">
        <v>4</v>
      </c>
      <c r="R1" s="6978"/>
      <c r="S1" s="6978">
        <v>4</v>
      </c>
      <c r="T1" s="6978"/>
      <c r="U1" s="6978">
        <v>4</v>
      </c>
      <c r="V1" s="6978"/>
      <c r="W1" s="6978">
        <v>4</v>
      </c>
      <c r="X1" s="6978"/>
      <c r="Y1" s="6978">
        <v>4</v>
      </c>
      <c r="Z1" s="6978"/>
      <c r="AA1" s="6978">
        <v>4</v>
      </c>
      <c r="AB1" s="6978"/>
      <c r="AC1" s="6978">
        <v>4</v>
      </c>
      <c r="AD1" s="6978"/>
      <c r="AE1" s="6978">
        <v>4</v>
      </c>
      <c r="AF1" s="6978"/>
      <c r="AG1" s="6978">
        <v>4</v>
      </c>
      <c r="AH1" s="6978"/>
      <c r="AI1" s="6978">
        <v>4</v>
      </c>
      <c r="AJ1" s="6978"/>
      <c r="AK1" s="6978">
        <v>4</v>
      </c>
      <c r="AL1" s="6978"/>
      <c r="AM1" s="6978">
        <v>4</v>
      </c>
      <c r="AN1" s="6978"/>
      <c r="AO1" s="6978">
        <v>4</v>
      </c>
      <c r="AP1" s="6978"/>
      <c r="AQ1" s="6978">
        <v>4</v>
      </c>
      <c r="AR1" s="6978"/>
      <c r="AS1" s="6978">
        <v>4</v>
      </c>
      <c r="AT1" s="6978"/>
      <c r="AU1" s="6978">
        <v>4</v>
      </c>
      <c r="AV1" s="6978"/>
      <c r="AW1" s="6978">
        <v>4</v>
      </c>
      <c r="AX1" s="6978"/>
      <c r="AY1" s="6978">
        <v>4</v>
      </c>
      <c r="AZ1" s="6978"/>
      <c r="BA1" s="6978">
        <v>4</v>
      </c>
      <c r="BB1" s="6978"/>
      <c r="BC1" s="6978">
        <v>4</v>
      </c>
      <c r="BD1" s="6978"/>
      <c r="BE1" s="6978">
        <v>4</v>
      </c>
      <c r="BF1" s="6978"/>
      <c r="BG1" s="6978">
        <v>4</v>
      </c>
      <c r="BH1" s="6978"/>
      <c r="BI1" s="6978">
        <v>4</v>
      </c>
      <c r="BJ1" s="6978"/>
      <c r="BK1" s="6978">
        <v>4</v>
      </c>
      <c r="BL1" s="6978"/>
      <c r="BW1" s="656"/>
    </row>
    <row s="11074" customFormat="1" customHeight="1" ht="15" hidden="1">
      <c r="C2" s="909"/>
      <c r="K2" s="6978"/>
      <c r="L2" s="6978"/>
      <c r="M2" s="6978"/>
      <c r="N2" s="6978"/>
      <c r="O2" s="6978"/>
      <c r="P2" s="6978"/>
      <c r="Q2" s="6978"/>
      <c r="R2" s="6978"/>
      <c r="S2" s="6978"/>
      <c r="T2" s="6978"/>
      <c r="U2" s="6978"/>
      <c r="V2" s="6978"/>
      <c r="W2" s="6978"/>
      <c r="X2" s="6978"/>
      <c r="Y2" s="6978"/>
      <c r="Z2" s="6978"/>
      <c r="AA2" s="6978"/>
      <c r="AB2" s="6978"/>
      <c r="AC2" s="6978"/>
      <c r="AD2" s="6978"/>
      <c r="AE2" s="6978"/>
      <c r="AF2" s="6978"/>
      <c r="AG2" s="6978"/>
      <c r="AH2" s="6978"/>
      <c r="AI2" s="6978"/>
      <c r="AJ2" s="6978"/>
      <c r="AK2" s="6978"/>
      <c r="AL2" s="6978"/>
      <c r="AM2" s="6978"/>
      <c r="AN2" s="6978"/>
      <c r="AO2" s="6978"/>
      <c r="AP2" s="6978"/>
      <c r="AQ2" s="6978"/>
      <c r="AR2" s="6978"/>
      <c r="AS2" s="6978"/>
      <c r="AT2" s="6978"/>
      <c r="AU2" s="6978"/>
      <c r="AV2" s="6978"/>
      <c r="AW2" s="6978"/>
      <c r="AX2" s="6978"/>
      <c r="AY2" s="6978"/>
      <c r="AZ2" s="6978"/>
      <c r="BA2" s="6978"/>
      <c r="BB2" s="6978"/>
      <c r="BC2" s="6978"/>
      <c r="BD2" s="6978"/>
      <c r="BE2" s="6978"/>
      <c r="BF2" s="6978"/>
      <c r="BG2" s="6978"/>
      <c r="BH2" s="6978"/>
      <c r="BI2" s="6978"/>
      <c r="BJ2" s="6978"/>
      <c r="BK2" s="6978"/>
      <c r="BL2" s="6978"/>
      <c r="BW2" s="656"/>
    </row>
    <row customHeight="1" ht="22.5" hidden="1">
      <c r="A3" s="742"/>
      <c r="B3" s="2554"/>
      <c r="C3" s="2555"/>
      <c r="D3" s="926" t="str">
        <f>B3&amp;".1"</f>
        <v>.1</v>
      </c>
      <c r="E3" s="927" t="s">
        <v>1682</v>
      </c>
      <c r="F3" s="928" t="s">
        <v>368</v>
      </c>
      <c r="G3" s="923"/>
      <c r="H3" s="636"/>
      <c r="I3" s="923"/>
      <c r="J3" s="636"/>
      <c r="K3" s="7051"/>
      <c r="L3" s="7092"/>
      <c r="M3" s="7051"/>
      <c r="N3" s="7092"/>
      <c r="O3" s="7051"/>
      <c r="P3" s="7092"/>
      <c r="Q3" s="7051"/>
      <c r="R3" s="7092"/>
      <c r="S3" s="7051"/>
      <c r="T3" s="7092"/>
      <c r="U3" s="7051"/>
      <c r="V3" s="7092"/>
      <c r="W3" s="7051"/>
      <c r="X3" s="7092"/>
      <c r="Y3" s="7051"/>
      <c r="Z3" s="7092"/>
      <c r="AA3" s="7051"/>
      <c r="AB3" s="7092"/>
      <c r="AC3" s="7051"/>
      <c r="AD3" s="7092"/>
      <c r="AE3" s="7051"/>
      <c r="AF3" s="7092"/>
      <c r="AG3" s="7051"/>
      <c r="AH3" s="7092"/>
      <c r="AI3" s="7051"/>
      <c r="AJ3" s="7092"/>
      <c r="AK3" s="7051"/>
      <c r="AL3" s="7092"/>
      <c r="AM3" s="7051"/>
      <c r="AN3" s="7092"/>
      <c r="AO3" s="7051"/>
      <c r="AP3" s="7092"/>
      <c r="AQ3" s="7051"/>
      <c r="AR3" s="7092"/>
      <c r="AS3" s="7051"/>
      <c r="AT3" s="7092"/>
      <c r="AU3" s="7051"/>
      <c r="AV3" s="7092"/>
      <c r="AW3" s="7051"/>
      <c r="AX3" s="7092"/>
      <c r="AY3" s="7051"/>
      <c r="AZ3" s="7092"/>
      <c r="BA3" s="7051"/>
      <c r="BB3" s="7092"/>
      <c r="BC3" s="7051"/>
      <c r="BD3" s="7092"/>
      <c r="BE3" s="7051"/>
      <c r="BF3" s="7092"/>
      <c r="BG3" s="7051"/>
      <c r="BH3" s="7092"/>
      <c r="BI3" s="7051"/>
      <c r="BJ3" s="7092"/>
      <c r="BK3" s="7051"/>
      <c r="BL3" s="7092"/>
      <c r="BM3" s="499" t="s">
        <v>1683</v>
      </c>
    </row>
    <row customHeight="1" ht="15" hidden="1">
      <c r="A4" s="742"/>
      <c r="B4" s="2554"/>
      <c r="C4" s="2555"/>
      <c r="D4" s="926" t="str">
        <f>B3&amp;".2"</f>
        <v>.2</v>
      </c>
      <c r="E4" s="927" t="s">
        <v>1684</v>
      </c>
      <c r="F4" s="928" t="s">
        <v>368</v>
      </c>
      <c r="G4" s="2053" t="s">
        <v>17</v>
      </c>
      <c r="H4" s="636"/>
      <c r="I4" s="2053" t="s">
        <v>17</v>
      </c>
      <c r="J4" s="636"/>
      <c r="K4" s="7094" t="s">
        <v>17</v>
      </c>
      <c r="L4" s="7092"/>
      <c r="M4" s="7094" t="s">
        <v>17</v>
      </c>
      <c r="N4" s="7092"/>
      <c r="O4" s="7094" t="s">
        <v>17</v>
      </c>
      <c r="P4" s="7092"/>
      <c r="Q4" s="7094" t="s">
        <v>17</v>
      </c>
      <c r="R4" s="7092"/>
      <c r="S4" s="7094" t="s">
        <v>17</v>
      </c>
      <c r="T4" s="7092"/>
      <c r="U4" s="7094" t="s">
        <v>17</v>
      </c>
      <c r="V4" s="7092"/>
      <c r="W4" s="7094" t="s">
        <v>17</v>
      </c>
      <c r="X4" s="7092"/>
      <c r="Y4" s="7094" t="s">
        <v>17</v>
      </c>
      <c r="Z4" s="7092"/>
      <c r="AA4" s="7094" t="s">
        <v>17</v>
      </c>
      <c r="AB4" s="7092"/>
      <c r="AC4" s="7094" t="s">
        <v>17</v>
      </c>
      <c r="AD4" s="7092"/>
      <c r="AE4" s="7094" t="s">
        <v>17</v>
      </c>
      <c r="AF4" s="7092"/>
      <c r="AG4" s="7094" t="s">
        <v>17</v>
      </c>
      <c r="AH4" s="7092"/>
      <c r="AI4" s="7094" t="s">
        <v>17</v>
      </c>
      <c r="AJ4" s="7092"/>
      <c r="AK4" s="7094" t="s">
        <v>17</v>
      </c>
      <c r="AL4" s="7092"/>
      <c r="AM4" s="7094" t="s">
        <v>17</v>
      </c>
      <c r="AN4" s="7092"/>
      <c r="AO4" s="7094" t="s">
        <v>17</v>
      </c>
      <c r="AP4" s="7092"/>
      <c r="AQ4" s="7094" t="s">
        <v>17</v>
      </c>
      <c r="AR4" s="7092"/>
      <c r="AS4" s="7094" t="s">
        <v>17</v>
      </c>
      <c r="AT4" s="7092"/>
      <c r="AU4" s="7094" t="s">
        <v>17</v>
      </c>
      <c r="AV4" s="7092"/>
      <c r="AW4" s="7094" t="s">
        <v>17</v>
      </c>
      <c r="AX4" s="7092"/>
      <c r="AY4" s="7094" t="s">
        <v>17</v>
      </c>
      <c r="AZ4" s="7092"/>
      <c r="BA4" s="7094" t="s">
        <v>17</v>
      </c>
      <c r="BB4" s="7092"/>
      <c r="BC4" s="7094" t="s">
        <v>17</v>
      </c>
      <c r="BD4" s="7092"/>
      <c r="BE4" s="7094" t="s">
        <v>17</v>
      </c>
      <c r="BF4" s="7092"/>
      <c r="BG4" s="7094" t="s">
        <v>17</v>
      </c>
      <c r="BH4" s="7092"/>
      <c r="BI4" s="7094" t="s">
        <v>17</v>
      </c>
      <c r="BJ4" s="7092"/>
      <c r="BK4" s="7094" t="s">
        <v>17</v>
      </c>
      <c r="BL4" s="7092"/>
      <c r="BM4" s="499" t="s">
        <v>1685</v>
      </c>
    </row>
    <row s="11074" customFormat="1" customHeight="1" ht="15" hidden="1">
      <c r="C5" s="909"/>
      <c r="K5" s="6978"/>
      <c r="L5" s="6978"/>
      <c r="M5" s="6978"/>
      <c r="N5" s="6978"/>
      <c r="O5" s="6978"/>
      <c r="P5" s="6978"/>
      <c r="Q5" s="6978"/>
      <c r="R5" s="6978"/>
      <c r="S5" s="6978"/>
      <c r="T5" s="6978"/>
      <c r="U5" s="6978"/>
      <c r="V5" s="6978"/>
      <c r="W5" s="6978"/>
      <c r="X5" s="6978"/>
      <c r="Y5" s="6978"/>
      <c r="Z5" s="6978"/>
      <c r="AA5" s="6978"/>
      <c r="AB5" s="6978"/>
      <c r="AC5" s="6978"/>
      <c r="AD5" s="6978"/>
      <c r="AE5" s="6978"/>
      <c r="AF5" s="6978"/>
      <c r="AG5" s="6978"/>
      <c r="AH5" s="6978"/>
      <c r="AI5" s="6978"/>
      <c r="AJ5" s="6978"/>
      <c r="AK5" s="6978"/>
      <c r="AL5" s="6978"/>
      <c r="AM5" s="6978"/>
      <c r="AN5" s="6978"/>
      <c r="AO5" s="6978"/>
      <c r="AP5" s="6978"/>
      <c r="AQ5" s="6978"/>
      <c r="AR5" s="6978"/>
      <c r="AS5" s="6978"/>
      <c r="AT5" s="6978"/>
      <c r="AU5" s="6978"/>
      <c r="AV5" s="6978"/>
      <c r="AW5" s="6978"/>
      <c r="AX5" s="6978"/>
      <c r="AY5" s="6978"/>
      <c r="AZ5" s="6978"/>
      <c r="BA5" s="6978"/>
      <c r="BB5" s="6978"/>
      <c r="BC5" s="6978"/>
      <c r="BD5" s="6978"/>
      <c r="BE5" s="6978"/>
      <c r="BF5" s="6978"/>
      <c r="BG5" s="6978"/>
      <c r="BH5" s="6978"/>
      <c r="BI5" s="6978"/>
      <c r="BJ5" s="6978"/>
      <c r="BK5" s="6978"/>
      <c r="BL5" s="6978"/>
      <c r="BW5" s="656"/>
    </row>
    <row customHeight="1" ht="22.5" hidden="1">
      <c r="A6" s="742"/>
      <c r="B6" s="2554"/>
      <c r="C6" s="2555"/>
      <c r="D6" s="926" t="str">
        <f>B6&amp;".1"</f>
        <v>.1</v>
      </c>
      <c r="E6" s="927" t="s">
        <v>1686</v>
      </c>
      <c r="F6" s="928" t="s">
        <v>368</v>
      </c>
      <c r="G6" s="923"/>
      <c r="H6" s="636"/>
      <c r="I6" s="923"/>
      <c r="J6" s="636"/>
      <c r="K6" s="7051"/>
      <c r="L6" s="7092"/>
      <c r="M6" s="7051"/>
      <c r="N6" s="7092"/>
      <c r="O6" s="7051"/>
      <c r="P6" s="7092"/>
      <c r="Q6" s="7051"/>
      <c r="R6" s="7092"/>
      <c r="S6" s="7051"/>
      <c r="T6" s="7092"/>
      <c r="U6" s="7051"/>
      <c r="V6" s="7092"/>
      <c r="W6" s="7051"/>
      <c r="X6" s="7092"/>
      <c r="Y6" s="7051"/>
      <c r="Z6" s="7092"/>
      <c r="AA6" s="7051"/>
      <c r="AB6" s="7092"/>
      <c r="AC6" s="7051"/>
      <c r="AD6" s="7092"/>
      <c r="AE6" s="7051"/>
      <c r="AF6" s="7092"/>
      <c r="AG6" s="7051"/>
      <c r="AH6" s="7092"/>
      <c r="AI6" s="7051"/>
      <c r="AJ6" s="7092"/>
      <c r="AK6" s="7051"/>
      <c r="AL6" s="7092"/>
      <c r="AM6" s="7051"/>
      <c r="AN6" s="7092"/>
      <c r="AO6" s="7051"/>
      <c r="AP6" s="7092"/>
      <c r="AQ6" s="7051"/>
      <c r="AR6" s="7092"/>
      <c r="AS6" s="7051"/>
      <c r="AT6" s="7092"/>
      <c r="AU6" s="7051"/>
      <c r="AV6" s="7092"/>
      <c r="AW6" s="7051"/>
      <c r="AX6" s="7092"/>
      <c r="AY6" s="7051"/>
      <c r="AZ6" s="7092"/>
      <c r="BA6" s="7051"/>
      <c r="BB6" s="7092"/>
      <c r="BC6" s="7051"/>
      <c r="BD6" s="7092"/>
      <c r="BE6" s="7051"/>
      <c r="BF6" s="7092"/>
      <c r="BG6" s="7051"/>
      <c r="BH6" s="7092"/>
      <c r="BI6" s="7051"/>
      <c r="BJ6" s="7092"/>
      <c r="BK6" s="7051"/>
      <c r="BL6" s="7092"/>
      <c r="BM6" s="499" t="s">
        <v>1687</v>
      </c>
    </row>
    <row customHeight="1" ht="15" hidden="1">
      <c r="A7" s="742"/>
      <c r="B7" s="2554"/>
      <c r="C7" s="2555"/>
      <c r="D7" s="926" t="str">
        <f>B6&amp;".2"</f>
        <v>.2</v>
      </c>
      <c r="E7" s="927" t="s">
        <v>1684</v>
      </c>
      <c r="F7" s="928" t="s">
        <v>368</v>
      </c>
      <c r="G7" s="2053" t="s">
        <v>17</v>
      </c>
      <c r="H7" s="636"/>
      <c r="I7" s="2053" t="s">
        <v>17</v>
      </c>
      <c r="J7" s="636"/>
      <c r="K7" s="7094" t="s">
        <v>17</v>
      </c>
      <c r="L7" s="7092"/>
      <c r="M7" s="7094" t="s">
        <v>17</v>
      </c>
      <c r="N7" s="7092"/>
      <c r="O7" s="7094" t="s">
        <v>17</v>
      </c>
      <c r="P7" s="7092"/>
      <c r="Q7" s="7094" t="s">
        <v>17</v>
      </c>
      <c r="R7" s="7092"/>
      <c r="S7" s="7094" t="s">
        <v>17</v>
      </c>
      <c r="T7" s="7092"/>
      <c r="U7" s="7094" t="s">
        <v>17</v>
      </c>
      <c r="V7" s="7092"/>
      <c r="W7" s="7094" t="s">
        <v>17</v>
      </c>
      <c r="X7" s="7092"/>
      <c r="Y7" s="7094" t="s">
        <v>17</v>
      </c>
      <c r="Z7" s="7092"/>
      <c r="AA7" s="7094" t="s">
        <v>17</v>
      </c>
      <c r="AB7" s="7092"/>
      <c r="AC7" s="7094" t="s">
        <v>17</v>
      </c>
      <c r="AD7" s="7092"/>
      <c r="AE7" s="7094" t="s">
        <v>17</v>
      </c>
      <c r="AF7" s="7092"/>
      <c r="AG7" s="7094" t="s">
        <v>17</v>
      </c>
      <c r="AH7" s="7092"/>
      <c r="AI7" s="7094" t="s">
        <v>17</v>
      </c>
      <c r="AJ7" s="7092"/>
      <c r="AK7" s="7094" t="s">
        <v>17</v>
      </c>
      <c r="AL7" s="7092"/>
      <c r="AM7" s="7094" t="s">
        <v>17</v>
      </c>
      <c r="AN7" s="7092"/>
      <c r="AO7" s="7094" t="s">
        <v>17</v>
      </c>
      <c r="AP7" s="7092"/>
      <c r="AQ7" s="7094" t="s">
        <v>17</v>
      </c>
      <c r="AR7" s="7092"/>
      <c r="AS7" s="7094" t="s">
        <v>17</v>
      </c>
      <c r="AT7" s="7092"/>
      <c r="AU7" s="7094" t="s">
        <v>17</v>
      </c>
      <c r="AV7" s="7092"/>
      <c r="AW7" s="7094" t="s">
        <v>17</v>
      </c>
      <c r="AX7" s="7092"/>
      <c r="AY7" s="7094" t="s">
        <v>17</v>
      </c>
      <c r="AZ7" s="7092"/>
      <c r="BA7" s="7094" t="s">
        <v>17</v>
      </c>
      <c r="BB7" s="7092"/>
      <c r="BC7" s="7094" t="s">
        <v>17</v>
      </c>
      <c r="BD7" s="7092"/>
      <c r="BE7" s="7094" t="s">
        <v>17</v>
      </c>
      <c r="BF7" s="7092"/>
      <c r="BG7" s="7094" t="s">
        <v>17</v>
      </c>
      <c r="BH7" s="7092"/>
      <c r="BI7" s="7094" t="s">
        <v>17</v>
      </c>
      <c r="BJ7" s="7092"/>
      <c r="BK7" s="7094" t="s">
        <v>17</v>
      </c>
      <c r="BL7" s="7092"/>
      <c r="BM7" s="499" t="s">
        <v>1685</v>
      </c>
    </row>
    <row s="11074" customFormat="1" customHeight="1" ht="15" hidden="1">
      <c r="C8" s="909"/>
      <c r="K8" s="6978"/>
      <c r="L8" s="6978"/>
      <c r="M8" s="6978"/>
      <c r="N8" s="6978"/>
      <c r="O8" s="6978"/>
      <c r="P8" s="6978"/>
      <c r="Q8" s="6978"/>
      <c r="R8" s="6978"/>
      <c r="S8" s="6978"/>
      <c r="T8" s="6978"/>
      <c r="U8" s="6978"/>
      <c r="V8" s="6978"/>
      <c r="W8" s="6978"/>
      <c r="X8" s="6978"/>
      <c r="Y8" s="6978"/>
      <c r="Z8" s="6978"/>
      <c r="AA8" s="6978"/>
      <c r="AB8" s="6978"/>
      <c r="AC8" s="6978"/>
      <c r="AD8" s="6978"/>
      <c r="AE8" s="6978"/>
      <c r="AF8" s="6978"/>
      <c r="AG8" s="6978"/>
      <c r="AH8" s="6978"/>
      <c r="AI8" s="6978"/>
      <c r="AJ8" s="6978"/>
      <c r="AK8" s="6978"/>
      <c r="AL8" s="6978"/>
      <c r="AM8" s="6978"/>
      <c r="AN8" s="6978"/>
      <c r="AO8" s="6978"/>
      <c r="AP8" s="6978"/>
      <c r="AQ8" s="6978"/>
      <c r="AR8" s="6978"/>
      <c r="AS8" s="6978"/>
      <c r="AT8" s="6978"/>
      <c r="AU8" s="6978"/>
      <c r="AV8" s="6978"/>
      <c r="AW8" s="6978"/>
      <c r="AX8" s="6978"/>
      <c r="AY8" s="6978"/>
      <c r="AZ8" s="6978"/>
      <c r="BA8" s="6978"/>
      <c r="BB8" s="6978"/>
      <c r="BC8" s="6978"/>
      <c r="BD8" s="6978"/>
      <c r="BE8" s="6978"/>
      <c r="BF8" s="6978"/>
      <c r="BG8" s="6978"/>
      <c r="BH8" s="6978"/>
      <c r="BI8" s="6978"/>
      <c r="BJ8" s="6978"/>
      <c r="BK8" s="6978"/>
      <c r="BL8" s="6978"/>
      <c r="BW8" s="656"/>
    </row>
    <row customHeight="1" ht="22.5" hidden="1">
      <c r="A9" s="742"/>
      <c r="B9" s="2554"/>
      <c r="C9" s="2555"/>
      <c r="D9" s="926" t="str">
        <f>B9&amp;".1"</f>
        <v>.1</v>
      </c>
      <c r="E9" s="927" t="s">
        <v>1688</v>
      </c>
      <c r="F9" s="928" t="s">
        <v>368</v>
      </c>
      <c r="G9" s="934" t="s">
        <v>17</v>
      </c>
      <c r="H9" s="636" t="s">
        <v>17</v>
      </c>
      <c r="I9" s="934" t="s">
        <v>17</v>
      </c>
      <c r="J9" s="636" t="s">
        <v>17</v>
      </c>
      <c r="K9" s="7096" t="s">
        <v>17</v>
      </c>
      <c r="L9" s="7092" t="s">
        <v>17</v>
      </c>
      <c r="M9" s="7096" t="s">
        <v>17</v>
      </c>
      <c r="N9" s="7092" t="s">
        <v>17</v>
      </c>
      <c r="O9" s="7096" t="s">
        <v>17</v>
      </c>
      <c r="P9" s="7092" t="s">
        <v>17</v>
      </c>
      <c r="Q9" s="7096" t="s">
        <v>17</v>
      </c>
      <c r="R9" s="7092" t="s">
        <v>17</v>
      </c>
      <c r="S9" s="7096" t="s">
        <v>17</v>
      </c>
      <c r="T9" s="7092" t="s">
        <v>17</v>
      </c>
      <c r="U9" s="7096" t="s">
        <v>17</v>
      </c>
      <c r="V9" s="7092" t="s">
        <v>17</v>
      </c>
      <c r="W9" s="7096" t="s">
        <v>17</v>
      </c>
      <c r="X9" s="7092" t="s">
        <v>17</v>
      </c>
      <c r="Y9" s="7096" t="s">
        <v>17</v>
      </c>
      <c r="Z9" s="7092" t="s">
        <v>17</v>
      </c>
      <c r="AA9" s="7096" t="s">
        <v>17</v>
      </c>
      <c r="AB9" s="7092" t="s">
        <v>17</v>
      </c>
      <c r="AC9" s="7096" t="s">
        <v>17</v>
      </c>
      <c r="AD9" s="7092" t="s">
        <v>17</v>
      </c>
      <c r="AE9" s="7096" t="s">
        <v>17</v>
      </c>
      <c r="AF9" s="7092" t="s">
        <v>17</v>
      </c>
      <c r="AG9" s="7096" t="s">
        <v>17</v>
      </c>
      <c r="AH9" s="7092" t="s">
        <v>17</v>
      </c>
      <c r="AI9" s="7096" t="s">
        <v>17</v>
      </c>
      <c r="AJ9" s="7092" t="s">
        <v>17</v>
      </c>
      <c r="AK9" s="7096" t="s">
        <v>17</v>
      </c>
      <c r="AL9" s="7092" t="s">
        <v>17</v>
      </c>
      <c r="AM9" s="7096" t="s">
        <v>17</v>
      </c>
      <c r="AN9" s="7092" t="s">
        <v>17</v>
      </c>
      <c r="AO9" s="7096" t="s">
        <v>17</v>
      </c>
      <c r="AP9" s="7092" t="s">
        <v>17</v>
      </c>
      <c r="AQ9" s="7096" t="s">
        <v>17</v>
      </c>
      <c r="AR9" s="7092" t="s">
        <v>17</v>
      </c>
      <c r="AS9" s="7096" t="s">
        <v>17</v>
      </c>
      <c r="AT9" s="7092" t="s">
        <v>17</v>
      </c>
      <c r="AU9" s="7096" t="s">
        <v>17</v>
      </c>
      <c r="AV9" s="7092" t="s">
        <v>17</v>
      </c>
      <c r="AW9" s="7096" t="s">
        <v>17</v>
      </c>
      <c r="AX9" s="7092" t="s">
        <v>17</v>
      </c>
      <c r="AY9" s="7096" t="s">
        <v>17</v>
      </c>
      <c r="AZ9" s="7092" t="s">
        <v>17</v>
      </c>
      <c r="BA9" s="7096" t="s">
        <v>17</v>
      </c>
      <c r="BB9" s="7092" t="s">
        <v>17</v>
      </c>
      <c r="BC9" s="7096" t="s">
        <v>17</v>
      </c>
      <c r="BD9" s="7092" t="s">
        <v>17</v>
      </c>
      <c r="BE9" s="7096" t="s">
        <v>17</v>
      </c>
      <c r="BF9" s="7092" t="s">
        <v>17</v>
      </c>
      <c r="BG9" s="7096" t="s">
        <v>17</v>
      </c>
      <c r="BH9" s="7092" t="s">
        <v>17</v>
      </c>
      <c r="BI9" s="7096" t="s">
        <v>17</v>
      </c>
      <c r="BJ9" s="7092" t="s">
        <v>17</v>
      </c>
      <c r="BK9" s="7096" t="s">
        <v>17</v>
      </c>
      <c r="BL9" s="7092" t="s">
        <v>17</v>
      </c>
      <c r="BM9" s="499"/>
    </row>
    <row customHeight="1" ht="15" hidden="1">
      <c r="A10" s="742"/>
      <c r="B10" s="2554"/>
      <c r="C10" s="2555"/>
      <c r="D10" s="926" t="str">
        <f>B9&amp;".2"</f>
        <v>.2</v>
      </c>
      <c r="E10" s="927" t="s">
        <v>1689</v>
      </c>
      <c r="F10" s="928" t="s">
        <v>368</v>
      </c>
      <c r="G10" s="2047" t="s">
        <v>17</v>
      </c>
      <c r="H10" s="636" t="s">
        <v>17</v>
      </c>
      <c r="I10" s="2047" t="s">
        <v>17</v>
      </c>
      <c r="J10" s="636" t="s">
        <v>17</v>
      </c>
      <c r="K10" s="7097" t="s">
        <v>17</v>
      </c>
      <c r="L10" s="7092" t="s">
        <v>17</v>
      </c>
      <c r="M10" s="7097" t="s">
        <v>17</v>
      </c>
      <c r="N10" s="7092" t="s">
        <v>17</v>
      </c>
      <c r="O10" s="7097" t="s">
        <v>17</v>
      </c>
      <c r="P10" s="7092" t="s">
        <v>17</v>
      </c>
      <c r="Q10" s="7097" t="s">
        <v>17</v>
      </c>
      <c r="R10" s="7092" t="s">
        <v>17</v>
      </c>
      <c r="S10" s="7097" t="s">
        <v>17</v>
      </c>
      <c r="T10" s="7092" t="s">
        <v>17</v>
      </c>
      <c r="U10" s="7097" t="s">
        <v>17</v>
      </c>
      <c r="V10" s="7092" t="s">
        <v>17</v>
      </c>
      <c r="W10" s="7097" t="s">
        <v>17</v>
      </c>
      <c r="X10" s="7092" t="s">
        <v>17</v>
      </c>
      <c r="Y10" s="7097" t="s">
        <v>17</v>
      </c>
      <c r="Z10" s="7092" t="s">
        <v>17</v>
      </c>
      <c r="AA10" s="7097" t="s">
        <v>17</v>
      </c>
      <c r="AB10" s="7092" t="s">
        <v>17</v>
      </c>
      <c r="AC10" s="7097" t="s">
        <v>17</v>
      </c>
      <c r="AD10" s="7092" t="s">
        <v>17</v>
      </c>
      <c r="AE10" s="7097" t="s">
        <v>17</v>
      </c>
      <c r="AF10" s="7092" t="s">
        <v>17</v>
      </c>
      <c r="AG10" s="7097" t="s">
        <v>17</v>
      </c>
      <c r="AH10" s="7092" t="s">
        <v>17</v>
      </c>
      <c r="AI10" s="7097" t="s">
        <v>17</v>
      </c>
      <c r="AJ10" s="7092" t="s">
        <v>17</v>
      </c>
      <c r="AK10" s="7097" t="s">
        <v>17</v>
      </c>
      <c r="AL10" s="7092" t="s">
        <v>17</v>
      </c>
      <c r="AM10" s="7097" t="s">
        <v>17</v>
      </c>
      <c r="AN10" s="7092" t="s">
        <v>17</v>
      </c>
      <c r="AO10" s="7097" t="s">
        <v>17</v>
      </c>
      <c r="AP10" s="7092" t="s">
        <v>17</v>
      </c>
      <c r="AQ10" s="7097" t="s">
        <v>17</v>
      </c>
      <c r="AR10" s="7092" t="s">
        <v>17</v>
      </c>
      <c r="AS10" s="7097" t="s">
        <v>17</v>
      </c>
      <c r="AT10" s="7092" t="s">
        <v>17</v>
      </c>
      <c r="AU10" s="7097" t="s">
        <v>17</v>
      </c>
      <c r="AV10" s="7092" t="s">
        <v>17</v>
      </c>
      <c r="AW10" s="7097" t="s">
        <v>17</v>
      </c>
      <c r="AX10" s="7092" t="s">
        <v>17</v>
      </c>
      <c r="AY10" s="7097" t="s">
        <v>17</v>
      </c>
      <c r="AZ10" s="7092" t="s">
        <v>17</v>
      </c>
      <c r="BA10" s="7097" t="s">
        <v>17</v>
      </c>
      <c r="BB10" s="7092" t="s">
        <v>17</v>
      </c>
      <c r="BC10" s="7097" t="s">
        <v>17</v>
      </c>
      <c r="BD10" s="7092" t="s">
        <v>17</v>
      </c>
      <c r="BE10" s="7097" t="s">
        <v>17</v>
      </c>
      <c r="BF10" s="7092" t="s">
        <v>17</v>
      </c>
      <c r="BG10" s="7097" t="s">
        <v>17</v>
      </c>
      <c r="BH10" s="7092" t="s">
        <v>17</v>
      </c>
      <c r="BI10" s="7097" t="s">
        <v>17</v>
      </c>
      <c r="BJ10" s="7092" t="s">
        <v>17</v>
      </c>
      <c r="BK10" s="7097" t="s">
        <v>17</v>
      </c>
      <c r="BL10" s="7092" t="s">
        <v>17</v>
      </c>
      <c r="BM10" s="499" t="s">
        <v>1690</v>
      </c>
    </row>
    <row customHeight="1" ht="15" hidden="1">
      <c r="A11" s="742"/>
      <c r="B11" s="2554"/>
      <c r="C11" s="2555"/>
      <c r="D11" s="926" t="str">
        <f>B9&amp;".3"</f>
        <v>.3</v>
      </c>
      <c r="E11" s="927" t="s">
        <v>1691</v>
      </c>
      <c r="F11" s="928" t="s">
        <v>368</v>
      </c>
      <c r="G11" s="2047" t="s">
        <v>17</v>
      </c>
      <c r="H11" s="636" t="s">
        <v>17</v>
      </c>
      <c r="I11" s="2047" t="s">
        <v>17</v>
      </c>
      <c r="J11" s="636" t="s">
        <v>17</v>
      </c>
      <c r="K11" s="7097" t="s">
        <v>17</v>
      </c>
      <c r="L11" s="7092" t="s">
        <v>17</v>
      </c>
      <c r="M11" s="7097" t="s">
        <v>17</v>
      </c>
      <c r="N11" s="7092" t="s">
        <v>17</v>
      </c>
      <c r="O11" s="7097" t="s">
        <v>17</v>
      </c>
      <c r="P11" s="7092" t="s">
        <v>17</v>
      </c>
      <c r="Q11" s="7097" t="s">
        <v>17</v>
      </c>
      <c r="R11" s="7092" t="s">
        <v>17</v>
      </c>
      <c r="S11" s="7097" t="s">
        <v>17</v>
      </c>
      <c r="T11" s="7092" t="s">
        <v>17</v>
      </c>
      <c r="U11" s="7097" t="s">
        <v>17</v>
      </c>
      <c r="V11" s="7092" t="s">
        <v>17</v>
      </c>
      <c r="W11" s="7097" t="s">
        <v>17</v>
      </c>
      <c r="X11" s="7092" t="s">
        <v>17</v>
      </c>
      <c r="Y11" s="7097" t="s">
        <v>17</v>
      </c>
      <c r="Z11" s="7092" t="s">
        <v>17</v>
      </c>
      <c r="AA11" s="7097" t="s">
        <v>17</v>
      </c>
      <c r="AB11" s="7092" t="s">
        <v>17</v>
      </c>
      <c r="AC11" s="7097" t="s">
        <v>17</v>
      </c>
      <c r="AD11" s="7092" t="s">
        <v>17</v>
      </c>
      <c r="AE11" s="7097" t="s">
        <v>17</v>
      </c>
      <c r="AF11" s="7092" t="s">
        <v>17</v>
      </c>
      <c r="AG11" s="7097" t="s">
        <v>17</v>
      </c>
      <c r="AH11" s="7092" t="s">
        <v>17</v>
      </c>
      <c r="AI11" s="7097" t="s">
        <v>17</v>
      </c>
      <c r="AJ11" s="7092" t="s">
        <v>17</v>
      </c>
      <c r="AK11" s="7097" t="s">
        <v>17</v>
      </c>
      <c r="AL11" s="7092" t="s">
        <v>17</v>
      </c>
      <c r="AM11" s="7097" t="s">
        <v>17</v>
      </c>
      <c r="AN11" s="7092" t="s">
        <v>17</v>
      </c>
      <c r="AO11" s="7097" t="s">
        <v>17</v>
      </c>
      <c r="AP11" s="7092" t="s">
        <v>17</v>
      </c>
      <c r="AQ11" s="7097" t="s">
        <v>17</v>
      </c>
      <c r="AR11" s="7092" t="s">
        <v>17</v>
      </c>
      <c r="AS11" s="7097" t="s">
        <v>17</v>
      </c>
      <c r="AT11" s="7092" t="s">
        <v>17</v>
      </c>
      <c r="AU11" s="7097" t="s">
        <v>17</v>
      </c>
      <c r="AV11" s="7092" t="s">
        <v>17</v>
      </c>
      <c r="AW11" s="7097" t="s">
        <v>17</v>
      </c>
      <c r="AX11" s="7092" t="s">
        <v>17</v>
      </c>
      <c r="AY11" s="7097" t="s">
        <v>17</v>
      </c>
      <c r="AZ11" s="7092" t="s">
        <v>17</v>
      </c>
      <c r="BA11" s="7097" t="s">
        <v>17</v>
      </c>
      <c r="BB11" s="7092" t="s">
        <v>17</v>
      </c>
      <c r="BC11" s="7097" t="s">
        <v>17</v>
      </c>
      <c r="BD11" s="7092" t="s">
        <v>17</v>
      </c>
      <c r="BE11" s="7097" t="s">
        <v>17</v>
      </c>
      <c r="BF11" s="7092" t="s">
        <v>17</v>
      </c>
      <c r="BG11" s="7097" t="s">
        <v>17</v>
      </c>
      <c r="BH11" s="7092" t="s">
        <v>17</v>
      </c>
      <c r="BI11" s="7097" t="s">
        <v>17</v>
      </c>
      <c r="BJ11" s="7092" t="s">
        <v>17</v>
      </c>
      <c r="BK11" s="7097" t="s">
        <v>17</v>
      </c>
      <c r="BL11" s="7092" t="s">
        <v>17</v>
      </c>
      <c r="BM11" s="499" t="s">
        <v>1692</v>
      </c>
    </row>
    <row s="11074" customFormat="1" customHeight="1" ht="15" hidden="1">
      <c r="C12" s="909"/>
      <c r="K12" s="6978"/>
      <c r="L12" s="6978"/>
      <c r="M12" s="6978"/>
      <c r="N12" s="6978"/>
      <c r="O12" s="6978"/>
      <c r="P12" s="6978"/>
      <c r="Q12" s="6978"/>
      <c r="R12" s="6978"/>
      <c r="S12" s="6978"/>
      <c r="T12" s="6978"/>
      <c r="U12" s="6978"/>
      <c r="V12" s="6978"/>
      <c r="W12" s="6978"/>
      <c r="X12" s="6978"/>
      <c r="Y12" s="6978"/>
      <c r="Z12" s="6978"/>
      <c r="AA12" s="6978"/>
      <c r="AB12" s="6978"/>
      <c r="AC12" s="6978"/>
      <c r="AD12" s="6978"/>
      <c r="AE12" s="6978"/>
      <c r="AF12" s="6978"/>
      <c r="AG12" s="6978"/>
      <c r="AH12" s="6978"/>
      <c r="AI12" s="6978"/>
      <c r="AJ12" s="6978"/>
      <c r="AK12" s="6978"/>
      <c r="AL12" s="6978"/>
      <c r="AM12" s="6978"/>
      <c r="AN12" s="6978"/>
      <c r="AO12" s="6978"/>
      <c r="AP12" s="6978"/>
      <c r="AQ12" s="6978"/>
      <c r="AR12" s="6978"/>
      <c r="AS12" s="6978"/>
      <c r="AT12" s="6978"/>
      <c r="AU12" s="6978"/>
      <c r="AV12" s="6978"/>
      <c r="AW12" s="6978"/>
      <c r="AX12" s="6978"/>
      <c r="AY12" s="6978"/>
      <c r="AZ12" s="6978"/>
      <c r="BA12" s="6978"/>
      <c r="BB12" s="6978"/>
      <c r="BC12" s="6978"/>
      <c r="BD12" s="6978"/>
      <c r="BE12" s="6978"/>
      <c r="BF12" s="6978"/>
      <c r="BG12" s="6978"/>
      <c r="BH12" s="6978"/>
      <c r="BI12" s="6978"/>
      <c r="BJ12" s="6978"/>
      <c r="BK12" s="6978"/>
      <c r="BL12" s="6978"/>
      <c r="BW12" s="656"/>
    </row>
    <row customHeight="1" ht="33.75" hidden="1">
      <c r="A13" s="742"/>
      <c r="B13" s="2554"/>
      <c r="C13" s="2555"/>
      <c r="D13" s="926" t="str">
        <f>B13&amp;".1"</f>
        <v>.1</v>
      </c>
      <c r="E13" s="927" t="s">
        <v>1693</v>
      </c>
      <c r="F13" s="928" t="s">
        <v>368</v>
      </c>
      <c r="G13" s="934" t="s">
        <v>17</v>
      </c>
      <c r="H13" s="636" t="s">
        <v>17</v>
      </c>
      <c r="I13" s="934" t="s">
        <v>17</v>
      </c>
      <c r="J13" s="636" t="s">
        <v>17</v>
      </c>
      <c r="K13" s="7096" t="s">
        <v>17</v>
      </c>
      <c r="L13" s="7092" t="s">
        <v>17</v>
      </c>
      <c r="M13" s="7096" t="s">
        <v>17</v>
      </c>
      <c r="N13" s="7092" t="s">
        <v>17</v>
      </c>
      <c r="O13" s="7096" t="s">
        <v>17</v>
      </c>
      <c r="P13" s="7092" t="s">
        <v>17</v>
      </c>
      <c r="Q13" s="7096" t="s">
        <v>17</v>
      </c>
      <c r="R13" s="7092" t="s">
        <v>17</v>
      </c>
      <c r="S13" s="7096" t="s">
        <v>17</v>
      </c>
      <c r="T13" s="7092" t="s">
        <v>17</v>
      </c>
      <c r="U13" s="7096" t="s">
        <v>17</v>
      </c>
      <c r="V13" s="7092" t="s">
        <v>17</v>
      </c>
      <c r="W13" s="7096" t="s">
        <v>17</v>
      </c>
      <c r="X13" s="7092" t="s">
        <v>17</v>
      </c>
      <c r="Y13" s="7096" t="s">
        <v>17</v>
      </c>
      <c r="Z13" s="7092" t="s">
        <v>17</v>
      </c>
      <c r="AA13" s="7096" t="s">
        <v>17</v>
      </c>
      <c r="AB13" s="7092" t="s">
        <v>17</v>
      </c>
      <c r="AC13" s="7096" t="s">
        <v>17</v>
      </c>
      <c r="AD13" s="7092" t="s">
        <v>17</v>
      </c>
      <c r="AE13" s="7096" t="s">
        <v>17</v>
      </c>
      <c r="AF13" s="7092" t="s">
        <v>17</v>
      </c>
      <c r="AG13" s="7096" t="s">
        <v>17</v>
      </c>
      <c r="AH13" s="7092" t="s">
        <v>17</v>
      </c>
      <c r="AI13" s="7096" t="s">
        <v>17</v>
      </c>
      <c r="AJ13" s="7092" t="s">
        <v>17</v>
      </c>
      <c r="AK13" s="7096" t="s">
        <v>17</v>
      </c>
      <c r="AL13" s="7092" t="s">
        <v>17</v>
      </c>
      <c r="AM13" s="7096" t="s">
        <v>17</v>
      </c>
      <c r="AN13" s="7092" t="s">
        <v>17</v>
      </c>
      <c r="AO13" s="7096" t="s">
        <v>17</v>
      </c>
      <c r="AP13" s="7092" t="s">
        <v>17</v>
      </c>
      <c r="AQ13" s="7096" t="s">
        <v>17</v>
      </c>
      <c r="AR13" s="7092" t="s">
        <v>17</v>
      </c>
      <c r="AS13" s="7096" t="s">
        <v>17</v>
      </c>
      <c r="AT13" s="7092" t="s">
        <v>17</v>
      </c>
      <c r="AU13" s="7096" t="s">
        <v>17</v>
      </c>
      <c r="AV13" s="7092" t="s">
        <v>17</v>
      </c>
      <c r="AW13" s="7096" t="s">
        <v>17</v>
      </c>
      <c r="AX13" s="7092" t="s">
        <v>17</v>
      </c>
      <c r="AY13" s="7096" t="s">
        <v>17</v>
      </c>
      <c r="AZ13" s="7092" t="s">
        <v>17</v>
      </c>
      <c r="BA13" s="7096" t="s">
        <v>17</v>
      </c>
      <c r="BB13" s="7092" t="s">
        <v>17</v>
      </c>
      <c r="BC13" s="7096" t="s">
        <v>17</v>
      </c>
      <c r="BD13" s="7092" t="s">
        <v>17</v>
      </c>
      <c r="BE13" s="7096" t="s">
        <v>17</v>
      </c>
      <c r="BF13" s="7092" t="s">
        <v>17</v>
      </c>
      <c r="BG13" s="7096" t="s">
        <v>17</v>
      </c>
      <c r="BH13" s="7092" t="s">
        <v>17</v>
      </c>
      <c r="BI13" s="7096" t="s">
        <v>17</v>
      </c>
      <c r="BJ13" s="7092" t="s">
        <v>17</v>
      </c>
      <c r="BK13" s="7096" t="s">
        <v>17</v>
      </c>
      <c r="BL13" s="7092" t="s">
        <v>17</v>
      </c>
      <c r="BM13" s="499" t="s">
        <v>1694</v>
      </c>
    </row>
    <row customHeight="1" ht="15" hidden="1">
      <c r="B14" s="2554"/>
      <c r="C14" s="2555"/>
      <c r="D14" s="926" t="str">
        <f>B13&amp;".2"</f>
        <v>.2</v>
      </c>
      <c r="E14" s="927" t="s">
        <v>1695</v>
      </c>
      <c r="F14" s="928" t="s">
        <v>368</v>
      </c>
      <c r="G14" s="2047" t="s">
        <v>17</v>
      </c>
      <c r="H14" s="636" t="s">
        <v>17</v>
      </c>
      <c r="I14" s="2047" t="s">
        <v>17</v>
      </c>
      <c r="J14" s="636" t="s">
        <v>17</v>
      </c>
      <c r="K14" s="7097" t="s">
        <v>17</v>
      </c>
      <c r="L14" s="7092" t="s">
        <v>17</v>
      </c>
      <c r="M14" s="7097" t="s">
        <v>17</v>
      </c>
      <c r="N14" s="7092" t="s">
        <v>17</v>
      </c>
      <c r="O14" s="7097" t="s">
        <v>17</v>
      </c>
      <c r="P14" s="7092" t="s">
        <v>17</v>
      </c>
      <c r="Q14" s="7097" t="s">
        <v>17</v>
      </c>
      <c r="R14" s="7092" t="s">
        <v>17</v>
      </c>
      <c r="S14" s="7097" t="s">
        <v>17</v>
      </c>
      <c r="T14" s="7092" t="s">
        <v>17</v>
      </c>
      <c r="U14" s="7097" t="s">
        <v>17</v>
      </c>
      <c r="V14" s="7092" t="s">
        <v>17</v>
      </c>
      <c r="W14" s="7097" t="s">
        <v>17</v>
      </c>
      <c r="X14" s="7092" t="s">
        <v>17</v>
      </c>
      <c r="Y14" s="7097" t="s">
        <v>17</v>
      </c>
      <c r="Z14" s="7092" t="s">
        <v>17</v>
      </c>
      <c r="AA14" s="7097" t="s">
        <v>17</v>
      </c>
      <c r="AB14" s="7092" t="s">
        <v>17</v>
      </c>
      <c r="AC14" s="7097" t="s">
        <v>17</v>
      </c>
      <c r="AD14" s="7092" t="s">
        <v>17</v>
      </c>
      <c r="AE14" s="7097" t="s">
        <v>17</v>
      </c>
      <c r="AF14" s="7092" t="s">
        <v>17</v>
      </c>
      <c r="AG14" s="7097" t="s">
        <v>17</v>
      </c>
      <c r="AH14" s="7092" t="s">
        <v>17</v>
      </c>
      <c r="AI14" s="7097" t="s">
        <v>17</v>
      </c>
      <c r="AJ14" s="7092" t="s">
        <v>17</v>
      </c>
      <c r="AK14" s="7097" t="s">
        <v>17</v>
      </c>
      <c r="AL14" s="7092" t="s">
        <v>17</v>
      </c>
      <c r="AM14" s="7097" t="s">
        <v>17</v>
      </c>
      <c r="AN14" s="7092" t="s">
        <v>17</v>
      </c>
      <c r="AO14" s="7097" t="s">
        <v>17</v>
      </c>
      <c r="AP14" s="7092" t="s">
        <v>17</v>
      </c>
      <c r="AQ14" s="7097" t="s">
        <v>17</v>
      </c>
      <c r="AR14" s="7092" t="s">
        <v>17</v>
      </c>
      <c r="AS14" s="7097" t="s">
        <v>17</v>
      </c>
      <c r="AT14" s="7092" t="s">
        <v>17</v>
      </c>
      <c r="AU14" s="7097" t="s">
        <v>17</v>
      </c>
      <c r="AV14" s="7092" t="s">
        <v>17</v>
      </c>
      <c r="AW14" s="7097" t="s">
        <v>17</v>
      </c>
      <c r="AX14" s="7092" t="s">
        <v>17</v>
      </c>
      <c r="AY14" s="7097" t="s">
        <v>17</v>
      </c>
      <c r="AZ14" s="7092" t="s">
        <v>17</v>
      </c>
      <c r="BA14" s="7097" t="s">
        <v>17</v>
      </c>
      <c r="BB14" s="7092" t="s">
        <v>17</v>
      </c>
      <c r="BC14" s="7097" t="s">
        <v>17</v>
      </c>
      <c r="BD14" s="7092" t="s">
        <v>17</v>
      </c>
      <c r="BE14" s="7097" t="s">
        <v>17</v>
      </c>
      <c r="BF14" s="7092" t="s">
        <v>17</v>
      </c>
      <c r="BG14" s="7097" t="s">
        <v>17</v>
      </c>
      <c r="BH14" s="7092" t="s">
        <v>17</v>
      </c>
      <c r="BI14" s="7097" t="s">
        <v>17</v>
      </c>
      <c r="BJ14" s="7092" t="s">
        <v>17</v>
      </c>
      <c r="BK14" s="7097" t="s">
        <v>17</v>
      </c>
      <c r="BL14" s="7092" t="s">
        <v>17</v>
      </c>
      <c r="BM14" s="499" t="s">
        <v>1696</v>
      </c>
    </row>
    <row s="11074" customFormat="1" customHeight="1" ht="15" hidden="1">
      <c r="C15" s="909"/>
      <c r="K15" s="6978"/>
      <c r="L15" s="6978"/>
      <c r="M15" s="6978"/>
      <c r="N15" s="6978"/>
      <c r="O15" s="6978"/>
      <c r="P15" s="6978"/>
      <c r="Q15" s="6978"/>
      <c r="R15" s="6978"/>
      <c r="S15" s="6978"/>
      <c r="T15" s="6978"/>
      <c r="U15" s="6978"/>
      <c r="V15" s="6978"/>
      <c r="W15" s="6978"/>
      <c r="X15" s="6978"/>
      <c r="Y15" s="6978"/>
      <c r="Z15" s="6978"/>
      <c r="AA15" s="6978"/>
      <c r="AB15" s="6978"/>
      <c r="AC15" s="6978"/>
      <c r="AD15" s="6978"/>
      <c r="AE15" s="6978"/>
      <c r="AF15" s="6978"/>
      <c r="AG15" s="6978"/>
      <c r="AH15" s="6978"/>
      <c r="AI15" s="6978"/>
      <c r="AJ15" s="6978"/>
      <c r="AK15" s="6978"/>
      <c r="AL15" s="6978"/>
      <c r="AM15" s="6978"/>
      <c r="AN15" s="6978"/>
      <c r="AO15" s="6978"/>
      <c r="AP15" s="6978"/>
      <c r="AQ15" s="6978"/>
      <c r="AR15" s="6978"/>
      <c r="AS15" s="6978"/>
      <c r="AT15" s="6978"/>
      <c r="AU15" s="6978"/>
      <c r="AV15" s="6978"/>
      <c r="AW15" s="6978"/>
      <c r="AX15" s="6978"/>
      <c r="AY15" s="6978"/>
      <c r="AZ15" s="6978"/>
      <c r="BA15" s="6978"/>
      <c r="BB15" s="6978"/>
      <c r="BC15" s="6978"/>
      <c r="BD15" s="6978"/>
      <c r="BE15" s="6978"/>
      <c r="BF15" s="6978"/>
      <c r="BG15" s="6978"/>
      <c r="BH15" s="6978"/>
      <c r="BI15" s="6978"/>
      <c r="BJ15" s="6978"/>
      <c r="BK15" s="6978"/>
      <c r="BL15" s="6978"/>
      <c r="BW15" s="656"/>
    </row>
    <row s="11074" customFormat="1" customHeight="1" ht="15" hidden="1">
      <c r="C16" s="909"/>
      <c r="K16" s="6978"/>
      <c r="L16" s="6978"/>
      <c r="M16" s="6978"/>
      <c r="N16" s="6978"/>
      <c r="O16" s="6978"/>
      <c r="P16" s="6978"/>
      <c r="Q16" s="6978"/>
      <c r="R16" s="6978"/>
      <c r="S16" s="6978"/>
      <c r="T16" s="6978"/>
      <c r="U16" s="6978"/>
      <c r="V16" s="6978"/>
      <c r="W16" s="6978"/>
      <c r="X16" s="6978"/>
      <c r="Y16" s="6978"/>
      <c r="Z16" s="6978"/>
      <c r="AA16" s="6978"/>
      <c r="AB16" s="6978"/>
      <c r="AC16" s="6978"/>
      <c r="AD16" s="6978"/>
      <c r="AE16" s="6978"/>
      <c r="AF16" s="6978"/>
      <c r="AG16" s="6978"/>
      <c r="AH16" s="6978"/>
      <c r="AI16" s="6978"/>
      <c r="AJ16" s="6978"/>
      <c r="AK16" s="6978"/>
      <c r="AL16" s="6978"/>
      <c r="AM16" s="6978"/>
      <c r="AN16" s="6978"/>
      <c r="AO16" s="6978"/>
      <c r="AP16" s="6978"/>
      <c r="AQ16" s="6978"/>
      <c r="AR16" s="6978"/>
      <c r="AS16" s="6978"/>
      <c r="AT16" s="6978"/>
      <c r="AU16" s="6978"/>
      <c r="AV16" s="6978"/>
      <c r="AW16" s="6978"/>
      <c r="AX16" s="6978"/>
      <c r="AY16" s="6978"/>
      <c r="AZ16" s="6978"/>
      <c r="BA16" s="6978"/>
      <c r="BB16" s="6978"/>
      <c r="BC16" s="6978"/>
      <c r="BD16" s="6978"/>
      <c r="BE16" s="6978"/>
      <c r="BF16" s="6978"/>
      <c r="BG16" s="6978"/>
      <c r="BH16" s="6978"/>
      <c r="BI16" s="6978"/>
      <c r="BJ16" s="6978"/>
      <c r="BK16" s="6978"/>
      <c r="BL16" s="6978"/>
      <c r="BW16" s="656"/>
    </row>
    <row s="11074" customFormat="1" customHeight="1" ht="15" hidden="1">
      <c r="C17" s="909"/>
      <c r="K17" s="6978"/>
      <c r="L17" s="6978"/>
      <c r="M17" s="6978"/>
      <c r="N17" s="6978"/>
      <c r="O17" s="6978"/>
      <c r="P17" s="6978"/>
      <c r="Q17" s="6978"/>
      <c r="R17" s="6978"/>
      <c r="S17" s="6978"/>
      <c r="T17" s="6978"/>
      <c r="U17" s="6978"/>
      <c r="V17" s="6978"/>
      <c r="W17" s="6978"/>
      <c r="X17" s="6978"/>
      <c r="Y17" s="6978"/>
      <c r="Z17" s="6978"/>
      <c r="AA17" s="6978"/>
      <c r="AB17" s="6978"/>
      <c r="AC17" s="6978"/>
      <c r="AD17" s="6978"/>
      <c r="AE17" s="6978"/>
      <c r="AF17" s="6978"/>
      <c r="AG17" s="6978"/>
      <c r="AH17" s="6978"/>
      <c r="AI17" s="6978"/>
      <c r="AJ17" s="6978"/>
      <c r="AK17" s="6978"/>
      <c r="AL17" s="6978"/>
      <c r="AM17" s="6978"/>
      <c r="AN17" s="6978"/>
      <c r="AO17" s="6978"/>
      <c r="AP17" s="6978"/>
      <c r="AQ17" s="6978"/>
      <c r="AR17" s="6978"/>
      <c r="AS17" s="6978"/>
      <c r="AT17" s="6978"/>
      <c r="AU17" s="6978"/>
      <c r="AV17" s="6978"/>
      <c r="AW17" s="6978"/>
      <c r="AX17" s="6978"/>
      <c r="AY17" s="6978"/>
      <c r="AZ17" s="6978"/>
      <c r="BA17" s="6978"/>
      <c r="BB17" s="6978"/>
      <c r="BC17" s="6978"/>
      <c r="BD17" s="6978"/>
      <c r="BE17" s="6978"/>
      <c r="BF17" s="6978"/>
      <c r="BG17" s="6978"/>
      <c r="BH17" s="6978"/>
      <c r="BI17" s="6978"/>
      <c r="BJ17" s="6978"/>
      <c r="BK17" s="6978"/>
      <c r="BL17" s="6978"/>
      <c r="BW17" s="656"/>
    </row>
    <row s="11074" customFormat="1" customHeight="1" ht="15" hidden="1">
      <c r="C18" s="909"/>
      <c r="K18" s="6978"/>
      <c r="L18" s="6978"/>
      <c r="M18" s="6978"/>
      <c r="N18" s="6978"/>
      <c r="O18" s="6978"/>
      <c r="P18" s="6978"/>
      <c r="Q18" s="6978"/>
      <c r="R18" s="6978"/>
      <c r="S18" s="6978"/>
      <c r="T18" s="6978"/>
      <c r="U18" s="6978"/>
      <c r="V18" s="6978"/>
      <c r="W18" s="6978"/>
      <c r="X18" s="6978"/>
      <c r="Y18" s="6978"/>
      <c r="Z18" s="6978"/>
      <c r="AA18" s="6978"/>
      <c r="AB18" s="6978"/>
      <c r="AC18" s="6978"/>
      <c r="AD18" s="6978"/>
      <c r="AE18" s="6978"/>
      <c r="AF18" s="6978"/>
      <c r="AG18" s="6978"/>
      <c r="AH18" s="6978"/>
      <c r="AI18" s="6978"/>
      <c r="AJ18" s="6978"/>
      <c r="AK18" s="6978"/>
      <c r="AL18" s="6978"/>
      <c r="AM18" s="6978"/>
      <c r="AN18" s="6978"/>
      <c r="AO18" s="6978"/>
      <c r="AP18" s="6978"/>
      <c r="AQ18" s="6978"/>
      <c r="AR18" s="6978"/>
      <c r="AS18" s="6978"/>
      <c r="AT18" s="6978"/>
      <c r="AU18" s="6978"/>
      <c r="AV18" s="6978"/>
      <c r="AW18" s="6978"/>
      <c r="AX18" s="6978"/>
      <c r="AY18" s="6978"/>
      <c r="AZ18" s="6978"/>
      <c r="BA18" s="6978"/>
      <c r="BB18" s="6978"/>
      <c r="BC18" s="6978"/>
      <c r="BD18" s="6978"/>
      <c r="BE18" s="6978"/>
      <c r="BF18" s="6978"/>
      <c r="BG18" s="6978"/>
      <c r="BH18" s="6978"/>
      <c r="BI18" s="6978"/>
      <c r="BJ18" s="6978"/>
      <c r="BK18" s="6978"/>
      <c r="BL18" s="6978"/>
      <c r="BW18" s="656"/>
    </row>
    <row s="11074" customFormat="1" customHeight="1" ht="15" hidden="1">
      <c r="C19" s="909"/>
      <c r="K19" s="6978"/>
      <c r="L19" s="6978"/>
      <c r="M19" s="6978"/>
      <c r="N19" s="6978"/>
      <c r="O19" s="6978"/>
      <c r="P19" s="6978"/>
      <c r="Q19" s="6978"/>
      <c r="R19" s="6978"/>
      <c r="S19" s="6978"/>
      <c r="T19" s="6978"/>
      <c r="U19" s="6978"/>
      <c r="V19" s="6978"/>
      <c r="W19" s="6978"/>
      <c r="X19" s="6978"/>
      <c r="Y19" s="6978"/>
      <c r="Z19" s="6978"/>
      <c r="AA19" s="6978"/>
      <c r="AB19" s="6978"/>
      <c r="AC19" s="6978"/>
      <c r="AD19" s="6978"/>
      <c r="AE19" s="6978"/>
      <c r="AF19" s="6978"/>
      <c r="AG19" s="6978"/>
      <c r="AH19" s="6978"/>
      <c r="AI19" s="6978"/>
      <c r="AJ19" s="6978"/>
      <c r="AK19" s="6978"/>
      <c r="AL19" s="6978"/>
      <c r="AM19" s="6978"/>
      <c r="AN19" s="6978"/>
      <c r="AO19" s="6978"/>
      <c r="AP19" s="6978"/>
      <c r="AQ19" s="6978"/>
      <c r="AR19" s="6978"/>
      <c r="AS19" s="6978"/>
      <c r="AT19" s="6978"/>
      <c r="AU19" s="6978"/>
      <c r="AV19" s="6978"/>
      <c r="AW19" s="6978"/>
      <c r="AX19" s="6978"/>
      <c r="AY19" s="6978"/>
      <c r="AZ19" s="6978"/>
      <c r="BA19" s="6978"/>
      <c r="BB19" s="6978"/>
      <c r="BC19" s="6978"/>
      <c r="BD19" s="6978"/>
      <c r="BE19" s="6978"/>
      <c r="BF19" s="6978"/>
      <c r="BG19" s="6978"/>
      <c r="BH19" s="6978"/>
      <c r="BI19" s="6978"/>
      <c r="BJ19" s="6978"/>
      <c r="BK19" s="6978"/>
      <c r="BL19" s="6978"/>
      <c r="BW19" s="656"/>
    </row>
    <row s="11074" customFormat="1" customHeight="1" ht="15" hidden="1">
      <c r="C20" s="909"/>
      <c r="K20" s="6978"/>
      <c r="L20" s="6978"/>
      <c r="M20" s="6978"/>
      <c r="N20" s="6978"/>
      <c r="O20" s="6978"/>
      <c r="P20" s="6978"/>
      <c r="Q20" s="6978"/>
      <c r="R20" s="6978"/>
      <c r="S20" s="6978"/>
      <c r="T20" s="6978"/>
      <c r="U20" s="6978"/>
      <c r="V20" s="6978"/>
      <c r="W20" s="6978"/>
      <c r="X20" s="6978"/>
      <c r="Y20" s="6978"/>
      <c r="Z20" s="6978"/>
      <c r="AA20" s="6978"/>
      <c r="AB20" s="6978"/>
      <c r="AC20" s="6978"/>
      <c r="AD20" s="6978"/>
      <c r="AE20" s="6978"/>
      <c r="AF20" s="6978"/>
      <c r="AG20" s="6978"/>
      <c r="AH20" s="6978"/>
      <c r="AI20" s="6978"/>
      <c r="AJ20" s="6978"/>
      <c r="AK20" s="6978"/>
      <c r="AL20" s="6978"/>
      <c r="AM20" s="6978"/>
      <c r="AN20" s="6978"/>
      <c r="AO20" s="6978"/>
      <c r="AP20" s="6978"/>
      <c r="AQ20" s="6978"/>
      <c r="AR20" s="6978"/>
      <c r="AS20" s="6978"/>
      <c r="AT20" s="6978"/>
      <c r="AU20" s="6978"/>
      <c r="AV20" s="6978"/>
      <c r="AW20" s="6978"/>
      <c r="AX20" s="6978"/>
      <c r="AY20" s="6978"/>
      <c r="AZ20" s="6978"/>
      <c r="BA20" s="6978"/>
      <c r="BB20" s="6978"/>
      <c r="BC20" s="6978"/>
      <c r="BD20" s="6978"/>
      <c r="BE20" s="6978"/>
      <c r="BF20" s="6978"/>
      <c r="BG20" s="6978"/>
      <c r="BH20" s="6978"/>
      <c r="BI20" s="6978"/>
      <c r="BJ20" s="6978"/>
      <c r="BK20" s="6978"/>
      <c r="BL20" s="6978"/>
      <c r="BW20" s="656"/>
    </row>
    <row customHeight="1" ht="15">
      <c r="C21" s="384"/>
      <c r="D21" s="746"/>
      <c r="E21" s="746"/>
      <c r="F21" s="746"/>
      <c r="G21" s="746"/>
      <c r="H21" s="746"/>
      <c r="I21" s="746"/>
      <c r="J21" s="746"/>
      <c r="K21" s="6985"/>
      <c r="L21" s="6985"/>
      <c r="M21" s="6985"/>
      <c r="N21" s="6985"/>
      <c r="O21" s="6985"/>
      <c r="P21" s="6985"/>
      <c r="Q21" s="6985"/>
      <c r="R21" s="6985"/>
      <c r="S21" s="6985"/>
      <c r="T21" s="6985"/>
      <c r="U21" s="6985"/>
      <c r="V21" s="6985"/>
      <c r="W21" s="6985"/>
      <c r="X21" s="6985"/>
      <c r="Y21" s="6985"/>
      <c r="Z21" s="6985"/>
      <c r="AA21" s="6985"/>
      <c r="AB21" s="6985"/>
      <c r="AC21" s="6985"/>
      <c r="AD21" s="6985"/>
      <c r="AE21" s="6985"/>
      <c r="AF21" s="6985"/>
      <c r="AG21" s="6985"/>
      <c r="AH21" s="6985"/>
      <c r="AI21" s="6985"/>
      <c r="AJ21" s="6985"/>
      <c r="AK21" s="6985"/>
      <c r="AL21" s="6985"/>
      <c r="AM21" s="6985"/>
      <c r="AN21" s="6985"/>
      <c r="AO21" s="6985"/>
      <c r="AP21" s="6985"/>
      <c r="AQ21" s="6985"/>
      <c r="AR21" s="6985"/>
      <c r="AS21" s="6985"/>
      <c r="AT21" s="6985"/>
      <c r="AU21" s="6985"/>
      <c r="AV21" s="6985"/>
      <c r="AW21" s="6985"/>
      <c r="AX21" s="6985"/>
      <c r="AY21" s="6985"/>
      <c r="AZ21" s="6985"/>
      <c r="BA21" s="6985"/>
      <c r="BB21" s="6985"/>
      <c r="BC21" s="6985"/>
      <c r="BD21" s="6985"/>
      <c r="BE21" s="6985"/>
      <c r="BF21" s="6985"/>
      <c r="BG21" s="6985"/>
      <c r="BH21" s="6985"/>
      <c r="BI21" s="6985"/>
      <c r="BJ21" s="6985"/>
      <c r="BK21" s="6985"/>
      <c r="BL21" s="6985"/>
    </row>
    <row customHeight="1" ht="27.75">
      <c r="C22" s="384"/>
      <c r="D22" s="2551" t="s">
        <v>1697</v>
      </c>
      <c r="E22" s="2551"/>
      <c r="F22" s="2551"/>
      <c r="G22" s="2551"/>
      <c r="H22" s="2551"/>
      <c r="I22" s="2551"/>
      <c r="J22" s="913"/>
      <c r="K22" s="7039"/>
      <c r="L22" s="7039"/>
      <c r="M22" s="7039"/>
      <c r="N22" s="7039"/>
      <c r="O22" s="7039"/>
      <c r="P22" s="7039"/>
      <c r="Q22" s="7039"/>
      <c r="R22" s="7039"/>
      <c r="S22" s="7039"/>
      <c r="T22" s="7039"/>
      <c r="U22" s="7039"/>
      <c r="V22" s="7039"/>
      <c r="W22" s="7039"/>
      <c r="X22" s="7039"/>
      <c r="Y22" s="7039"/>
      <c r="Z22" s="7039"/>
      <c r="AA22" s="7039"/>
      <c r="AB22" s="7039"/>
      <c r="AC22" s="7039"/>
      <c r="AD22" s="7039"/>
      <c r="AE22" s="7039"/>
      <c r="AF22" s="7039"/>
      <c r="AG22" s="7039"/>
      <c r="AH22" s="7039"/>
      <c r="AI22" s="7039"/>
      <c r="AJ22" s="7039"/>
      <c r="AK22" s="7039"/>
      <c r="AL22" s="7039"/>
      <c r="AM22" s="7039"/>
      <c r="AN22" s="7039"/>
      <c r="AO22" s="7039"/>
      <c r="AP22" s="7039"/>
      <c r="AQ22" s="7039"/>
      <c r="AR22" s="7039"/>
      <c r="AS22" s="7039"/>
      <c r="AT22" s="7039"/>
      <c r="AU22" s="7039"/>
      <c r="AV22" s="7039"/>
      <c r="AW22" s="7039"/>
      <c r="AX22" s="7039"/>
      <c r="AY22" s="7039"/>
      <c r="AZ22" s="7039"/>
      <c r="BA22" s="7039"/>
      <c r="BB22" s="7039"/>
      <c r="BC22" s="7039"/>
      <c r="BD22" s="7039"/>
      <c r="BE22" s="7039"/>
      <c r="BF22" s="7039"/>
      <c r="BG22" s="7039"/>
      <c r="BH22" s="7039"/>
      <c r="BI22" s="7039"/>
      <c r="BJ22" s="7039"/>
      <c r="BK22" s="7039"/>
      <c r="BL22" s="7039"/>
      <c r="BM22" s="774"/>
    </row>
    <row customHeight="1" ht="15">
      <c r="C23" s="384"/>
      <c r="D23" s="2552" t="str">
        <f>IF(org=0,"Не определено",org)</f>
        <v>ООО "СамРЭК-Тепло Жигулевск"</v>
      </c>
      <c r="E23" s="2552"/>
      <c r="F23" s="2552"/>
      <c r="G23" s="2552"/>
      <c r="H23" s="2552"/>
      <c r="I23" s="2552"/>
      <c r="J23" s="913"/>
      <c r="K23" s="7041"/>
      <c r="L23" s="7041"/>
      <c r="M23" s="7041"/>
      <c r="N23" s="7041"/>
      <c r="O23" s="7041"/>
      <c r="P23" s="7041"/>
      <c r="Q23" s="7041"/>
      <c r="R23" s="7041"/>
      <c r="S23" s="7041"/>
      <c r="T23" s="7041"/>
      <c r="U23" s="7041"/>
      <c r="V23" s="7041"/>
      <c r="W23" s="7041"/>
      <c r="X23" s="7041"/>
      <c r="Y23" s="7041"/>
      <c r="Z23" s="7041"/>
      <c r="AA23" s="7041"/>
      <c r="AB23" s="7041"/>
      <c r="AC23" s="7041"/>
      <c r="AD23" s="7041"/>
      <c r="AE23" s="7041"/>
      <c r="AF23" s="7041"/>
      <c r="AG23" s="7041"/>
      <c r="AH23" s="7041"/>
      <c r="AI23" s="7041"/>
      <c r="AJ23" s="7041"/>
      <c r="AK23" s="7041"/>
      <c r="AL23" s="7041"/>
      <c r="AM23" s="7041"/>
      <c r="AN23" s="7041"/>
      <c r="AO23" s="7041"/>
      <c r="AP23" s="7041"/>
      <c r="AQ23" s="7041"/>
      <c r="AR23" s="7041"/>
      <c r="AS23" s="7041"/>
      <c r="AT23" s="7041"/>
      <c r="AU23" s="7041"/>
      <c r="AV23" s="7041"/>
      <c r="AW23" s="7041"/>
      <c r="AX23" s="7041"/>
      <c r="AY23" s="7041"/>
      <c r="AZ23" s="7041"/>
      <c r="BA23" s="7041"/>
      <c r="BB23" s="7041"/>
      <c r="BC23" s="7041"/>
      <c r="BD23" s="7041"/>
      <c r="BE23" s="7041"/>
      <c r="BF23" s="7041"/>
      <c r="BG23" s="7041"/>
      <c r="BH23" s="7041"/>
      <c r="BI23" s="7041"/>
      <c r="BJ23" s="7041"/>
      <c r="BK23" s="7041"/>
      <c r="BL23" s="7041"/>
      <c r="BM23" s="774"/>
    </row>
    <row customHeight="1" ht="15">
      <c r="C24" s="384"/>
      <c r="D24" s="746"/>
      <c r="E24" s="746"/>
      <c r="F24" s="746"/>
      <c r="G24" s="774">
        <v>22</v>
      </c>
      <c r="H24" s="991"/>
      <c r="I24" s="774">
        <v>22</v>
      </c>
      <c r="J24" s="991"/>
      <c r="K24" s="6978" t="s">
        <v>17</v>
      </c>
      <c r="L24" s="6988"/>
      <c r="M24" s="6978" t="s">
        <v>17</v>
      </c>
      <c r="N24" s="6988"/>
      <c r="O24" s="6978" t="s">
        <v>17</v>
      </c>
      <c r="P24" s="6988"/>
      <c r="Q24" s="6978" t="s">
        <v>17</v>
      </c>
      <c r="R24" s="6988"/>
      <c r="S24" s="6978" t="s">
        <v>17</v>
      </c>
      <c r="T24" s="6988"/>
      <c r="U24" s="6978" t="s">
        <v>17</v>
      </c>
      <c r="V24" s="6988"/>
      <c r="W24" s="6978" t="s">
        <v>17</v>
      </c>
      <c r="X24" s="6988"/>
      <c r="Y24" s="6978" t="s">
        <v>17</v>
      </c>
      <c r="Z24" s="6988"/>
      <c r="AA24" s="6978" t="s">
        <v>17</v>
      </c>
      <c r="AB24" s="6988"/>
      <c r="AC24" s="6978" t="s">
        <v>17</v>
      </c>
      <c r="AD24" s="6988"/>
      <c r="AE24" s="6978" t="s">
        <v>17</v>
      </c>
      <c r="AF24" s="6988"/>
      <c r="AG24" s="6978" t="s">
        <v>17</v>
      </c>
      <c r="AH24" s="6988"/>
      <c r="AI24" s="6978" t="s">
        <v>17</v>
      </c>
      <c r="AJ24" s="6988"/>
      <c r="AK24" s="6978" t="s">
        <v>17</v>
      </c>
      <c r="AL24" s="6988"/>
      <c r="AM24" s="6978" t="s">
        <v>17</v>
      </c>
      <c r="AN24" s="6988"/>
      <c r="AO24" s="6978" t="s">
        <v>17</v>
      </c>
      <c r="AP24" s="6988"/>
      <c r="AQ24" s="6978" t="s">
        <v>17</v>
      </c>
      <c r="AR24" s="6988"/>
      <c r="AS24" s="6978" t="s">
        <v>17</v>
      </c>
      <c r="AT24" s="6988"/>
      <c r="AU24" s="6978" t="s">
        <v>17</v>
      </c>
      <c r="AV24" s="6988"/>
      <c r="AW24" s="6978" t="s">
        <v>17</v>
      </c>
      <c r="AX24" s="6988"/>
      <c r="AY24" s="6978" t="s">
        <v>17</v>
      </c>
      <c r="AZ24" s="6988"/>
      <c r="BA24" s="6978" t="s">
        <v>17</v>
      </c>
      <c r="BB24" s="6988"/>
      <c r="BC24" s="6978" t="s">
        <v>17</v>
      </c>
      <c r="BD24" s="6988"/>
      <c r="BE24" s="6978" t="s">
        <v>17</v>
      </c>
      <c r="BF24" s="6988"/>
      <c r="BG24" s="6978" t="s">
        <v>17</v>
      </c>
      <c r="BH24" s="6988"/>
      <c r="BI24" s="6978" t="s">
        <v>17</v>
      </c>
      <c r="BJ24" s="6988"/>
      <c r="BK24" s="6978" t="s">
        <v>17</v>
      </c>
      <c r="BL24" s="6988"/>
    </row>
    <row s="11126" customFormat="1" customHeight="1" ht="0.75">
      <c r="A25" s="998"/>
      <c r="C25" s="384"/>
      <c r="D25" s="746"/>
      <c r="E25" s="746"/>
      <c r="F25" s="746"/>
      <c r="G25" s="774"/>
      <c r="H25" s="991"/>
      <c r="I25" s="774" t="s">
        <v>118</v>
      </c>
      <c r="J25" s="991"/>
      <c r="K25" s="6978" t="s">
        <v>123</v>
      </c>
      <c r="L25" s="6988"/>
      <c r="M25" s="6978" t="s">
        <v>125</v>
      </c>
      <c r="N25" s="6988"/>
      <c r="O25" s="6978" t="s">
        <v>127</v>
      </c>
      <c r="P25" s="6988"/>
      <c r="Q25" s="6978" t="s">
        <v>129</v>
      </c>
      <c r="R25" s="6988"/>
      <c r="S25" s="6978" t="s">
        <v>131</v>
      </c>
      <c r="T25" s="6988"/>
      <c r="U25" s="6978" t="s">
        <v>133</v>
      </c>
      <c r="V25" s="6988"/>
      <c r="W25" s="6978" t="s">
        <v>135</v>
      </c>
      <c r="X25" s="6988"/>
      <c r="Y25" s="6978" t="s">
        <v>138</v>
      </c>
      <c r="Z25" s="6988"/>
      <c r="AA25" s="6978" t="s">
        <v>141</v>
      </c>
      <c r="AB25" s="6988"/>
      <c r="AC25" s="6978" t="s">
        <v>144</v>
      </c>
      <c r="AD25" s="6988"/>
      <c r="AE25" s="6978" t="s">
        <v>147</v>
      </c>
      <c r="AF25" s="6988"/>
      <c r="AG25" s="6978" t="s">
        <v>150</v>
      </c>
      <c r="AH25" s="6988"/>
      <c r="AI25" s="6978" t="s">
        <v>153</v>
      </c>
      <c r="AJ25" s="6988"/>
      <c r="AK25" s="6978" t="s">
        <v>156</v>
      </c>
      <c r="AL25" s="6988"/>
      <c r="AM25" s="6978" t="s">
        <v>159</v>
      </c>
      <c r="AN25" s="6988"/>
      <c r="AO25" s="6978" t="s">
        <v>162</v>
      </c>
      <c r="AP25" s="6988"/>
      <c r="AQ25" s="6978" t="s">
        <v>165</v>
      </c>
      <c r="AR25" s="6988"/>
      <c r="AS25" s="6978" t="s">
        <v>168</v>
      </c>
      <c r="AT25" s="6988"/>
      <c r="AU25" s="6978" t="s">
        <v>171</v>
      </c>
      <c r="AV25" s="6988"/>
      <c r="AW25" s="6978" t="s">
        <v>174</v>
      </c>
      <c r="AX25" s="6988"/>
      <c r="AY25" s="6978" t="s">
        <v>177</v>
      </c>
      <c r="AZ25" s="6988"/>
      <c r="BA25" s="6978" t="s">
        <v>180</v>
      </c>
      <c r="BB25" s="6988"/>
      <c r="BC25" s="6978" t="s">
        <v>183</v>
      </c>
      <c r="BD25" s="6988"/>
      <c r="BE25" s="6978" t="s">
        <v>186</v>
      </c>
      <c r="BF25" s="6988"/>
      <c r="BG25" s="6978" t="s">
        <v>189</v>
      </c>
      <c r="BH25" s="6988"/>
      <c r="BI25" s="6978" t="s">
        <v>192</v>
      </c>
      <c r="BJ25" s="6988"/>
      <c r="BK25" s="6978" t="s">
        <v>195</v>
      </c>
      <c r="BL25" s="6988"/>
      <c r="BM25" s="653"/>
      <c r="BW25" s="912"/>
    </row>
    <row customHeight="1" ht="15">
      <c r="C26" s="384"/>
      <c r="D26" s="948"/>
      <c r="E26" s="2545" t="s">
        <v>105</v>
      </c>
      <c r="F26" s="2546"/>
      <c r="G26" s="2543" t="str">
        <f>IF(G25="","",INDEX(DIFFERENTIATION_UNMERGE_VD,MATCH(G25,DIFFERENTIATION_ID_DIFF,0)))</f>
        <v/>
      </c>
      <c r="H26" s="2544"/>
      <c r="I26" s="2543" t="str">
        <f>IF(I25="","",INDEX(DIFFERENTIATION_UNMERGE_VD,MATCH(I25,DIFFERENTIATION_ID_DIFF,0)))</f>
        <v>Производство тепловой энергии. Некомбинированная выработка</v>
      </c>
      <c r="J26" s="2544"/>
      <c r="K26" s="6995" t="str">
        <f>IF(K25="","",INDEX(DIFFERENTIATION_UNMERGE_VD,MATCH(K25,DIFFERENTIATION_ID_DIFF,0)))</f>
        <v>Производство тепловой энергии. Некомбинированная выработка</v>
      </c>
      <c r="L26" s="6996"/>
      <c r="M26" s="6995" t="str">
        <f>IF(M25="","",INDEX(DIFFERENTIATION_UNMERGE_VD,MATCH(M25,DIFFERENTIATION_ID_DIFF,0)))</f>
        <v>Производство тепловой энергии. Некомбинированная выработка</v>
      </c>
      <c r="N26" s="6996"/>
      <c r="O26" s="6995" t="str">
        <f>IF(O25="","",INDEX(DIFFERENTIATION_UNMERGE_VD,MATCH(O25,DIFFERENTIATION_ID_DIFF,0)))</f>
        <v>Производство тепловой энергии. Некомбинированная выработка</v>
      </c>
      <c r="P26" s="6996"/>
      <c r="Q26" s="6995" t="str">
        <f>IF(Q25="","",INDEX(DIFFERENTIATION_UNMERGE_VD,MATCH(Q25,DIFFERENTIATION_ID_DIFF,0)))</f>
        <v>Производство тепловой энергии. Некомбинированная выработка</v>
      </c>
      <c r="R26" s="6996"/>
      <c r="S26" s="6995" t="str">
        <f>IF(S25="","",INDEX(DIFFERENTIATION_UNMERGE_VD,MATCH(S25,DIFFERENTIATION_ID_DIFF,0)))</f>
        <v>Производство тепловой энергии. Некомбинированная выработка</v>
      </c>
      <c r="T26" s="6996"/>
      <c r="U26" s="6995" t="str">
        <f>IF(U25="","",INDEX(DIFFERENTIATION_UNMERGE_VD,MATCH(U25,DIFFERENTIATION_ID_DIFF,0)))</f>
        <v>Производство тепловой энергии. Некомбинированная выработка</v>
      </c>
      <c r="V26" s="6996"/>
      <c r="W26" s="6995" t="str">
        <f>IF(W25="","",INDEX(DIFFERENTIATION_UNMERGE_VD,MATCH(W25,DIFFERENTIATION_ID_DIFF,0)))</f>
        <v>Производство тепловой энергии. Некомбинированная выработка</v>
      </c>
      <c r="X26" s="6996"/>
      <c r="Y26" s="6995" t="str">
        <f>IF(Y25="","",INDEX(DIFFERENTIATION_UNMERGE_VD,MATCH(Y25,DIFFERENTIATION_ID_DIFF,0)))</f>
        <v>Производство тепловой энергии. Некомбинированная выработка</v>
      </c>
      <c r="Z26" s="6996"/>
      <c r="AA26" s="6995" t="str">
        <f>IF(AA25="","",INDEX(DIFFERENTIATION_UNMERGE_VD,MATCH(AA25,DIFFERENTIATION_ID_DIFF,0)))</f>
        <v>Производство тепловой энергии. Некомбинированная выработка</v>
      </c>
      <c r="AB26" s="6996"/>
      <c r="AC26" s="6995" t="str">
        <f>IF(AC25="","",INDEX(DIFFERENTIATION_UNMERGE_VD,MATCH(AC25,DIFFERENTIATION_ID_DIFF,0)))</f>
        <v>Производство тепловой энергии. Некомбинированная выработка</v>
      </c>
      <c r="AD26" s="6996"/>
      <c r="AE26" s="6995" t="str">
        <f>IF(AE25="","",INDEX(DIFFERENTIATION_UNMERGE_VD,MATCH(AE25,DIFFERENTIATION_ID_DIFF,0)))</f>
        <v>Производство тепловой энергии. Некомбинированная выработка</v>
      </c>
      <c r="AF26" s="6996"/>
      <c r="AG26" s="6995" t="str">
        <f>IF(AG25="","",INDEX(DIFFERENTIATION_UNMERGE_VD,MATCH(AG25,DIFFERENTIATION_ID_DIFF,0)))</f>
        <v>Производство тепловой энергии. Некомбинированная выработка</v>
      </c>
      <c r="AH26" s="6996"/>
      <c r="AI26" s="6995" t="str">
        <f>IF(AI25="","",INDEX(DIFFERENTIATION_UNMERGE_VD,MATCH(AI25,DIFFERENTIATION_ID_DIFF,0)))</f>
        <v>Производство тепловой энергии. Некомбинированная выработка</v>
      </c>
      <c r="AJ26" s="6996"/>
      <c r="AK26" s="6995" t="str">
        <f>IF(AK25="","",INDEX(DIFFERENTIATION_UNMERGE_VD,MATCH(AK25,DIFFERENTIATION_ID_DIFF,0)))</f>
        <v>Производство тепловой энергии. Некомбинированная выработка</v>
      </c>
      <c r="AL26" s="6996"/>
      <c r="AM26" s="6995" t="str">
        <f>IF(AM25="","",INDEX(DIFFERENTIATION_UNMERGE_VD,MATCH(AM25,DIFFERENTIATION_ID_DIFF,0)))</f>
        <v>Производство тепловой энергии. Некомбинированная выработка</v>
      </c>
      <c r="AN26" s="6996"/>
      <c r="AO26" s="6995" t="str">
        <f>IF(AO25="","",INDEX(DIFFERENTIATION_UNMERGE_VD,MATCH(AO25,DIFFERENTIATION_ID_DIFF,0)))</f>
        <v>Производство тепловой энергии. Некомбинированная выработка</v>
      </c>
      <c r="AP26" s="6996"/>
      <c r="AQ26" s="6995" t="str">
        <f>IF(AQ25="","",INDEX(DIFFERENTIATION_UNMERGE_VD,MATCH(AQ25,DIFFERENTIATION_ID_DIFF,0)))</f>
        <v>Производство тепловой энергии. Некомбинированная выработка</v>
      </c>
      <c r="AR26" s="6996"/>
      <c r="AS26" s="6995" t="str">
        <f>IF(AS25="","",INDEX(DIFFERENTIATION_UNMERGE_VD,MATCH(AS25,DIFFERENTIATION_ID_DIFF,0)))</f>
        <v>Производство тепловой энергии. Некомбинированная выработка</v>
      </c>
      <c r="AT26" s="6996"/>
      <c r="AU26" s="6995" t="str">
        <f>IF(AU25="","",INDEX(DIFFERENTIATION_UNMERGE_VD,MATCH(AU25,DIFFERENTIATION_ID_DIFF,0)))</f>
        <v>Производство тепловой энергии. Некомбинированная выработка</v>
      </c>
      <c r="AV26" s="6996"/>
      <c r="AW26" s="6995" t="str">
        <f>IF(AW25="","",INDEX(DIFFERENTIATION_UNMERGE_VD,MATCH(AW25,DIFFERENTIATION_ID_DIFF,0)))</f>
        <v>Производство тепловой энергии. Некомбинированная выработка</v>
      </c>
      <c r="AX26" s="6996"/>
      <c r="AY26" s="6995" t="str">
        <f>IF(AY25="","",INDEX(DIFFERENTIATION_UNMERGE_VD,MATCH(AY25,DIFFERENTIATION_ID_DIFF,0)))</f>
        <v>Производство тепловой энергии. Некомбинированная выработка</v>
      </c>
      <c r="AZ26" s="6996"/>
      <c r="BA26" s="6995" t="str">
        <f>IF(BA25="","",INDEX(DIFFERENTIATION_UNMERGE_VD,MATCH(BA25,DIFFERENTIATION_ID_DIFF,0)))</f>
        <v>Производство тепловой энергии. Некомбинированная выработка</v>
      </c>
      <c r="BB26" s="6996"/>
      <c r="BC26" s="6995" t="str">
        <f>IF(BC25="","",INDEX(DIFFERENTIATION_UNMERGE_VD,MATCH(BC25,DIFFERENTIATION_ID_DIFF,0)))</f>
        <v>Производство тепловой энергии. Некомбинированная выработка</v>
      </c>
      <c r="BD26" s="6996"/>
      <c r="BE26" s="6995" t="str">
        <f>IF(BE25="","",INDEX(DIFFERENTIATION_UNMERGE_VD,MATCH(BE25,DIFFERENTIATION_ID_DIFF,0)))</f>
        <v>Производство тепловой энергии. Некомбинированная выработка</v>
      </c>
      <c r="BF26" s="6996"/>
      <c r="BG26" s="6995" t="str">
        <f>IF(BG25="","",INDEX(DIFFERENTIATION_UNMERGE_VD,MATCH(BG25,DIFFERENTIATION_ID_DIFF,0)))</f>
        <v>Производство тепловой энергии. Некомбинированная выработка</v>
      </c>
      <c r="BH26" s="6996"/>
      <c r="BI26" s="6995" t="str">
        <f>IF(BI25="","",INDEX(DIFFERENTIATION_UNMERGE_VD,MATCH(BI25,DIFFERENTIATION_ID_DIFF,0)))</f>
        <v>Производство тепловой энергии. Некомбинированная выработка</v>
      </c>
      <c r="BJ26" s="6996"/>
      <c r="BK26" s="6995" t="str">
        <f>IF(BK25="","",INDEX(DIFFERENTIATION_UNMERGE_VD,MATCH(BK25,DIFFERENTIATION_ID_DIFF,0)))</f>
        <v>Производство тепловой энергии. Некомбинированная выработка</v>
      </c>
      <c r="BL26" s="6996"/>
      <c r="BM26" s="2294" t="s">
        <v>363</v>
      </c>
    </row>
    <row s="11126" customFormat="1" customHeight="1" ht="15">
      <c r="A27" s="998"/>
      <c r="C27" s="384"/>
      <c r="D27" s="948"/>
      <c r="E27" s="2545" t="s">
        <v>1476</v>
      </c>
      <c r="F27" s="2546"/>
      <c r="G27" s="2543" t="str">
        <f>IF(G25="","",INDEX(DIFFERENTIATION_UNMERGE_AREA,MATCH(G25,DIFFERENTIATION_ID_DIFF,0)))</f>
        <v/>
      </c>
      <c r="H27" s="2544"/>
      <c r="I27" s="2543" t="str">
        <f>IF(I25="","",INDEX(DIFFERENTIATION_UNMERGE_AREA,MATCH(I25,DIFFERENTIATION_ID_DIFF,0)))</f>
        <v>Территория 1</v>
      </c>
      <c r="J27" s="2544"/>
      <c r="K27" s="6995" t="str">
        <f>IF(K25="","",INDEX(DIFFERENTIATION_UNMERGE_AREA,MATCH(K25,DIFFERENTIATION_ID_DIFF,0)))</f>
        <v>Территория 1</v>
      </c>
      <c r="L27" s="6996"/>
      <c r="M27" s="6995" t="str">
        <f>IF(M25="","",INDEX(DIFFERENTIATION_UNMERGE_AREA,MATCH(M25,DIFFERENTIATION_ID_DIFF,0)))</f>
        <v>Территория 1</v>
      </c>
      <c r="N27" s="6996"/>
      <c r="O27" s="6995" t="str">
        <f>IF(O25="","",INDEX(DIFFERENTIATION_UNMERGE_AREA,MATCH(O25,DIFFERENTIATION_ID_DIFF,0)))</f>
        <v>Территория 1</v>
      </c>
      <c r="P27" s="6996"/>
      <c r="Q27" s="6995" t="str">
        <f>IF(Q25="","",INDEX(DIFFERENTIATION_UNMERGE_AREA,MATCH(Q25,DIFFERENTIATION_ID_DIFF,0)))</f>
        <v>Территория 1</v>
      </c>
      <c r="R27" s="6996"/>
      <c r="S27" s="6995" t="str">
        <f>IF(S25="","",INDEX(DIFFERENTIATION_UNMERGE_AREA,MATCH(S25,DIFFERENTIATION_ID_DIFF,0)))</f>
        <v>Территория 1</v>
      </c>
      <c r="T27" s="6996"/>
      <c r="U27" s="6995" t="str">
        <f>IF(U25="","",INDEX(DIFFERENTIATION_UNMERGE_AREA,MATCH(U25,DIFFERENTIATION_ID_DIFF,0)))</f>
        <v>Территория 1</v>
      </c>
      <c r="V27" s="6996"/>
      <c r="W27" s="6995" t="str">
        <f>IF(W25="","",INDEX(DIFFERENTIATION_UNMERGE_AREA,MATCH(W25,DIFFERENTIATION_ID_DIFF,0)))</f>
        <v>Территория 1</v>
      </c>
      <c r="X27" s="6996"/>
      <c r="Y27" s="6995" t="str">
        <f>IF(Y25="","",INDEX(DIFFERENTIATION_UNMERGE_AREA,MATCH(Y25,DIFFERENTIATION_ID_DIFF,0)))</f>
        <v>Территория 1</v>
      </c>
      <c r="Z27" s="6996"/>
      <c r="AA27" s="6995" t="str">
        <f>IF(AA25="","",INDEX(DIFFERENTIATION_UNMERGE_AREA,MATCH(AA25,DIFFERENTIATION_ID_DIFF,0)))</f>
        <v>Территория 1</v>
      </c>
      <c r="AB27" s="6996"/>
      <c r="AC27" s="6995" t="str">
        <f>IF(AC25="","",INDEX(DIFFERENTIATION_UNMERGE_AREA,MATCH(AC25,DIFFERENTIATION_ID_DIFF,0)))</f>
        <v>Территория 1</v>
      </c>
      <c r="AD27" s="6996"/>
      <c r="AE27" s="6995" t="str">
        <f>IF(AE25="","",INDEX(DIFFERENTIATION_UNMERGE_AREA,MATCH(AE25,DIFFERENTIATION_ID_DIFF,0)))</f>
        <v>Территория 1</v>
      </c>
      <c r="AF27" s="6996"/>
      <c r="AG27" s="6995" t="str">
        <f>IF(AG25="","",INDEX(DIFFERENTIATION_UNMERGE_AREA,MATCH(AG25,DIFFERENTIATION_ID_DIFF,0)))</f>
        <v>Территория 1</v>
      </c>
      <c r="AH27" s="6996"/>
      <c r="AI27" s="6995" t="str">
        <f>IF(AI25="","",INDEX(DIFFERENTIATION_UNMERGE_AREA,MATCH(AI25,DIFFERENTIATION_ID_DIFF,0)))</f>
        <v>Территория 1</v>
      </c>
      <c r="AJ27" s="6996"/>
      <c r="AK27" s="6995" t="str">
        <f>IF(AK25="","",INDEX(DIFFERENTIATION_UNMERGE_AREA,MATCH(AK25,DIFFERENTIATION_ID_DIFF,0)))</f>
        <v>Территория 1</v>
      </c>
      <c r="AL27" s="6996"/>
      <c r="AM27" s="6995" t="str">
        <f>IF(AM25="","",INDEX(DIFFERENTIATION_UNMERGE_AREA,MATCH(AM25,DIFFERENTIATION_ID_DIFF,0)))</f>
        <v>Территория 1</v>
      </c>
      <c r="AN27" s="6996"/>
      <c r="AO27" s="6995" t="str">
        <f>IF(AO25="","",INDEX(DIFFERENTIATION_UNMERGE_AREA,MATCH(AO25,DIFFERENTIATION_ID_DIFF,0)))</f>
        <v>Территория 1</v>
      </c>
      <c r="AP27" s="6996"/>
      <c r="AQ27" s="6995" t="str">
        <f>IF(AQ25="","",INDEX(DIFFERENTIATION_UNMERGE_AREA,MATCH(AQ25,DIFFERENTIATION_ID_DIFF,0)))</f>
        <v>Территория 1</v>
      </c>
      <c r="AR27" s="6996"/>
      <c r="AS27" s="6995" t="str">
        <f>IF(AS25="","",INDEX(DIFFERENTIATION_UNMERGE_AREA,MATCH(AS25,DIFFERENTIATION_ID_DIFF,0)))</f>
        <v>Территория 1</v>
      </c>
      <c r="AT27" s="6996"/>
      <c r="AU27" s="6995" t="str">
        <f>IF(AU25="","",INDEX(DIFFERENTIATION_UNMERGE_AREA,MATCH(AU25,DIFFERENTIATION_ID_DIFF,0)))</f>
        <v>Территория 1</v>
      </c>
      <c r="AV27" s="6996"/>
      <c r="AW27" s="6995" t="str">
        <f>IF(AW25="","",INDEX(DIFFERENTIATION_UNMERGE_AREA,MATCH(AW25,DIFFERENTIATION_ID_DIFF,0)))</f>
        <v>Территория 1</v>
      </c>
      <c r="AX27" s="6996"/>
      <c r="AY27" s="6995" t="str">
        <f>IF(AY25="","",INDEX(DIFFERENTIATION_UNMERGE_AREA,MATCH(AY25,DIFFERENTIATION_ID_DIFF,0)))</f>
        <v>Территория 1</v>
      </c>
      <c r="AZ27" s="6996"/>
      <c r="BA27" s="6995" t="str">
        <f>IF(BA25="","",INDEX(DIFFERENTIATION_UNMERGE_AREA,MATCH(BA25,DIFFERENTIATION_ID_DIFF,0)))</f>
        <v>Территория 1</v>
      </c>
      <c r="BB27" s="6996"/>
      <c r="BC27" s="6995" t="str">
        <f>IF(BC25="","",INDEX(DIFFERENTIATION_UNMERGE_AREA,MATCH(BC25,DIFFERENTIATION_ID_DIFF,0)))</f>
        <v>Территория 1</v>
      </c>
      <c r="BD27" s="6996"/>
      <c r="BE27" s="6995" t="str">
        <f>IF(BE25="","",INDEX(DIFFERENTIATION_UNMERGE_AREA,MATCH(BE25,DIFFERENTIATION_ID_DIFF,0)))</f>
        <v>Территория 1</v>
      </c>
      <c r="BF27" s="6996"/>
      <c r="BG27" s="6995" t="str">
        <f>IF(BG25="","",INDEX(DIFFERENTIATION_UNMERGE_AREA,MATCH(BG25,DIFFERENTIATION_ID_DIFF,0)))</f>
        <v>Территория 1</v>
      </c>
      <c r="BH27" s="6996"/>
      <c r="BI27" s="6995" t="str">
        <f>IF(BI25="","",INDEX(DIFFERENTIATION_UNMERGE_AREA,MATCH(BI25,DIFFERENTIATION_ID_DIFF,0)))</f>
        <v>Территория 1</v>
      </c>
      <c r="BJ27" s="6996"/>
      <c r="BK27" s="6995" t="str">
        <f>IF(BK25="","",INDEX(DIFFERENTIATION_UNMERGE_AREA,MATCH(BK25,DIFFERENTIATION_ID_DIFF,0)))</f>
        <v>Территория 1</v>
      </c>
      <c r="BL27" s="6996"/>
      <c r="BM27" s="2553"/>
      <c r="BW27" s="912"/>
    </row>
    <row s="11126" customFormat="1" customHeight="1" ht="15">
      <c r="A28" s="998"/>
      <c r="C28" s="384"/>
      <c r="D28" s="948"/>
      <c r="E28" s="2545" t="s">
        <v>1477</v>
      </c>
      <c r="F28" s="2546"/>
      <c r="G28" s="2543" t="str">
        <f>IF(G25="","",INDEX(DIFFERENTIATION_UNMERGE_SYSTEM,MATCH(G25,DIFFERENTIATION_ID_DIFF,0)))</f>
        <v/>
      </c>
      <c r="H28" s="2544"/>
      <c r="I28" s="2543" t="str">
        <f>IF(I25="","",INDEX(DIFFERENTIATION_UNMERGE_SYSTEM,MATCH(I25,DIFFERENTIATION_ID_DIFF,0)))</f>
        <v>Котельная №1 по ул.Ново-Самарская, д.12</v>
      </c>
      <c r="J28" s="2544"/>
      <c r="K28" s="6995" t="str">
        <f>IF(K25="","",INDEX(DIFFERENTIATION_UNMERGE_SYSTEM,MATCH(K25,DIFFERENTIATION_ID_DIFF,0)))</f>
        <v>Котельная №2,  ул.Пирогова около д.4</v>
      </c>
      <c r="L28" s="6996"/>
      <c r="M28" s="6995" t="str">
        <f>IF(M25="","",INDEX(DIFFERENTIATION_UNMERGE_SYSTEM,MATCH(M25,DIFFERENTIATION_ID_DIFF,0)))</f>
        <v>Котельная №3, ул.Комсомольская около д.1 по ул.Ленина</v>
      </c>
      <c r="N28" s="6996"/>
      <c r="O28" s="6995" t="str">
        <f>IF(O25="","",INDEX(DIFFERENTIATION_UNMERGE_SYSTEM,MATCH(O25,DIFFERENTIATION_ID_DIFF,0)))</f>
        <v>Тепловой центр №1 ул.Вокзальная ок д.№8</v>
      </c>
      <c r="P28" s="6996"/>
      <c r="Q28" s="6995" t="str">
        <f>IF(Q25="","",INDEX(DIFFERENTIATION_UNMERGE_SYSTEM,MATCH(Q25,DIFFERENTIATION_ID_DIFF,0)))</f>
        <v>Котельная №5, Александр. Поле, около д.30 по ул.Советская </v>
      </c>
      <c r="R28" s="6996"/>
      <c r="S28" s="6995" t="str">
        <f>IF(S25="","",INDEX(DIFFERENTIATION_UNMERGE_SYSTEM,MATCH(S25,DIFFERENTIATION_ID_DIFF,0)))</f>
        <v>Котельная №6, ул.Пушкина </v>
      </c>
      <c r="T28" s="6996"/>
      <c r="U28" s="6995" t="str">
        <f>IF(U25="","",INDEX(DIFFERENTIATION_UNMERGE_SYSTEM,MATCH(U25,DIFFERENTIATION_ID_DIFF,0)))</f>
        <v>Тепловой центр №2 ул.Вокзальная ок д.№20</v>
      </c>
      <c r="V28" s="6996"/>
      <c r="W28" s="6995" t="str">
        <f>IF(W25="","",INDEX(DIFFERENTIATION_UNMERGE_SYSTEM,MATCH(W25,DIFFERENTIATION_ID_DIFF,0)))</f>
        <v>Котельная №8, ул.Мира</v>
      </c>
      <c r="X28" s="6996"/>
      <c r="Y28" s="6995" t="str">
        <f>IF(Y25="","",INDEX(DIFFERENTIATION_UNMERGE_SYSTEM,MATCH(Y25,DIFFERENTIATION_ID_DIFF,0)))</f>
        <v>Котельная №9, ул.Гоголя</v>
      </c>
      <c r="Z28" s="6996"/>
      <c r="AA28" s="6995" t="str">
        <f>IF(AA25="","",INDEX(DIFFERENTIATION_UNMERGE_SYSTEM,MATCH(AA25,DIFFERENTIATION_ID_DIFF,0)))</f>
        <v>Котельная №10, ул.Гоголя</v>
      </c>
      <c r="AB28" s="6996"/>
      <c r="AC28" s="6995" t="str">
        <f>IF(AC25="","",INDEX(DIFFERENTIATION_UNMERGE_SYSTEM,MATCH(AC25,DIFFERENTIATION_ID_DIFF,0)))</f>
        <v>Котельная №12а, ул.Мира</v>
      </c>
      <c r="AD28" s="6996"/>
      <c r="AE28" s="6995" t="str">
        <f>IF(AE25="","",INDEX(DIFFERENTIATION_UNMERGE_SYSTEM,MATCH(AE25,DIFFERENTIATION_ID_DIFF,0)))</f>
        <v>Котельная №13, ул.Морквашинская</v>
      </c>
      <c r="AF28" s="6996"/>
      <c r="AG28" s="6995" t="str">
        <f>IF(AG25="","",INDEX(DIFFERENTIATION_UNMERGE_SYSTEM,MATCH(AG25,DIFFERENTIATION_ID_DIFF,0)))</f>
        <v>ЦТП-1 ул.Морквашинская ок.д№7</v>
      </c>
      <c r="AH28" s="6996"/>
      <c r="AI28" s="6995" t="str">
        <f>IF(AI25="","",INDEX(DIFFERENTIATION_UNMERGE_SYSTEM,MATCH(AI25,DIFFERENTIATION_ID_DIFF,0)))</f>
        <v>ЦТП-2, В-1,ок.д.№10</v>
      </c>
      <c r="AJ28" s="6996"/>
      <c r="AK28" s="6995" t="str">
        <f>IF(AK25="","",INDEX(DIFFERENTIATION_UNMERGE_SYSTEM,MATCH(AK25,DIFFERENTIATION_ID_DIFF,0)))</f>
        <v>ЦТП-9, ул.Пролетарская д.23/ул.Транспортная д.10</v>
      </c>
      <c r="AL28" s="6996"/>
      <c r="AM28" s="6995" t="str">
        <f>IF(AM25="","",INDEX(DIFFERENTIATION_UNMERGE_SYSTEM,MATCH(AM25,DIFFERENTIATION_ID_DIFF,0)))</f>
        <v>ПНС№1-  Пролет, 5</v>
      </c>
      <c r="AN28" s="6996"/>
      <c r="AO28" s="6995" t="str">
        <f>IF(AO25="","",INDEX(DIFFERENTIATION_UNMERGE_SYSTEM,MATCH(AO25,DIFFERENTIATION_ID_DIFF,0)))</f>
        <v>ПНС№2, ул.Репина,3</v>
      </c>
      <c r="AP28" s="6996"/>
      <c r="AQ28" s="6995" t="str">
        <f>IF(AQ25="","",INDEX(DIFFERENTIATION_UNMERGE_SYSTEM,MATCH(AQ25,DIFFERENTIATION_ID_DIFF,0)))</f>
        <v>Котельная №14, ул.Радиозаводская</v>
      </c>
      <c r="AR28" s="6996"/>
      <c r="AS28" s="6995" t="str">
        <f>IF(AS25="","",INDEX(DIFFERENTIATION_UNMERGE_SYSTEM,MATCH(AS25,DIFFERENTIATION_ID_DIFF,0)))</f>
        <v>ЦТП-3, ул.Радиозаводская,ок.д.№6</v>
      </c>
      <c r="AT28" s="6996"/>
      <c r="AU28" s="6995" t="str">
        <f>IF(AU25="","",INDEX(DIFFERENTIATION_UNMERGE_SYSTEM,MATCH(AU25,DIFFERENTIATION_ID_DIFF,0)))</f>
        <v>Котельная №17а с.Зольное , ул.Первомайская.</v>
      </c>
      <c r="AV28" s="6996"/>
      <c r="AW28" s="6995" t="str">
        <f>IF(AW25="","",INDEX(DIFFERENTIATION_UNMERGE_SYSTEM,MATCH(AW25,DIFFERENTIATION_ID_DIFF,0)))</f>
        <v>Котельная №18А, с.Солнечная Поляна, ул. 4-я Линия</v>
      </c>
      <c r="AX28" s="6996"/>
      <c r="AY28" s="6995" t="str">
        <f>IF(AY25="","",INDEX(DIFFERENTIATION_UNMERGE_SYSTEM,MATCH(AY25,DIFFERENTIATION_ID_DIFF,0)))</f>
        <v>Котельная №20,пос.Яблоневый Овраг , ул Никитина</v>
      </c>
      <c r="AZ28" s="6996"/>
      <c r="BA28" s="6995" t="str">
        <f>IF(BA25="","",INDEX(DIFFERENTIATION_UNMERGE_SYSTEM,MATCH(BA25,DIFFERENTIATION_ID_DIFF,0)))</f>
        <v>Котельная №22, ул.Магистральная</v>
      </c>
      <c r="BB28" s="6996"/>
      <c r="BC28" s="6995" t="str">
        <f>IF(BC25="","",INDEX(DIFFERENTIATION_UNMERGE_SYSTEM,MATCH(BC25,DIFFERENTIATION_ID_DIFF,0)))</f>
        <v>Котельная №25,  МКР Г-1, ул.Гидротехническая</v>
      </c>
      <c r="BD28" s="6996"/>
      <c r="BE28" s="6995" t="str">
        <f>IF(BE25="","",INDEX(DIFFERENTIATION_UNMERGE_SYSTEM,MATCH(BE25,DIFFERENTIATION_ID_DIFF,0)))</f>
        <v>ЦТП-7, ул.Оборонная</v>
      </c>
      <c r="BF28" s="6996"/>
      <c r="BG28" s="6995" t="str">
        <f>IF(BG25="","",INDEX(DIFFERENTIATION_UNMERGE_SYSTEM,MATCH(BG25,DIFFERENTIATION_ID_DIFF,0)))</f>
        <v>ЦТП-8, ул.Шевченко</v>
      </c>
      <c r="BH28" s="6996"/>
      <c r="BI28" s="6995" t="str">
        <f>IF(BI25="","",INDEX(DIFFERENTIATION_UNMERGE_SYSTEM,MATCH(BI25,DIFFERENTIATION_ID_DIFF,0)))</f>
        <v>ПНС, ул.Парковая</v>
      </c>
      <c r="BJ28" s="6996"/>
      <c r="BK28" s="6995" t="str">
        <f>IF(BK25="","",INDEX(DIFFERENTIATION_UNMERGE_SYSTEM,MATCH(BK25,DIFFERENTIATION_ID_DIFF,0)))</f>
        <v>Котельная №27, п.Богатырь, ул.Управленческая</v>
      </c>
      <c r="BL28" s="6996"/>
      <c r="BM28" s="2553"/>
      <c r="BW28" s="912"/>
    </row>
    <row s="11126" customFormat="1" customHeight="1" ht="15">
      <c r="A29" s="998"/>
      <c r="C29" s="384"/>
      <c r="D29" s="2547" t="s">
        <v>362</v>
      </c>
      <c r="E29" s="2548"/>
      <c r="F29" s="2548"/>
      <c r="G29" s="1136"/>
      <c r="H29" s="1136"/>
      <c r="I29" s="1136"/>
      <c r="J29" s="1137"/>
      <c r="K29" s="7001"/>
      <c r="L29" s="7001"/>
      <c r="M29" s="7001"/>
      <c r="N29" s="7001"/>
      <c r="O29" s="7001"/>
      <c r="P29" s="7001"/>
      <c r="Q29" s="7001"/>
      <c r="R29" s="7001"/>
      <c r="S29" s="7001"/>
      <c r="T29" s="7001"/>
      <c r="U29" s="7001"/>
      <c r="V29" s="7001"/>
      <c r="W29" s="7001"/>
      <c r="X29" s="7001"/>
      <c r="Y29" s="7001"/>
      <c r="Z29" s="7001"/>
      <c r="AA29" s="7001"/>
      <c r="AB29" s="7001"/>
      <c r="AC29" s="7001"/>
      <c r="AD29" s="7001"/>
      <c r="AE29" s="7001"/>
      <c r="AF29" s="7001"/>
      <c r="AG29" s="7001"/>
      <c r="AH29" s="7001"/>
      <c r="AI29" s="7001"/>
      <c r="AJ29" s="7001"/>
      <c r="AK29" s="7001"/>
      <c r="AL29" s="7001"/>
      <c r="AM29" s="7001"/>
      <c r="AN29" s="7001"/>
      <c r="AO29" s="7001"/>
      <c r="AP29" s="7001"/>
      <c r="AQ29" s="7001"/>
      <c r="AR29" s="7001"/>
      <c r="AS29" s="7001"/>
      <c r="AT29" s="7001"/>
      <c r="AU29" s="7001"/>
      <c r="AV29" s="7001"/>
      <c r="AW29" s="7001"/>
      <c r="AX29" s="7001"/>
      <c r="AY29" s="7001"/>
      <c r="AZ29" s="7001"/>
      <c r="BA29" s="7001"/>
      <c r="BB29" s="7001"/>
      <c r="BC29" s="7001"/>
      <c r="BD29" s="7001"/>
      <c r="BE29" s="7001"/>
      <c r="BF29" s="7001"/>
      <c r="BG29" s="7001"/>
      <c r="BH29" s="7001"/>
      <c r="BI29" s="7001"/>
      <c r="BJ29" s="7001"/>
      <c r="BK29" s="7001"/>
      <c r="BL29" s="7001"/>
      <c r="BM29" s="2553"/>
      <c r="BW29" s="912"/>
    </row>
    <row customHeight="1" ht="33.75">
      <c r="C30" s="384"/>
      <c r="D30" s="1000" t="s">
        <v>88</v>
      </c>
      <c r="E30" s="999" t="s">
        <v>364</v>
      </c>
      <c r="F30" s="999" t="s">
        <v>1655</v>
      </c>
      <c r="G30" s="1051" t="s">
        <v>365</v>
      </c>
      <c r="H30" s="1050" t="s">
        <v>454</v>
      </c>
      <c r="I30" s="921" t="s">
        <v>365</v>
      </c>
      <c r="J30" s="702" t="s">
        <v>454</v>
      </c>
      <c r="K30" s="7005" t="s">
        <v>365</v>
      </c>
      <c r="L30" s="7006" t="s">
        <v>454</v>
      </c>
      <c r="M30" s="7005" t="s">
        <v>365</v>
      </c>
      <c r="N30" s="7006" t="s">
        <v>454</v>
      </c>
      <c r="O30" s="7005" t="s">
        <v>365</v>
      </c>
      <c r="P30" s="7006" t="s">
        <v>454</v>
      </c>
      <c r="Q30" s="7005" t="s">
        <v>365</v>
      </c>
      <c r="R30" s="7006" t="s">
        <v>454</v>
      </c>
      <c r="S30" s="7005" t="s">
        <v>365</v>
      </c>
      <c r="T30" s="7006" t="s">
        <v>454</v>
      </c>
      <c r="U30" s="7005" t="s">
        <v>365</v>
      </c>
      <c r="V30" s="7006" t="s">
        <v>454</v>
      </c>
      <c r="W30" s="7005" t="s">
        <v>365</v>
      </c>
      <c r="X30" s="7006" t="s">
        <v>454</v>
      </c>
      <c r="Y30" s="7005" t="s">
        <v>365</v>
      </c>
      <c r="Z30" s="7006" t="s">
        <v>454</v>
      </c>
      <c r="AA30" s="7005" t="s">
        <v>365</v>
      </c>
      <c r="AB30" s="7006" t="s">
        <v>454</v>
      </c>
      <c r="AC30" s="7005" t="s">
        <v>365</v>
      </c>
      <c r="AD30" s="7006" t="s">
        <v>454</v>
      </c>
      <c r="AE30" s="7005" t="s">
        <v>365</v>
      </c>
      <c r="AF30" s="7006" t="s">
        <v>454</v>
      </c>
      <c r="AG30" s="7005" t="s">
        <v>365</v>
      </c>
      <c r="AH30" s="7006" t="s">
        <v>454</v>
      </c>
      <c r="AI30" s="7005" t="s">
        <v>365</v>
      </c>
      <c r="AJ30" s="7006" t="s">
        <v>454</v>
      </c>
      <c r="AK30" s="7005" t="s">
        <v>365</v>
      </c>
      <c r="AL30" s="7006" t="s">
        <v>454</v>
      </c>
      <c r="AM30" s="7005" t="s">
        <v>365</v>
      </c>
      <c r="AN30" s="7006" t="s">
        <v>454</v>
      </c>
      <c r="AO30" s="7005" t="s">
        <v>365</v>
      </c>
      <c r="AP30" s="7006" t="s">
        <v>454</v>
      </c>
      <c r="AQ30" s="7005" t="s">
        <v>365</v>
      </c>
      <c r="AR30" s="7006" t="s">
        <v>454</v>
      </c>
      <c r="AS30" s="7005" t="s">
        <v>365</v>
      </c>
      <c r="AT30" s="7006" t="s">
        <v>454</v>
      </c>
      <c r="AU30" s="7005" t="s">
        <v>365</v>
      </c>
      <c r="AV30" s="7006" t="s">
        <v>454</v>
      </c>
      <c r="AW30" s="7005" t="s">
        <v>365</v>
      </c>
      <c r="AX30" s="7006" t="s">
        <v>454</v>
      </c>
      <c r="AY30" s="7005" t="s">
        <v>365</v>
      </c>
      <c r="AZ30" s="7006" t="s">
        <v>454</v>
      </c>
      <c r="BA30" s="7005" t="s">
        <v>365</v>
      </c>
      <c r="BB30" s="7006" t="s">
        <v>454</v>
      </c>
      <c r="BC30" s="7005" t="s">
        <v>365</v>
      </c>
      <c r="BD30" s="7006" t="s">
        <v>454</v>
      </c>
      <c r="BE30" s="7005" t="s">
        <v>365</v>
      </c>
      <c r="BF30" s="7006" t="s">
        <v>454</v>
      </c>
      <c r="BG30" s="7005" t="s">
        <v>365</v>
      </c>
      <c r="BH30" s="7006" t="s">
        <v>454</v>
      </c>
      <c r="BI30" s="7005" t="s">
        <v>365</v>
      </c>
      <c r="BJ30" s="7006" t="s">
        <v>454</v>
      </c>
      <c r="BK30" s="7005" t="s">
        <v>365</v>
      </c>
      <c r="BL30" s="7006" t="s">
        <v>454</v>
      </c>
      <c r="BM30" s="2293"/>
    </row>
    <row customHeight="1" ht="15" hidden="1">
      <c r="C31" s="384"/>
      <c r="D31" s="830"/>
      <c r="E31" s="830"/>
      <c r="F31" s="830"/>
      <c r="G31" s="896"/>
      <c r="H31" s="896"/>
      <c r="I31" s="896"/>
      <c r="J31" s="896"/>
      <c r="K31" s="7008"/>
      <c r="L31" s="7008"/>
      <c r="M31" s="7008"/>
      <c r="N31" s="7008"/>
      <c r="O31" s="7008"/>
      <c r="P31" s="7008"/>
      <c r="Q31" s="7008"/>
      <c r="R31" s="7008"/>
      <c r="S31" s="7008"/>
      <c r="T31" s="7008"/>
      <c r="U31" s="7008"/>
      <c r="V31" s="7008"/>
      <c r="W31" s="7008"/>
      <c r="X31" s="7008"/>
      <c r="Y31" s="7008"/>
      <c r="Z31" s="7008"/>
      <c r="AA31" s="7008"/>
      <c r="AB31" s="7008"/>
      <c r="AC31" s="7008"/>
      <c r="AD31" s="7008"/>
      <c r="AE31" s="7008"/>
      <c r="AF31" s="7008"/>
      <c r="AG31" s="7008"/>
      <c r="AH31" s="7008"/>
      <c r="AI31" s="7008"/>
      <c r="AJ31" s="7008"/>
      <c r="AK31" s="7008"/>
      <c r="AL31" s="7008"/>
      <c r="AM31" s="7008"/>
      <c r="AN31" s="7008"/>
      <c r="AO31" s="7008"/>
      <c r="AP31" s="7008"/>
      <c r="AQ31" s="7008"/>
      <c r="AR31" s="7008"/>
      <c r="AS31" s="7008"/>
      <c r="AT31" s="7008"/>
      <c r="AU31" s="7008"/>
      <c r="AV31" s="7008"/>
      <c r="AW31" s="7008"/>
      <c r="AX31" s="7008"/>
      <c r="AY31" s="7008"/>
      <c r="AZ31" s="7008"/>
      <c r="BA31" s="7008"/>
      <c r="BB31" s="7008"/>
      <c r="BC31" s="7008"/>
      <c r="BD31" s="7008"/>
      <c r="BE31" s="7008"/>
      <c r="BF31" s="7008"/>
      <c r="BG31" s="7008"/>
      <c r="BH31" s="7008"/>
      <c r="BI31" s="7008"/>
      <c r="BJ31" s="7008"/>
      <c r="BK31" s="7008"/>
      <c r="BL31" s="7008"/>
      <c r="BM31" s="499"/>
    </row>
    <row customHeight="1" ht="22.5">
      <c r="A32" s="742"/>
      <c r="B32" s="742" t="s">
        <v>1698</v>
      </c>
      <c r="C32" s="763"/>
      <c r="D32" s="929">
        <v>1</v>
      </c>
      <c r="E32" s="930" t="s">
        <v>1699</v>
      </c>
      <c r="F32" s="928" t="s">
        <v>368</v>
      </c>
      <c r="G32" s="1056" t="s">
        <v>368</v>
      </c>
      <c r="H32" s="1056" t="s">
        <v>368</v>
      </c>
      <c r="I32" s="928" t="s">
        <v>368</v>
      </c>
      <c r="J32" s="928" t="s">
        <v>368</v>
      </c>
      <c r="K32" s="7104" t="s">
        <v>368</v>
      </c>
      <c r="L32" s="7104" t="s">
        <v>368</v>
      </c>
      <c r="M32" s="7104" t="s">
        <v>368</v>
      </c>
      <c r="N32" s="7104" t="s">
        <v>368</v>
      </c>
      <c r="O32" s="7104" t="s">
        <v>368</v>
      </c>
      <c r="P32" s="7104" t="s">
        <v>368</v>
      </c>
      <c r="Q32" s="7104" t="s">
        <v>368</v>
      </c>
      <c r="R32" s="7104" t="s">
        <v>368</v>
      </c>
      <c r="S32" s="7104" t="s">
        <v>368</v>
      </c>
      <c r="T32" s="7104" t="s">
        <v>368</v>
      </c>
      <c r="U32" s="7104" t="s">
        <v>368</v>
      </c>
      <c r="V32" s="7104" t="s">
        <v>368</v>
      </c>
      <c r="W32" s="7104" t="s">
        <v>368</v>
      </c>
      <c r="X32" s="7104" t="s">
        <v>368</v>
      </c>
      <c r="Y32" s="7104" t="s">
        <v>368</v>
      </c>
      <c r="Z32" s="7104" t="s">
        <v>368</v>
      </c>
      <c r="AA32" s="7104" t="s">
        <v>368</v>
      </c>
      <c r="AB32" s="7104" t="s">
        <v>368</v>
      </c>
      <c r="AC32" s="7104" t="s">
        <v>368</v>
      </c>
      <c r="AD32" s="7104" t="s">
        <v>368</v>
      </c>
      <c r="AE32" s="7104" t="s">
        <v>368</v>
      </c>
      <c r="AF32" s="7104" t="s">
        <v>368</v>
      </c>
      <c r="AG32" s="7104" t="s">
        <v>368</v>
      </c>
      <c r="AH32" s="7104" t="s">
        <v>368</v>
      </c>
      <c r="AI32" s="7104" t="s">
        <v>368</v>
      </c>
      <c r="AJ32" s="7104" t="s">
        <v>368</v>
      </c>
      <c r="AK32" s="7104" t="s">
        <v>368</v>
      </c>
      <c r="AL32" s="7104" t="s">
        <v>368</v>
      </c>
      <c r="AM32" s="7104" t="s">
        <v>368</v>
      </c>
      <c r="AN32" s="7104" t="s">
        <v>368</v>
      </c>
      <c r="AO32" s="7104" t="s">
        <v>368</v>
      </c>
      <c r="AP32" s="7104" t="s">
        <v>368</v>
      </c>
      <c r="AQ32" s="7104" t="s">
        <v>368</v>
      </c>
      <c r="AR32" s="7104" t="s">
        <v>368</v>
      </c>
      <c r="AS32" s="7104" t="s">
        <v>368</v>
      </c>
      <c r="AT32" s="7104" t="s">
        <v>368</v>
      </c>
      <c r="AU32" s="7104" t="s">
        <v>368</v>
      </c>
      <c r="AV32" s="7104" t="s">
        <v>368</v>
      </c>
      <c r="AW32" s="7104" t="s">
        <v>368</v>
      </c>
      <c r="AX32" s="7104" t="s">
        <v>368</v>
      </c>
      <c r="AY32" s="7104" t="s">
        <v>368</v>
      </c>
      <c r="AZ32" s="7104" t="s">
        <v>368</v>
      </c>
      <c r="BA32" s="7104" t="s">
        <v>368</v>
      </c>
      <c r="BB32" s="7104" t="s">
        <v>368</v>
      </c>
      <c r="BC32" s="7104" t="s">
        <v>368</v>
      </c>
      <c r="BD32" s="7104" t="s">
        <v>368</v>
      </c>
      <c r="BE32" s="7104" t="s">
        <v>368</v>
      </c>
      <c r="BF32" s="7104" t="s">
        <v>368</v>
      </c>
      <c r="BG32" s="7104" t="s">
        <v>368</v>
      </c>
      <c r="BH32" s="7104" t="s">
        <v>368</v>
      </c>
      <c r="BI32" s="7104" t="s">
        <v>368</v>
      </c>
      <c r="BJ32" s="7104" t="s">
        <v>368</v>
      </c>
      <c r="BK32" s="7104" t="s">
        <v>368</v>
      </c>
      <c r="BL32" s="7104" t="s">
        <v>368</v>
      </c>
      <c r="BM32" s="499"/>
    </row>
    <row customHeight="1" ht="11.25">
      <c r="A33" s="742"/>
      <c r="C33" s="742"/>
      <c r="D33" s="568"/>
      <c r="E33" s="817" t="s">
        <v>1612</v>
      </c>
      <c r="F33" s="809"/>
      <c r="G33" s="809"/>
      <c r="H33" s="809"/>
      <c r="I33" s="809"/>
      <c r="J33" s="809"/>
      <c r="K33" s="7105"/>
      <c r="L33" s="7106"/>
      <c r="M33" s="7107"/>
      <c r="N33" s="7108"/>
      <c r="O33" s="7109"/>
      <c r="P33" s="7110"/>
      <c r="Q33" s="7111"/>
      <c r="R33" s="7112"/>
      <c r="S33" s="7113"/>
      <c r="T33" s="7114"/>
      <c r="U33" s="7115"/>
      <c r="V33" s="7116"/>
      <c r="W33" s="7117"/>
      <c r="X33" s="7118"/>
      <c r="Y33" s="7119"/>
      <c r="Z33" s="7120"/>
      <c r="AA33" s="7121"/>
      <c r="AB33" s="7122"/>
      <c r="AC33" s="7123"/>
      <c r="AD33" s="7124"/>
      <c r="AE33" s="7125"/>
      <c r="AF33" s="7126"/>
      <c r="AG33" s="7127"/>
      <c r="AH33" s="7128"/>
      <c r="AI33" s="7129"/>
      <c r="AJ33" s="7130"/>
      <c r="AK33" s="7131"/>
      <c r="AL33" s="7132"/>
      <c r="AM33" s="7133"/>
      <c r="AN33" s="7134"/>
      <c r="AO33" s="7135"/>
      <c r="AP33" s="7136"/>
      <c r="AQ33" s="7137"/>
      <c r="AR33" s="7138"/>
      <c r="AS33" s="7139"/>
      <c r="AT33" s="7140"/>
      <c r="AU33" s="7141"/>
      <c r="AV33" s="7142"/>
      <c r="AW33" s="7143"/>
      <c r="AX33" s="7144"/>
      <c r="AY33" s="7145"/>
      <c r="AZ33" s="7146"/>
      <c r="BA33" s="7147"/>
      <c r="BB33" s="7148"/>
      <c r="BC33" s="7149"/>
      <c r="BD33" s="7150"/>
      <c r="BE33" s="7151"/>
      <c r="BF33" s="7152"/>
      <c r="BG33" s="7153"/>
      <c r="BH33" s="7154"/>
      <c r="BI33" s="7155"/>
      <c r="BJ33" s="7156"/>
      <c r="BK33" s="7157"/>
      <c r="BL33" s="7158"/>
      <c r="BM33" s="810"/>
      <c r="BW33" s="742"/>
    </row>
    <row customHeight="1" ht="22.5">
      <c r="A34" s="742"/>
      <c r="B34" s="818" t="s">
        <v>1509</v>
      </c>
      <c r="C34" s="763"/>
      <c r="D34" s="929">
        <v>2</v>
      </c>
      <c r="E34" s="930" t="s">
        <v>1700</v>
      </c>
      <c r="F34" s="1063" t="s">
        <v>368</v>
      </c>
      <c r="G34" s="1063" t="s">
        <v>368</v>
      </c>
      <c r="H34" s="1063" t="s">
        <v>368</v>
      </c>
      <c r="I34" s="928"/>
      <c r="J34" s="928"/>
      <c r="K34" s="7104" t="s">
        <v>368</v>
      </c>
      <c r="L34" s="7104" t="s">
        <v>368</v>
      </c>
      <c r="M34" s="7104" t="s">
        <v>368</v>
      </c>
      <c r="N34" s="7104" t="s">
        <v>368</v>
      </c>
      <c r="O34" s="7104" t="s">
        <v>368</v>
      </c>
      <c r="P34" s="7104" t="s">
        <v>368</v>
      </c>
      <c r="Q34" s="7104" t="s">
        <v>368</v>
      </c>
      <c r="R34" s="7104" t="s">
        <v>368</v>
      </c>
      <c r="S34" s="7104" t="s">
        <v>368</v>
      </c>
      <c r="T34" s="7104" t="s">
        <v>368</v>
      </c>
      <c r="U34" s="7104" t="s">
        <v>368</v>
      </c>
      <c r="V34" s="7104" t="s">
        <v>368</v>
      </c>
      <c r="W34" s="7104" t="s">
        <v>368</v>
      </c>
      <c r="X34" s="7104" t="s">
        <v>368</v>
      </c>
      <c r="Y34" s="7104" t="s">
        <v>368</v>
      </c>
      <c r="Z34" s="7104" t="s">
        <v>368</v>
      </c>
      <c r="AA34" s="7104" t="s">
        <v>368</v>
      </c>
      <c r="AB34" s="7104" t="s">
        <v>368</v>
      </c>
      <c r="AC34" s="7104" t="s">
        <v>368</v>
      </c>
      <c r="AD34" s="7104" t="s">
        <v>368</v>
      </c>
      <c r="AE34" s="7104" t="s">
        <v>368</v>
      </c>
      <c r="AF34" s="7104" t="s">
        <v>368</v>
      </c>
      <c r="AG34" s="7104" t="s">
        <v>368</v>
      </c>
      <c r="AH34" s="7104" t="s">
        <v>368</v>
      </c>
      <c r="AI34" s="7104" t="s">
        <v>368</v>
      </c>
      <c r="AJ34" s="7104" t="s">
        <v>368</v>
      </c>
      <c r="AK34" s="7104" t="s">
        <v>368</v>
      </c>
      <c r="AL34" s="7104" t="s">
        <v>368</v>
      </c>
      <c r="AM34" s="7104" t="s">
        <v>368</v>
      </c>
      <c r="AN34" s="7104" t="s">
        <v>368</v>
      </c>
      <c r="AO34" s="7104" t="s">
        <v>368</v>
      </c>
      <c r="AP34" s="7104" t="s">
        <v>368</v>
      </c>
      <c r="AQ34" s="7104" t="s">
        <v>368</v>
      </c>
      <c r="AR34" s="7104" t="s">
        <v>368</v>
      </c>
      <c r="AS34" s="7104" t="s">
        <v>368</v>
      </c>
      <c r="AT34" s="7104" t="s">
        <v>368</v>
      </c>
      <c r="AU34" s="7104" t="s">
        <v>368</v>
      </c>
      <c r="AV34" s="7104" t="s">
        <v>368</v>
      </c>
      <c r="AW34" s="7104" t="s">
        <v>368</v>
      </c>
      <c r="AX34" s="7104" t="s">
        <v>368</v>
      </c>
      <c r="AY34" s="7104" t="s">
        <v>368</v>
      </c>
      <c r="AZ34" s="7104" t="s">
        <v>368</v>
      </c>
      <c r="BA34" s="7104" t="s">
        <v>368</v>
      </c>
      <c r="BB34" s="7104" t="s">
        <v>368</v>
      </c>
      <c r="BC34" s="7104" t="s">
        <v>368</v>
      </c>
      <c r="BD34" s="7104" t="s">
        <v>368</v>
      </c>
      <c r="BE34" s="7104" t="s">
        <v>368</v>
      </c>
      <c r="BF34" s="7104" t="s">
        <v>368</v>
      </c>
      <c r="BG34" s="7104" t="s">
        <v>368</v>
      </c>
      <c r="BH34" s="7104" t="s">
        <v>368</v>
      </c>
      <c r="BI34" s="7104" t="s">
        <v>368</v>
      </c>
      <c r="BJ34" s="7104" t="s">
        <v>368</v>
      </c>
      <c r="BK34" s="7104" t="s">
        <v>368</v>
      </c>
      <c r="BL34" s="7104" t="s">
        <v>368</v>
      </c>
      <c r="BM34" s="499"/>
    </row>
    <row customHeight="1" ht="11.25">
      <c r="A35" s="742"/>
      <c r="C35" s="742"/>
      <c r="D35" s="568"/>
      <c r="E35" s="817" t="s">
        <v>1701</v>
      </c>
      <c r="F35" s="809"/>
      <c r="G35" s="931"/>
      <c r="H35" s="809"/>
      <c r="I35" s="931"/>
      <c r="J35" s="809"/>
      <c r="K35" s="7163"/>
      <c r="L35" s="7164"/>
      <c r="M35" s="7165"/>
      <c r="N35" s="7166"/>
      <c r="O35" s="7167"/>
      <c r="P35" s="7168"/>
      <c r="Q35" s="7169"/>
      <c r="R35" s="7170"/>
      <c r="S35" s="7171"/>
      <c r="T35" s="7172"/>
      <c r="U35" s="7173"/>
      <c r="V35" s="7174"/>
      <c r="W35" s="7175"/>
      <c r="X35" s="7176"/>
      <c r="Y35" s="7177"/>
      <c r="Z35" s="7178"/>
      <c r="AA35" s="7179"/>
      <c r="AB35" s="7180"/>
      <c r="AC35" s="7181"/>
      <c r="AD35" s="7182"/>
      <c r="AE35" s="7183"/>
      <c r="AF35" s="7184"/>
      <c r="AG35" s="7185"/>
      <c r="AH35" s="7186"/>
      <c r="AI35" s="7187"/>
      <c r="AJ35" s="7188"/>
      <c r="AK35" s="7189"/>
      <c r="AL35" s="7190"/>
      <c r="AM35" s="7191"/>
      <c r="AN35" s="7192"/>
      <c r="AO35" s="7193"/>
      <c r="AP35" s="7194"/>
      <c r="AQ35" s="7195"/>
      <c r="AR35" s="7196"/>
      <c r="AS35" s="7197"/>
      <c r="AT35" s="7198"/>
      <c r="AU35" s="7199"/>
      <c r="AV35" s="7200"/>
      <c r="AW35" s="7201"/>
      <c r="AX35" s="7202"/>
      <c r="AY35" s="7203"/>
      <c r="AZ35" s="7204"/>
      <c r="BA35" s="7205"/>
      <c r="BB35" s="7206"/>
      <c r="BC35" s="7207"/>
      <c r="BD35" s="7208"/>
      <c r="BE35" s="7209"/>
      <c r="BF35" s="7210"/>
      <c r="BG35" s="7211"/>
      <c r="BH35" s="7212"/>
      <c r="BI35" s="7213"/>
      <c r="BJ35" s="7214"/>
      <c r="BK35" s="7215"/>
      <c r="BL35" s="7216"/>
      <c r="BM35" s="810"/>
      <c r="BW35" s="742"/>
    </row>
    <row customHeight="1" ht="67.5">
      <c r="A36" s="742"/>
      <c r="B36" s="742" t="s">
        <v>1702</v>
      </c>
      <c r="C36" s="763"/>
      <c r="D36" s="929">
        <v>3</v>
      </c>
      <c r="E36" s="930" t="s">
        <v>1703</v>
      </c>
      <c r="F36" s="932" t="s">
        <v>368</v>
      </c>
      <c r="G36" s="1057" t="s">
        <v>1704</v>
      </c>
      <c r="H36" s="1056" t="s">
        <v>368</v>
      </c>
      <c r="I36" s="761" t="s">
        <v>1704</v>
      </c>
      <c r="J36" s="928" t="s">
        <v>368</v>
      </c>
      <c r="K36" s="7220" t="s">
        <v>1704</v>
      </c>
      <c r="L36" s="7104" t="s">
        <v>368</v>
      </c>
      <c r="M36" s="7220" t="s">
        <v>1704</v>
      </c>
      <c r="N36" s="7104" t="s">
        <v>368</v>
      </c>
      <c r="O36" s="7220" t="s">
        <v>1704</v>
      </c>
      <c r="P36" s="7104" t="s">
        <v>368</v>
      </c>
      <c r="Q36" s="7220" t="s">
        <v>1704</v>
      </c>
      <c r="R36" s="7104" t="s">
        <v>368</v>
      </c>
      <c r="S36" s="7220" t="s">
        <v>1704</v>
      </c>
      <c r="T36" s="7104" t="s">
        <v>368</v>
      </c>
      <c r="U36" s="7220" t="s">
        <v>1704</v>
      </c>
      <c r="V36" s="7104" t="s">
        <v>368</v>
      </c>
      <c r="W36" s="7220" t="s">
        <v>1704</v>
      </c>
      <c r="X36" s="7104" t="s">
        <v>368</v>
      </c>
      <c r="Y36" s="7220" t="s">
        <v>1704</v>
      </c>
      <c r="Z36" s="7104" t="s">
        <v>368</v>
      </c>
      <c r="AA36" s="7220" t="s">
        <v>1704</v>
      </c>
      <c r="AB36" s="7104" t="s">
        <v>368</v>
      </c>
      <c r="AC36" s="7220" t="s">
        <v>1704</v>
      </c>
      <c r="AD36" s="7104" t="s">
        <v>368</v>
      </c>
      <c r="AE36" s="7220" t="s">
        <v>1704</v>
      </c>
      <c r="AF36" s="7104" t="s">
        <v>368</v>
      </c>
      <c r="AG36" s="7220" t="s">
        <v>1704</v>
      </c>
      <c r="AH36" s="7104" t="s">
        <v>368</v>
      </c>
      <c r="AI36" s="7220" t="s">
        <v>1704</v>
      </c>
      <c r="AJ36" s="7104" t="s">
        <v>368</v>
      </c>
      <c r="AK36" s="7220" t="s">
        <v>1704</v>
      </c>
      <c r="AL36" s="7104" t="s">
        <v>368</v>
      </c>
      <c r="AM36" s="7220" t="s">
        <v>1704</v>
      </c>
      <c r="AN36" s="7104" t="s">
        <v>368</v>
      </c>
      <c r="AO36" s="7220" t="s">
        <v>1704</v>
      </c>
      <c r="AP36" s="7104" t="s">
        <v>368</v>
      </c>
      <c r="AQ36" s="7220" t="s">
        <v>1704</v>
      </c>
      <c r="AR36" s="7104" t="s">
        <v>368</v>
      </c>
      <c r="AS36" s="7220" t="s">
        <v>1704</v>
      </c>
      <c r="AT36" s="7104" t="s">
        <v>368</v>
      </c>
      <c r="AU36" s="7220" t="s">
        <v>1704</v>
      </c>
      <c r="AV36" s="7104" t="s">
        <v>368</v>
      </c>
      <c r="AW36" s="7220" t="s">
        <v>1704</v>
      </c>
      <c r="AX36" s="7104" t="s">
        <v>368</v>
      </c>
      <c r="AY36" s="7220" t="s">
        <v>1704</v>
      </c>
      <c r="AZ36" s="7104" t="s">
        <v>368</v>
      </c>
      <c r="BA36" s="7220" t="s">
        <v>1704</v>
      </c>
      <c r="BB36" s="7104" t="s">
        <v>368</v>
      </c>
      <c r="BC36" s="7220" t="s">
        <v>1704</v>
      </c>
      <c r="BD36" s="7104" t="s">
        <v>368</v>
      </c>
      <c r="BE36" s="7220" t="s">
        <v>1704</v>
      </c>
      <c r="BF36" s="7104" t="s">
        <v>368</v>
      </c>
      <c r="BG36" s="7220" t="s">
        <v>1704</v>
      </c>
      <c r="BH36" s="7104" t="s">
        <v>368</v>
      </c>
      <c r="BI36" s="7220" t="s">
        <v>1704</v>
      </c>
      <c r="BJ36" s="7104" t="s">
        <v>368</v>
      </c>
      <c r="BK36" s="7220" t="s">
        <v>1704</v>
      </c>
      <c r="BL36" s="7104" t="s">
        <v>368</v>
      </c>
      <c r="BM36" s="499" t="s">
        <v>1705</v>
      </c>
    </row>
    <row customHeight="1" ht="11.25">
      <c r="A37" s="742"/>
      <c r="C37" s="742"/>
      <c r="D37" s="568"/>
      <c r="E37" s="817" t="s">
        <v>1706</v>
      </c>
      <c r="F37" s="809"/>
      <c r="G37" s="931"/>
      <c r="H37" s="931"/>
      <c r="I37" s="931"/>
      <c r="J37" s="931"/>
      <c r="K37" s="7221"/>
      <c r="L37" s="7222"/>
      <c r="M37" s="7223"/>
      <c r="N37" s="7224"/>
      <c r="O37" s="7225"/>
      <c r="P37" s="7226"/>
      <c r="Q37" s="7227"/>
      <c r="R37" s="7228"/>
      <c r="S37" s="7229"/>
      <c r="T37" s="7230"/>
      <c r="U37" s="7231"/>
      <c r="V37" s="7232"/>
      <c r="W37" s="7233"/>
      <c r="X37" s="7234"/>
      <c r="Y37" s="7235"/>
      <c r="Z37" s="7236"/>
      <c r="AA37" s="7237"/>
      <c r="AB37" s="7238"/>
      <c r="AC37" s="7239"/>
      <c r="AD37" s="7240"/>
      <c r="AE37" s="7241"/>
      <c r="AF37" s="7242"/>
      <c r="AG37" s="7243"/>
      <c r="AH37" s="7244"/>
      <c r="AI37" s="7245"/>
      <c r="AJ37" s="7246"/>
      <c r="AK37" s="7247"/>
      <c r="AL37" s="7248"/>
      <c r="AM37" s="7249"/>
      <c r="AN37" s="7250"/>
      <c r="AO37" s="7251"/>
      <c r="AP37" s="7252"/>
      <c r="AQ37" s="7253"/>
      <c r="AR37" s="7254"/>
      <c r="AS37" s="7255"/>
      <c r="AT37" s="7256"/>
      <c r="AU37" s="7257"/>
      <c r="AV37" s="7258"/>
      <c r="AW37" s="7259"/>
      <c r="AX37" s="7260"/>
      <c r="AY37" s="7261"/>
      <c r="AZ37" s="7262"/>
      <c r="BA37" s="7263"/>
      <c r="BB37" s="7264"/>
      <c r="BC37" s="7265"/>
      <c r="BD37" s="7266"/>
      <c r="BE37" s="7267"/>
      <c r="BF37" s="7268"/>
      <c r="BG37" s="7269"/>
      <c r="BH37" s="7270"/>
      <c r="BI37" s="7271"/>
      <c r="BJ37" s="7272"/>
      <c r="BK37" s="7273"/>
      <c r="BL37" s="7274"/>
      <c r="BM37" s="810"/>
      <c r="BW37" s="742"/>
    </row>
    <row customHeight="1" ht="67.5">
      <c r="A38" s="742"/>
      <c r="B38" s="742" t="s">
        <v>1707</v>
      </c>
      <c r="C38" s="763"/>
      <c r="D38" s="929">
        <v>4</v>
      </c>
      <c r="E38" s="930" t="s">
        <v>1708</v>
      </c>
      <c r="F38" s="932" t="s">
        <v>368</v>
      </c>
      <c r="G38" s="1057" t="s">
        <v>1704</v>
      </c>
      <c r="H38" s="1058" t="s">
        <v>368</v>
      </c>
      <c r="I38" s="761" t="s">
        <v>1704</v>
      </c>
      <c r="J38" s="758" t="s">
        <v>368</v>
      </c>
      <c r="K38" s="7220" t="s">
        <v>1704</v>
      </c>
      <c r="L38" s="7017" t="s">
        <v>368</v>
      </c>
      <c r="M38" s="7220" t="s">
        <v>1704</v>
      </c>
      <c r="N38" s="7017" t="s">
        <v>368</v>
      </c>
      <c r="O38" s="7220" t="s">
        <v>1704</v>
      </c>
      <c r="P38" s="7017" t="s">
        <v>368</v>
      </c>
      <c r="Q38" s="7220" t="s">
        <v>1704</v>
      </c>
      <c r="R38" s="7017" t="s">
        <v>368</v>
      </c>
      <c r="S38" s="7220" t="s">
        <v>1704</v>
      </c>
      <c r="T38" s="7017" t="s">
        <v>368</v>
      </c>
      <c r="U38" s="7220" t="s">
        <v>1704</v>
      </c>
      <c r="V38" s="7017" t="s">
        <v>368</v>
      </c>
      <c r="W38" s="7220" t="s">
        <v>1704</v>
      </c>
      <c r="X38" s="7017" t="s">
        <v>368</v>
      </c>
      <c r="Y38" s="7220" t="s">
        <v>1704</v>
      </c>
      <c r="Z38" s="7017" t="s">
        <v>368</v>
      </c>
      <c r="AA38" s="7220" t="s">
        <v>1704</v>
      </c>
      <c r="AB38" s="7017" t="s">
        <v>368</v>
      </c>
      <c r="AC38" s="7220" t="s">
        <v>1704</v>
      </c>
      <c r="AD38" s="7017" t="s">
        <v>368</v>
      </c>
      <c r="AE38" s="7220" t="s">
        <v>1704</v>
      </c>
      <c r="AF38" s="7017" t="s">
        <v>368</v>
      </c>
      <c r="AG38" s="7220" t="s">
        <v>1704</v>
      </c>
      <c r="AH38" s="7017" t="s">
        <v>368</v>
      </c>
      <c r="AI38" s="7220" t="s">
        <v>1704</v>
      </c>
      <c r="AJ38" s="7017" t="s">
        <v>368</v>
      </c>
      <c r="AK38" s="7220" t="s">
        <v>1704</v>
      </c>
      <c r="AL38" s="7017" t="s">
        <v>368</v>
      </c>
      <c r="AM38" s="7220" t="s">
        <v>1704</v>
      </c>
      <c r="AN38" s="7017" t="s">
        <v>368</v>
      </c>
      <c r="AO38" s="7220" t="s">
        <v>1704</v>
      </c>
      <c r="AP38" s="7017" t="s">
        <v>368</v>
      </c>
      <c r="AQ38" s="7220" t="s">
        <v>1704</v>
      </c>
      <c r="AR38" s="7017" t="s">
        <v>368</v>
      </c>
      <c r="AS38" s="7220" t="s">
        <v>1704</v>
      </c>
      <c r="AT38" s="7017" t="s">
        <v>368</v>
      </c>
      <c r="AU38" s="7220" t="s">
        <v>1704</v>
      </c>
      <c r="AV38" s="7017" t="s">
        <v>368</v>
      </c>
      <c r="AW38" s="7220" t="s">
        <v>1704</v>
      </c>
      <c r="AX38" s="7017" t="s">
        <v>368</v>
      </c>
      <c r="AY38" s="7220" t="s">
        <v>1704</v>
      </c>
      <c r="AZ38" s="7017" t="s">
        <v>368</v>
      </c>
      <c r="BA38" s="7220" t="s">
        <v>1704</v>
      </c>
      <c r="BB38" s="7017" t="s">
        <v>368</v>
      </c>
      <c r="BC38" s="7220" t="s">
        <v>1704</v>
      </c>
      <c r="BD38" s="7017" t="s">
        <v>368</v>
      </c>
      <c r="BE38" s="7220" t="s">
        <v>1704</v>
      </c>
      <c r="BF38" s="7017" t="s">
        <v>368</v>
      </c>
      <c r="BG38" s="7220" t="s">
        <v>1704</v>
      </c>
      <c r="BH38" s="7017" t="s">
        <v>368</v>
      </c>
      <c r="BI38" s="7220" t="s">
        <v>1704</v>
      </c>
      <c r="BJ38" s="7017" t="s">
        <v>368</v>
      </c>
      <c r="BK38" s="7220" t="s">
        <v>1704</v>
      </c>
      <c r="BL38" s="7017" t="s">
        <v>368</v>
      </c>
      <c r="BM38" s="916" t="s">
        <v>1709</v>
      </c>
    </row>
    <row customHeight="1" ht="11.25">
      <c r="A39" s="742"/>
      <c r="C39" s="742"/>
      <c r="D39" s="568"/>
      <c r="E39" s="817" t="s">
        <v>1710</v>
      </c>
      <c r="F39" s="809"/>
      <c r="G39" s="809"/>
      <c r="H39" s="933"/>
      <c r="I39" s="809"/>
      <c r="J39" s="933"/>
      <c r="K39" s="7277"/>
      <c r="L39" s="7278"/>
      <c r="M39" s="7279"/>
      <c r="N39" s="7280"/>
      <c r="O39" s="7281"/>
      <c r="P39" s="7282"/>
      <c r="Q39" s="7283"/>
      <c r="R39" s="7284"/>
      <c r="S39" s="7285"/>
      <c r="T39" s="7286"/>
      <c r="U39" s="7287"/>
      <c r="V39" s="7288"/>
      <c r="W39" s="7289"/>
      <c r="X39" s="7290"/>
      <c r="Y39" s="7291"/>
      <c r="Z39" s="7292"/>
      <c r="AA39" s="7293"/>
      <c r="AB39" s="7294"/>
      <c r="AC39" s="7295"/>
      <c r="AD39" s="7296"/>
      <c r="AE39" s="7297"/>
      <c r="AF39" s="7298"/>
      <c r="AG39" s="7299"/>
      <c r="AH39" s="7300"/>
      <c r="AI39" s="7301"/>
      <c r="AJ39" s="7302"/>
      <c r="AK39" s="7303"/>
      <c r="AL39" s="7304"/>
      <c r="AM39" s="7305"/>
      <c r="AN39" s="7306"/>
      <c r="AO39" s="7307"/>
      <c r="AP39" s="7308"/>
      <c r="AQ39" s="7309"/>
      <c r="AR39" s="7310"/>
      <c r="AS39" s="7311"/>
      <c r="AT39" s="7312"/>
      <c r="AU39" s="7313"/>
      <c r="AV39" s="7314"/>
      <c r="AW39" s="7315"/>
      <c r="AX39" s="7316"/>
      <c r="AY39" s="7317"/>
      <c r="AZ39" s="7318"/>
      <c r="BA39" s="7319"/>
      <c r="BB39" s="7320"/>
      <c r="BC39" s="7321"/>
      <c r="BD39" s="7322"/>
      <c r="BE39" s="7323"/>
      <c r="BF39" s="7324"/>
      <c r="BG39" s="7325"/>
      <c r="BH39" s="7326"/>
      <c r="BI39" s="7327"/>
      <c r="BJ39" s="7328"/>
      <c r="BK39" s="7329"/>
      <c r="BL39" s="7330"/>
      <c r="BM39" s="810"/>
      <c r="BW39" s="742"/>
    </row>
  </sheetData>
  <sheetProtection formatColumns="0" formatRows="0" autoFilter="0" sort="0" insertRows="0" insertColumns="1" deleteRows="0" deleteColumns="0"/>
  <mergeCells count="102">
    <mergeCell ref="B3:B4"/>
    <mergeCell ref="C3:C4"/>
    <mergeCell ref="B6:B7"/>
    <mergeCell ref="C6:C7"/>
    <mergeCell ref="B9:B11"/>
    <mergeCell ref="C9:C11"/>
    <mergeCell ref="B13:B14"/>
    <mergeCell ref="C13:C14"/>
    <mergeCell ref="D22:I22"/>
    <mergeCell ref="D23:I23"/>
    <mergeCell ref="I26:J26"/>
    <mergeCell ref="E26:F26"/>
    <mergeCell ref="G28:H28"/>
    <mergeCell ref="BM26:BM30"/>
    <mergeCell ref="E27:F27"/>
    <mergeCell ref="E28:F28"/>
    <mergeCell ref="I27:J27"/>
    <mergeCell ref="I28:J28"/>
    <mergeCell ref="G26:H26"/>
    <mergeCell ref="G27:H27"/>
    <mergeCell ref="D29:F29"/>
    <mergeCell ref="K28:L28"/>
    <mergeCell ref="K26:L26"/>
    <mergeCell ref="K27:L27"/>
    <mergeCell ref="M28:N28"/>
    <mergeCell ref="M26:N26"/>
    <mergeCell ref="M27:N27"/>
    <mergeCell ref="O28:P28"/>
    <mergeCell ref="O26:P26"/>
    <mergeCell ref="O27:P27"/>
    <mergeCell ref="Q28:R28"/>
    <mergeCell ref="Q26:R26"/>
    <mergeCell ref="Q27:R27"/>
    <mergeCell ref="S28:T28"/>
    <mergeCell ref="S26:T26"/>
    <mergeCell ref="S27:T27"/>
    <mergeCell ref="U28:V28"/>
    <mergeCell ref="U26:V26"/>
    <mergeCell ref="U27:V27"/>
    <mergeCell ref="W28:X28"/>
    <mergeCell ref="W26:X26"/>
    <mergeCell ref="W27:X27"/>
    <mergeCell ref="Y28:Z28"/>
    <mergeCell ref="Y26:Z26"/>
    <mergeCell ref="Y27:Z27"/>
    <mergeCell ref="AA28:AB28"/>
    <mergeCell ref="AA26:AB26"/>
    <mergeCell ref="AA27:AB27"/>
    <mergeCell ref="AC28:AD28"/>
    <mergeCell ref="AC26:AD26"/>
    <mergeCell ref="AC27:AD27"/>
    <mergeCell ref="AE28:AF28"/>
    <mergeCell ref="AE26:AF26"/>
    <mergeCell ref="AE27:AF27"/>
    <mergeCell ref="AG28:AH28"/>
    <mergeCell ref="AG26:AH26"/>
    <mergeCell ref="AG27:AH27"/>
    <mergeCell ref="AI28:AJ28"/>
    <mergeCell ref="AI26:AJ26"/>
    <mergeCell ref="AI27:AJ27"/>
    <mergeCell ref="AK28:AL28"/>
    <mergeCell ref="AK26:AL26"/>
    <mergeCell ref="AK27:AL27"/>
    <mergeCell ref="AM28:AN28"/>
    <mergeCell ref="AM26:AN26"/>
    <mergeCell ref="AM27:AN27"/>
    <mergeCell ref="AO28:AP28"/>
    <mergeCell ref="AO26:AP26"/>
    <mergeCell ref="AO27:AP27"/>
    <mergeCell ref="AQ28:AR28"/>
    <mergeCell ref="AQ26:AR26"/>
    <mergeCell ref="AQ27:AR27"/>
    <mergeCell ref="AS28:AT28"/>
    <mergeCell ref="AS26:AT26"/>
    <mergeCell ref="AS27:AT27"/>
    <mergeCell ref="AU28:AV28"/>
    <mergeCell ref="AU26:AV26"/>
    <mergeCell ref="AU27:AV27"/>
    <mergeCell ref="AW28:AX28"/>
    <mergeCell ref="AW26:AX26"/>
    <mergeCell ref="AW27:AX27"/>
    <mergeCell ref="AY28:AZ28"/>
    <mergeCell ref="AY26:AZ26"/>
    <mergeCell ref="AY27:AZ27"/>
    <mergeCell ref="BA28:BB28"/>
    <mergeCell ref="BA26:BB26"/>
    <mergeCell ref="BA27:BB27"/>
    <mergeCell ref="BC28:BD28"/>
    <mergeCell ref="BC26:BD26"/>
    <mergeCell ref="BC27:BD27"/>
    <mergeCell ref="BE28:BF28"/>
    <mergeCell ref="BE26:BF26"/>
    <mergeCell ref="BE27:BF27"/>
    <mergeCell ref="BG28:BH28"/>
    <mergeCell ref="BG26:BH26"/>
    <mergeCell ref="BG27:BH27"/>
    <mergeCell ref="BI28:BJ28"/>
    <mergeCell ref="BI26:BJ26"/>
    <mergeCell ref="BI27:BJ27"/>
    <mergeCell ref="BK28:BL28"/>
    <mergeCell ref="BK26:BL26"/>
    <mergeCell ref="BK27:BL27"/>
  </mergeCells>
  <dataValidations count="5">
    <dataValidation allowBlank="1" showInputMessage="1" showErrorMessage="1" prompt="Для выбора выполните двойной щелчок левой клавиши мыши по ячейке." sqref="I36 G38 I38 G36 K36 K38 M36 M38 O36 O38 Q36 Q38 S36 S38 U36 U38 W36 W38 Y36 Y38 AA36 AA38 AC36 AC38 AE36 AE38 AG36 AG38 AI36 AI38 AK36 AK38 AM36 AM38 AO36 AO38 AQ36 AQ38 AS36 AS38 AU36 AU38 AW36 AW38 AY36 AY38 BA36 BA38 BC36 BC38 BE36 BE38 BG36 BG38 BI36 BI38 BK36 BK38"/>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J13:J14 L13:L14 N13:N14 P13:P14 R13:R14 T13:T14 V13:V14 X13:X14 Z13:Z14 AB13:AB14 AD13:AD14 AF13:AF14 AH13:AH14 AJ13:AJ14 AL13:AL14 AN13:AN14 AP13:AP14 AR13:AR14 AT13:AT14 AV13:AV14 AX13:AX14 AZ13:AZ14 BB13:BB14 BD13:BD14 BF13:BF14 BH13:BH14 BJ13:BJ14 BL13:BL14 J3:J4 L3:L4 N3:N4 P3:P4 R3:R4 T3:T4 V3:V4 X3:X4 Z3:Z4 AB3:AB4 AD3:AD4 AF3:AF4 AH3:AH4 AJ3:AJ4 AL3:AL4 AN3:AN4 AP3:AP4 AR3:AR4 AT3:AT4 AV3:AV4 AX3:AX4 AZ3:AZ4 BB3:BB4 BD3:BD4 BF3:BF4 BH3:BH4 BJ3:BJ4 BL3:BL4 J6:J7 L6:L7 N6:N7 P6:P7 R6:R7 T6:T7 V6:V7 X6:X7 Z6:Z7 AB6:AB7 AD6:AD7 AF6:AF7 AH6:AH7 AJ6:AJ7 AL6:AL7 AN6:AN7 AP6:AP7 AR6:AR7 AT6:AT7 AV6:AV7 AX6:AX7 AZ6:AZ7 BB6:BB7 BD6:BD7 BF6:BF7 BH6:BH7 BJ6:BJ7 BL6:BL7 H3:H4 H6:H7 H9:H11 H13:H14 J9:J11 L9:L11 N9:N11 P9:P11 R9:R11 T9:T11 V9:V11 X9:X11 Z9:Z11 AB9:AB11 AD9:AD11 AF9:AF11 AH9:AH11 AJ9:AJ11 AL9:AL11 AN9:AN11 AP9:AP11 AR9:AR11 AT9:AT11 AV9:AV11 AX9:AX11 AZ9:AZ11 BB9:BB11 BD9:BD11 BF9:BF11 BH9:BH11 BJ9:BJ11 BL9:BL11">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4 I4 I10:I11 G7 G14 I7 G10:G11 G4 K4 K7 K10 K11 K14 M4 M7 M10 M11 M14 O4 O7 O10 O11 O14 Q4 Q7 Q10 Q11 Q14 S4 S7 S10 S11 S14 U4 U7 U10 U11 U14 W4 W7 W10 W11 W14 Y4 Y7 Y10 Y11 Y14 AA4 AA7 AA10 AA11 AA14 AC4 AC7 AC10 AC11 AC14 AE4 AE7 AE10 AE11 AE14 AG4 AG7 AG10 AG11 AG14 AI4 AI7 AI10 AI11 AI14 AK4 AK7 AK10 AK11 AK14 AM4 AM7 AM10 AM11 AM14 AO4 AO7 AO10 AO11 AO14 AQ4 AQ7 AQ10 AQ11 AQ14 AS4 AS7 AS10 AS11 AS14 AU4 AU7 AU10 AU11 AU14 AW4 AW7 AW10 AW11 AW14 AY4 AY7 AY10 AY11 AY14 BA4 BA7 BA10 BA11 BA14 BC4 BC7 BC10 BC11 BC14 BE4 BE7 BE10 BE11 BE14 BG4 BG7 BG10 BG11 BG14 BI4 BI7 BI10 BI11 BI14 BK4 BK7 BK10 BK11 BK14"/>
    <dataValidation type="textLength" operator="lessThanOrEqual" allowBlank="1" showInputMessage="1" showErrorMessage="1" errorTitle="Ошибка" error="Допускается ввод не более 900 символов!" sqref="I3 I6 I9 I13 G6 G13 G9 G3 K3 K6 K9 K13 M3 M6 M9 M13 O3 O6 O9 O13 Q3 Q6 Q9 Q13 S3 S6 S9 S13 U3 U6 U9 U13 W3 W6 W9 W13 Y3 Y6 Y9 Y13 AA3 AA6 AA9 AA13 AC3 AC6 AC9 AC13 AE3 AE6 AE9 AE13 AG3 AG6 AG9 AG13 AI3 AI6 AI9 AI13 AK3 AK6 AK9 AK13 AM3 AM6 AM9 AM13 AO3 AO6 AO9 AO13 AQ3 AQ6 AQ9 AQ13 AS3 AS6 AS9 AS13 AU3 AU6 AU9 AU13 AW3 AW6 AW9 AW13 AY3 AY6 AY9 AY13 BA3 BA6 BA9 BA13 BC3 BC6 BC9 BC13 BE3 BE6 BE9 BE13 BG3 BG6 BG9 BG13 BI3 BI6 BI9 BI13 BK3 BK6 BK9 BK13">
      <formula1>900</formula1>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30"/>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3C6F2BB-494B-E823-A1BB-CC44B3CD25A3}" mc:Ignorable="x14ac xr xr2 xr3">
  <sheetPr>
    <tabColor theme="6" tint="0.4"/>
  </sheetPr>
  <dimension ref="A1:AF39"/>
  <sheetViews>
    <sheetView topLeftCell="C4" showGridLines="0" zoomScale="86" workbookViewId="0">
      <selection activeCell="A1" sqref="A1"/>
    </sheetView>
  </sheetViews>
  <sheetFormatPr defaultColWidth="10.57421875" customHeight="1" defaultRowHeight="14.25"/>
  <cols>
    <col min="1" max="1" style="11241" width="9.140625" hidden="1" customWidth="1"/>
    <col min="2" max="2" style="11074" width="9.140625" hidden="1" customWidth="1"/>
    <col min="3" max="3" style="10046" width="3.7109375" customWidth="1"/>
    <col min="4" max="4" style="11126" width="6.28125" customWidth="1"/>
    <col min="5" max="5" style="11126" width="46.7109375" customWidth="1"/>
    <col min="6" max="6" style="11126" width="35.7109375" customWidth="1"/>
    <col min="7" max="7" style="11126" width="3.7109375" customWidth="1"/>
    <col min="8" max="9" style="11126" width="11.7109375" customWidth="1"/>
    <col min="10" max="11" style="11126" width="35.7109375" customWidth="1"/>
    <col min="12" max="12" style="11126" width="84.8515625" hidden="1" customWidth="1"/>
    <col min="13" max="13" style="11126" width="10.57421875"/>
    <col min="14" max="15" style="11318" width="10.57421875"/>
    <col min="16" max="32" style="11126" width="10.57421875"/>
  </cols>
  <sheetData>
    <row customHeight="1" ht="14.25" hidden="1">
      <c r="S1" s="629"/>
      <c r="AF1" s="463"/>
    </row>
    <row customHeight="1" ht="14.25" hidden="1"/>
    <row customHeight="1" ht="14.25" hidden="1"/>
    <row customHeight="1" ht="6">
      <c r="C4" s="602"/>
      <c r="D4" s="586"/>
      <c r="E4" s="586"/>
      <c r="F4" s="586"/>
      <c r="G4" s="586"/>
      <c r="H4" s="586"/>
      <c r="I4" s="586"/>
      <c r="J4" s="586"/>
      <c r="K4" s="287"/>
      <c r="L4" s="287"/>
    </row>
    <row customHeight="1" ht="26.25">
      <c r="C5" s="602"/>
      <c r="D5" s="2526" t="s">
        <v>1711</v>
      </c>
      <c r="E5" s="2526"/>
      <c r="F5" s="2526"/>
      <c r="G5" s="2526"/>
      <c r="H5" s="2526"/>
      <c r="I5" s="2526"/>
      <c r="J5" s="2526"/>
      <c r="K5" s="2526"/>
      <c r="L5" s="428"/>
    </row>
    <row customHeight="1" ht="6">
      <c r="C6" s="602"/>
      <c r="D6" s="586"/>
      <c r="E6" s="621"/>
      <c r="F6" s="621"/>
      <c r="G6" s="621"/>
      <c r="H6" s="621"/>
      <c r="I6" s="621"/>
      <c r="J6" s="621"/>
      <c r="K6" s="541"/>
      <c r="L6" s="400"/>
    </row>
    <row customHeight="1" ht="18.75">
      <c r="C7" s="602"/>
      <c r="D7" s="586"/>
      <c r="E7" s="516">
        <f>"Дата подачи заявления об "&amp;IF(datePr_ch="","утверждении","изменении")&amp;" тарифов"</f>
      </c>
      <c r="F7" s="2417">
        <f>IF(datePr_ch="",IF(datePr="","",datePr),datePr_ch)</f>
      </c>
      <c r="G7" s="2417"/>
      <c r="H7" s="2417"/>
      <c r="I7" s="2417"/>
      <c r="J7" s="2417"/>
      <c r="K7" s="2417"/>
      <c r="L7" s="630"/>
      <c r="M7" s="547"/>
    </row>
    <row customHeight="1" ht="18.75">
      <c r="C8" s="602"/>
      <c r="D8" s="586"/>
      <c r="E8" s="516">
        <f>"Номер подачи заявления об "&amp;IF(numberPr_ch="","утверждении","изменении")&amp;" тарифов"</f>
      </c>
      <c r="F8" s="2417">
        <f>IF(numberPr_ch="",IF(numberPr="","",numberPr),numberPr_ch)</f>
      </c>
      <c r="G8" s="2417"/>
      <c r="H8" s="2417"/>
      <c r="I8" s="2417"/>
      <c r="J8" s="2417"/>
      <c r="K8" s="2417"/>
      <c r="L8" s="630"/>
      <c r="M8" s="547"/>
    </row>
    <row customHeight="1" ht="14.25">
      <c r="C9" s="602"/>
      <c r="D9" s="586"/>
      <c r="E9" s="621"/>
      <c r="F9" s="621"/>
      <c r="G9" s="621"/>
      <c r="H9" s="621"/>
      <c r="I9" s="621"/>
      <c r="J9" s="621"/>
      <c r="K9" s="991" t="s">
        <v>1712</v>
      </c>
      <c r="L9" s="400"/>
    </row>
    <row customHeight="1" ht="21">
      <c r="C10" s="602"/>
      <c r="D10" s="2301" t="s">
        <v>362</v>
      </c>
      <c r="E10" s="2301"/>
      <c r="F10" s="2301"/>
      <c r="G10" s="2301"/>
      <c r="H10" s="2301"/>
      <c r="I10" s="2301"/>
      <c r="J10" s="2301"/>
      <c r="K10" s="2301"/>
      <c r="L10" s="2407" t="s">
        <v>363</v>
      </c>
    </row>
    <row customHeight="1" ht="21">
      <c r="C11" s="602"/>
      <c r="D11" s="2444" t="s">
        <v>88</v>
      </c>
      <c r="E11" s="2562" t="s">
        <v>199</v>
      </c>
      <c r="F11" s="2562" t="s">
        <v>200</v>
      </c>
      <c r="G11" s="2570" t="s">
        <v>1713</v>
      </c>
      <c r="H11" s="2571"/>
      <c r="I11" s="2572"/>
      <c r="J11" s="2562" t="s">
        <v>365</v>
      </c>
      <c r="K11" s="2562" t="s">
        <v>454</v>
      </c>
      <c r="L11" s="2407"/>
    </row>
    <row customHeight="1" ht="21">
      <c r="C12" s="602"/>
      <c r="D12" s="2446"/>
      <c r="E12" s="2563"/>
      <c r="F12" s="2563"/>
      <c r="G12" s="2564" t="s">
        <v>765</v>
      </c>
      <c r="H12" s="2565"/>
      <c r="I12" s="313" t="s">
        <v>1714</v>
      </c>
      <c r="J12" s="2563"/>
      <c r="K12" s="2563"/>
      <c r="L12" s="2407"/>
    </row>
    <row customHeight="1" ht="12">
      <c r="C13" s="602"/>
      <c r="D13" s="491" t="s">
        <v>109</v>
      </c>
      <c r="E13" s="491" t="s">
        <v>110</v>
      </c>
      <c r="F13" s="491" t="s">
        <v>90</v>
      </c>
      <c r="G13" s="2566" t="s">
        <v>91</v>
      </c>
      <c r="H13" s="2566"/>
      <c r="I13" s="491" t="s">
        <v>111</v>
      </c>
      <c r="J13" s="491" t="s">
        <v>92</v>
      </c>
      <c r="K13" s="491" t="s">
        <v>93</v>
      </c>
      <c r="L13" s="491" t="s">
        <v>112</v>
      </c>
    </row>
    <row customHeight="1" ht="14.25">
      <c r="A14" s="564"/>
      <c r="C14" s="602"/>
      <c r="D14" s="631">
        <v>1</v>
      </c>
      <c r="E14" s="2539" t="s">
        <v>1715</v>
      </c>
      <c r="F14" s="2540"/>
      <c r="G14" s="2540"/>
      <c r="H14" s="2540"/>
      <c r="I14" s="2540"/>
      <c r="J14" s="2540"/>
      <c r="K14" s="2540"/>
      <c r="L14" s="499"/>
      <c r="M14" s="555"/>
    </row>
    <row customHeight="1" ht="56.25">
      <c r="A15" s="564"/>
      <c r="C15" s="602"/>
      <c r="D15" s="631" t="s">
        <v>685</v>
      </c>
      <c r="E15" s="405" t="s">
        <v>368</v>
      </c>
      <c r="F15" s="405" t="s">
        <v>368</v>
      </c>
      <c r="G15" s="2271" t="s">
        <v>368</v>
      </c>
      <c r="H15" s="2273"/>
      <c r="I15" s="405" t="s">
        <v>368</v>
      </c>
      <c r="J15" s="4416"/>
      <c r="K15" s="421"/>
      <c r="L15" s="566" t="s">
        <v>1716</v>
      </c>
      <c r="M15" s="555"/>
    </row>
    <row customHeight="1" ht="18.75">
      <c r="A16" s="564"/>
      <c r="B16" s="352">
        <v>3</v>
      </c>
      <c r="C16" s="602"/>
      <c r="D16" s="632">
        <v>2</v>
      </c>
      <c r="E16" s="2567" t="s">
        <v>1717</v>
      </c>
      <c r="F16" s="2568"/>
      <c r="G16" s="2568"/>
      <c r="H16" s="2569"/>
      <c r="I16" s="2569"/>
      <c r="J16" s="2569" t="s">
        <v>368</v>
      </c>
      <c r="K16" s="2569"/>
      <c r="L16" s="619"/>
      <c r="M16" s="555"/>
    </row>
    <row customHeight="1" ht="77.25">
      <c r="A17" s="564"/>
      <c r="C17" s="2556"/>
      <c r="D17" s="2561" t="s">
        <v>570</v>
      </c>
      <c r="E17" s="4547"/>
      <c r="F17" s="2560"/>
      <c r="G17" s="405"/>
      <c r="H17" s="2054"/>
      <c r="I17" s="2052"/>
      <c r="J17" s="4416"/>
      <c r="K17" s="405" t="s">
        <v>368</v>
      </c>
      <c r="L17" s="2287" t="s">
        <v>1718</v>
      </c>
      <c r="M17" s="555"/>
    </row>
    <row customHeight="1" ht="18.75">
      <c r="A18" s="564"/>
      <c r="C18" s="2556"/>
      <c r="D18" s="2561"/>
      <c r="E18" s="4547"/>
      <c r="F18" s="2560"/>
      <c r="G18" s="633"/>
      <c r="H18" s="627" t="s">
        <v>1611</v>
      </c>
      <c r="I18" s="570"/>
      <c r="J18" s="570"/>
      <c r="K18" s="408"/>
      <c r="L18" s="2288"/>
      <c r="M18" s="555"/>
    </row>
    <row customHeight="1" ht="15">
      <c r="A19" s="564"/>
      <c r="C19" s="602"/>
      <c r="D19" s="633"/>
      <c r="E19" s="634" t="s">
        <v>1719</v>
      </c>
      <c r="F19" s="635"/>
      <c r="G19" s="635"/>
      <c r="H19" s="570"/>
      <c r="I19" s="570"/>
      <c r="J19" s="570"/>
      <c r="K19" s="408"/>
      <c r="L19" s="2289"/>
      <c r="M19" s="555"/>
    </row>
    <row customHeight="1" ht="18.75">
      <c r="A20" s="564"/>
      <c r="B20" s="352">
        <v>3</v>
      </c>
      <c r="C20" s="602"/>
      <c r="D20" s="353" t="s">
        <v>90</v>
      </c>
      <c r="E20" s="2539" t="s">
        <v>1720</v>
      </c>
      <c r="F20" s="2539"/>
      <c r="G20" s="2539"/>
      <c r="H20" s="2539"/>
      <c r="I20" s="2539"/>
      <c r="J20" s="2539"/>
      <c r="K20" s="2539"/>
      <c r="L20" s="507"/>
      <c r="M20" s="555"/>
    </row>
    <row customHeight="1" ht="33.75">
      <c r="A21" s="564"/>
      <c r="C21" s="602"/>
      <c r="D21" s="631" t="s">
        <v>388</v>
      </c>
      <c r="E21" s="405" t="s">
        <v>368</v>
      </c>
      <c r="F21" s="405" t="s">
        <v>368</v>
      </c>
      <c r="G21" s="2271" t="s">
        <v>368</v>
      </c>
      <c r="H21" s="2273"/>
      <c r="I21" s="405" t="s">
        <v>368</v>
      </c>
      <c r="J21" s="405" t="s">
        <v>368</v>
      </c>
      <c r="K21" s="636"/>
      <c r="L21" s="566" t="s">
        <v>1721</v>
      </c>
      <c r="M21" s="555"/>
    </row>
    <row customHeight="1" ht="18.75">
      <c r="A22" s="564"/>
      <c r="B22" s="352">
        <v>3</v>
      </c>
      <c r="C22" s="602"/>
      <c r="D22" s="353" t="s">
        <v>91</v>
      </c>
      <c r="E22" s="2539" t="s">
        <v>1722</v>
      </c>
      <c r="F22" s="2539"/>
      <c r="G22" s="2539"/>
      <c r="H22" s="2539"/>
      <c r="I22" s="2539"/>
      <c r="J22" s="2539"/>
      <c r="K22" s="2539"/>
      <c r="L22" s="507"/>
      <c r="M22" s="555"/>
    </row>
    <row customHeight="1" ht="54.75">
      <c r="A23" s="564"/>
      <c r="C23" s="2556"/>
      <c r="D23" s="2561" t="s">
        <v>678</v>
      </c>
      <c r="E23" s="4547"/>
      <c r="F23" s="2560"/>
      <c r="G23" s="405"/>
      <c r="H23" s="2052"/>
      <c r="I23" s="2052"/>
      <c r="J23" s="4554"/>
      <c r="K23" s="405" t="s">
        <v>368</v>
      </c>
      <c r="L23" s="2287" t="s">
        <v>1723</v>
      </c>
      <c r="M23" s="555"/>
    </row>
    <row customHeight="1" ht="18.75">
      <c r="A24" s="564"/>
      <c r="C24" s="2556"/>
      <c r="D24" s="2561"/>
      <c r="E24" s="4547"/>
      <c r="F24" s="2560"/>
      <c r="G24" s="633"/>
      <c r="H24" s="627" t="s">
        <v>1611</v>
      </c>
      <c r="I24" s="407"/>
      <c r="J24" s="407"/>
      <c r="K24" s="408"/>
      <c r="L24" s="2288"/>
      <c r="M24" s="555"/>
    </row>
    <row customHeight="1" ht="15">
      <c r="A25" s="564"/>
      <c r="C25" s="602"/>
      <c r="D25" s="568"/>
      <c r="E25" s="634" t="s">
        <v>1719</v>
      </c>
      <c r="F25" s="407"/>
      <c r="G25" s="407"/>
      <c r="H25" s="407"/>
      <c r="I25" s="407"/>
      <c r="J25" s="407"/>
      <c r="K25" s="408"/>
      <c r="L25" s="2289"/>
      <c r="M25" s="555"/>
    </row>
    <row customHeight="1" ht="18.75">
      <c r="A26" s="564"/>
      <c r="C26" s="602"/>
      <c r="D26" s="353" t="s">
        <v>111</v>
      </c>
      <c r="E26" s="2539" t="s">
        <v>1724</v>
      </c>
      <c r="F26" s="2539"/>
      <c r="G26" s="2539"/>
      <c r="H26" s="2539"/>
      <c r="I26" s="2539"/>
      <c r="J26" s="2539"/>
      <c r="K26" s="2539"/>
      <c r="L26" s="507"/>
      <c r="M26" s="555"/>
    </row>
    <row customHeight="1" ht="66">
      <c r="A27" s="564"/>
      <c r="C27" s="2556"/>
      <c r="D27" s="2557" t="s">
        <v>377</v>
      </c>
      <c r="E27" s="4547"/>
      <c r="F27" s="2560"/>
      <c r="G27" s="405"/>
      <c r="H27" s="2054"/>
      <c r="I27" s="2052"/>
      <c r="J27" s="4554"/>
      <c r="K27" s="405" t="s">
        <v>368</v>
      </c>
      <c r="L27" s="2287" t="s">
        <v>1725</v>
      </c>
      <c r="M27" s="555"/>
    </row>
    <row customHeight="1" ht="18.75">
      <c r="A28" s="564"/>
      <c r="C28" s="2556"/>
      <c r="D28" s="2558"/>
      <c r="E28" s="4547"/>
      <c r="F28" s="2560"/>
      <c r="G28" s="633"/>
      <c r="H28" s="627" t="s">
        <v>1611</v>
      </c>
      <c r="I28" s="407"/>
      <c r="J28" s="407"/>
      <c r="K28" s="408"/>
      <c r="L28" s="2288"/>
      <c r="M28" s="555"/>
    </row>
    <row customHeight="1" ht="15">
      <c r="A29" s="564"/>
      <c r="C29" s="602"/>
      <c r="D29" s="568"/>
      <c r="E29" s="634" t="s">
        <v>1719</v>
      </c>
      <c r="F29" s="407"/>
      <c r="G29" s="407"/>
      <c r="H29" s="407"/>
      <c r="I29" s="407"/>
      <c r="J29" s="407"/>
      <c r="K29" s="408"/>
      <c r="L29" s="2289"/>
      <c r="M29" s="555"/>
    </row>
    <row customHeight="1" ht="26.25">
      <c r="A30" s="564"/>
      <c r="C30" s="602"/>
      <c r="D30" s="353" t="s">
        <v>92</v>
      </c>
      <c r="E30" s="2539" t="s">
        <v>1726</v>
      </c>
      <c r="F30" s="2539"/>
      <c r="G30" s="2539"/>
      <c r="H30" s="2539"/>
      <c r="I30" s="2539"/>
      <c r="J30" s="2539"/>
      <c r="K30" s="2539"/>
      <c r="L30" s="507"/>
      <c r="M30" s="555"/>
    </row>
    <row customHeight="1" ht="99">
      <c r="A31" s="564"/>
      <c r="C31" s="2556"/>
      <c r="D31" s="2557" t="s">
        <v>583</v>
      </c>
      <c r="E31" s="4547"/>
      <c r="F31" s="2560"/>
      <c r="G31" s="405"/>
      <c r="H31" s="2054"/>
      <c r="I31" s="2052"/>
      <c r="J31" s="4554"/>
      <c r="K31" s="405" t="s">
        <v>368</v>
      </c>
      <c r="L31" s="2287" t="s">
        <v>1727</v>
      </c>
      <c r="M31" s="555"/>
      <c r="O31" s="571" t="s">
        <v>1639</v>
      </c>
    </row>
    <row customHeight="1" ht="18.75">
      <c r="A32" s="564"/>
      <c r="C32" s="2556"/>
      <c r="D32" s="2558"/>
      <c r="E32" s="4547"/>
      <c r="F32" s="2560"/>
      <c r="G32" s="633"/>
      <c r="H32" s="627" t="s">
        <v>1611</v>
      </c>
      <c r="I32" s="407"/>
      <c r="J32" s="407"/>
      <c r="K32" s="408"/>
      <c r="L32" s="2288"/>
      <c r="M32" s="555"/>
    </row>
    <row customHeight="1" ht="15">
      <c r="A33" s="564"/>
      <c r="C33" s="602"/>
      <c r="D33" s="568"/>
      <c r="E33" s="634" t="s">
        <v>1719</v>
      </c>
      <c r="F33" s="407"/>
      <c r="G33" s="407"/>
      <c r="H33" s="407"/>
      <c r="I33" s="407"/>
      <c r="J33" s="407"/>
      <c r="K33" s="408"/>
      <c r="L33" s="2289"/>
      <c r="M33" s="555"/>
    </row>
    <row customHeight="1" ht="25.5">
      <c r="A34" s="564"/>
      <c r="B34" s="352">
        <v>3</v>
      </c>
      <c r="C34" s="602"/>
      <c r="D34" s="353" t="s">
        <v>93</v>
      </c>
      <c r="E34" s="2539" t="s">
        <v>1728</v>
      </c>
      <c r="F34" s="2539"/>
      <c r="G34" s="2539"/>
      <c r="H34" s="2539"/>
      <c r="I34" s="2539"/>
      <c r="J34" s="2539"/>
      <c r="K34" s="2539"/>
      <c r="L34" s="507"/>
      <c r="M34" s="555"/>
    </row>
    <row customHeight="1" ht="99">
      <c r="A35" s="564"/>
      <c r="C35" s="2556"/>
      <c r="D35" s="2557" t="s">
        <v>1729</v>
      </c>
      <c r="E35" s="4547"/>
      <c r="F35" s="2560"/>
      <c r="G35" s="405"/>
      <c r="H35" s="2054"/>
      <c r="I35" s="2052"/>
      <c r="J35" s="4554"/>
      <c r="K35" s="405" t="s">
        <v>368</v>
      </c>
      <c r="L35" s="2287" t="s">
        <v>1730</v>
      </c>
      <c r="M35" s="555"/>
    </row>
    <row customHeight="1" ht="18.75">
      <c r="A36" s="564"/>
      <c r="C36" s="2556"/>
      <c r="D36" s="2558"/>
      <c r="E36" s="4547"/>
      <c r="F36" s="2560"/>
      <c r="G36" s="633"/>
      <c r="H36" s="627" t="s">
        <v>1611</v>
      </c>
      <c r="I36" s="407"/>
      <c r="J36" s="407"/>
      <c r="K36" s="408"/>
      <c r="L36" s="2288"/>
      <c r="M36" s="555"/>
    </row>
    <row customHeight="1" ht="15">
      <c r="A37" s="564"/>
      <c r="C37" s="602"/>
      <c r="D37" s="568"/>
      <c r="E37" s="634" t="s">
        <v>1719</v>
      </c>
      <c r="F37" s="407"/>
      <c r="G37" s="407"/>
      <c r="H37" s="407"/>
      <c r="I37" s="407"/>
      <c r="J37" s="407"/>
      <c r="K37" s="408"/>
      <c r="L37" s="2289"/>
      <c r="M37" s="555"/>
    </row>
    <row s="11265" customFormat="1" customHeight="1" ht="3">
      <c r="A38" s="564"/>
      <c r="D38" s="638"/>
      <c r="E38" s="638"/>
      <c r="F38" s="638"/>
      <c r="G38" s="638"/>
      <c r="H38" s="638"/>
      <c r="I38" s="638"/>
      <c r="J38" s="638"/>
      <c r="K38" s="638"/>
      <c r="L38" s="638"/>
      <c r="N38" s="403"/>
      <c r="O38" s="403"/>
    </row>
    <row customHeight="1" ht="24.75">
      <c r="D39" s="409">
        <v>1</v>
      </c>
      <c r="E39" s="2452" t="s">
        <v>1731</v>
      </c>
      <c r="F39" s="2452"/>
      <c r="G39" s="2452"/>
      <c r="H39" s="2452"/>
      <c r="I39" s="2452"/>
      <c r="J39" s="2452"/>
      <c r="K39" s="2452"/>
      <c r="L39" s="2452"/>
    </row>
  </sheetData>
  <sheetProtection formatColumns="0" formatRows="0" autoFilter="0" sort="0" insertRows="0" insertColumns="1" deleteRows="0" deleteColumns="0"/>
  <mergeCells count="48">
    <mergeCell ref="D5:K5"/>
    <mergeCell ref="F7:K7"/>
    <mergeCell ref="F8:K8"/>
    <mergeCell ref="D10:K10"/>
    <mergeCell ref="L10:L12"/>
    <mergeCell ref="D11:D12"/>
    <mergeCell ref="E11:E12"/>
    <mergeCell ref="F11:F12"/>
    <mergeCell ref="G11:I11"/>
    <mergeCell ref="J11:J12"/>
    <mergeCell ref="E20:K20"/>
    <mergeCell ref="K11:K12"/>
    <mergeCell ref="G12:H12"/>
    <mergeCell ref="G13:H13"/>
    <mergeCell ref="E14:K14"/>
    <mergeCell ref="G15:H15"/>
    <mergeCell ref="E16:K16"/>
    <mergeCell ref="C17:C18"/>
    <mergeCell ref="D17:D18"/>
    <mergeCell ref="E17:E18"/>
    <mergeCell ref="F17:F18"/>
    <mergeCell ref="L17:L19"/>
    <mergeCell ref="G21:H21"/>
    <mergeCell ref="E22:K22"/>
    <mergeCell ref="C23:C24"/>
    <mergeCell ref="D23:D24"/>
    <mergeCell ref="E23:E24"/>
    <mergeCell ref="F23:F24"/>
    <mergeCell ref="L31:L33"/>
    <mergeCell ref="L23:L25"/>
    <mergeCell ref="E26:K26"/>
    <mergeCell ref="C27:C28"/>
    <mergeCell ref="D27:D28"/>
    <mergeCell ref="E27:E28"/>
    <mergeCell ref="F27:F28"/>
    <mergeCell ref="L27:L29"/>
    <mergeCell ref="E30:K30"/>
    <mergeCell ref="C31:C32"/>
    <mergeCell ref="D31:D32"/>
    <mergeCell ref="E31:E32"/>
    <mergeCell ref="F31:F32"/>
    <mergeCell ref="E39:L39"/>
    <mergeCell ref="E34:K34"/>
    <mergeCell ref="C35:C36"/>
    <mergeCell ref="D35:D36"/>
    <mergeCell ref="E35:E36"/>
    <mergeCell ref="F35:F36"/>
    <mergeCell ref="L35:L37"/>
  </mergeCells>
  <dataValidations count="6">
    <dataValidation type="decimal" allowBlank="1" showErrorMessage="1" errorTitle="Ошибка" error="Допускается ввод только действительных чисел!" sqref="J27 J31 J23 J35">
      <formula1>-9.99999999999999E+23</formula1>
      <formula2>9.99999999999999E+23</formula2>
    </dataValidation>
    <dataValidation type="list" allowBlank="1" showInputMessage="1" showErrorMessage="1" errorTitle="Ошибка" error="Выберите значение из списка" prompt="Выберите значение из списка" sqref="J17">
      <formula1>kind_of_control_method</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H31:I31 H17:I17 H23:I23 H27:I27 H35:I35"/>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K15 K21">
      <formula1>900</formula1>
    </dataValidation>
    <dataValidation type="textLength" operator="lessThanOrEqual" allowBlank="1" showInputMessage="1" showErrorMessage="1" errorTitle="Ошибка" error="Допускается ввод не более 900 символов!" sqref="L27 L31 L16:L17 L23 L35">
      <formula1>900</formula1>
    </dataValidation>
    <dataValidation type="textLength" operator="lessThanOrEqual" allowBlank="1" showInputMessage="1" showErrorMessage="1" errorTitle="Ошибка" error="Допускается ввод не более 900 символов!" prompt="В случае отсутствия утвержденной в установленном порядке инвестиционной программы (проекта инвестиционной программы) укажите &quot;отсутствует&quot; в данной ячейке" sqref="J15">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drawing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7BEB4B8-0D3D-F274-6C86-C7D12DC369B1}" mc:Ignorable="x14ac xr xr2 xr3">
  <sheetPr>
    <tabColor theme="6" tint="0.4"/>
  </sheetPr>
  <dimension ref="A1:AP57"/>
  <sheetViews>
    <sheetView topLeftCell="P23" showGridLines="0" zoomScale="90" workbookViewId="0">
      <selection activeCell="A1" sqref="A1"/>
    </sheetView>
  </sheetViews>
  <sheetFormatPr defaultColWidth="10.57421875" customHeight="1" defaultRowHeight="14.25"/>
  <cols>
    <col min="1" max="1" style="11074" width="10.57421875" hidden="1"/>
    <col min="2" max="2" style="11074" width="11.00390625" hidden="1" customWidth="1"/>
    <col min="3" max="3" style="11074" width="10.57421875" hidden="1"/>
    <col min="4" max="4" style="11074" width="11.8515625" hidden="1" customWidth="1"/>
    <col min="5" max="5" style="11074" width="10.00390625" hidden="1" customWidth="1"/>
    <col min="6" max="6" style="11074" width="8.7109375" hidden="1" customWidth="1"/>
    <col min="7" max="7" style="11074" width="7.57421875" hidden="1" customWidth="1"/>
    <col min="8" max="8" style="11074" width="11.421875" hidden="1" customWidth="1"/>
    <col min="9" max="9" style="11074" width="14.140625" hidden="1" customWidth="1"/>
    <col min="10" max="10" style="11074" width="9.8515625" hidden="1" customWidth="1"/>
    <col min="11" max="11" style="11074" width="14.7109375" hidden="1" customWidth="1"/>
    <col min="12" max="12" style="11240" width="19.140625" hidden="1" customWidth="1"/>
    <col min="13" max="14" style="9887" width="12.28125" hidden="1" customWidth="1"/>
    <col min="15" max="15" style="9887" width="23.421875" hidden="1" customWidth="1"/>
    <col min="16" max="16" style="11241" width="3.7109375" customWidth="1"/>
    <col min="17" max="18" style="10046" width="3.7109375" customWidth="1"/>
    <col min="19" max="19" style="11124" width="12.7109375" customWidth="1"/>
    <col min="20" max="20" style="11126" width="35.7109375" customWidth="1"/>
    <col min="21" max="21" style="11126" width="0.140625" customWidth="1"/>
    <col min="22" max="24" style="11126" width="24.7109375" hidden="1" customWidth="1"/>
    <col min="25" max="25" style="11126" width="11.7109375" hidden="1" customWidth="1"/>
    <col min="26" max="26" style="11126" width="3.7109375" hidden="1" customWidth="1"/>
    <col min="27" max="27" style="11126" width="11.7109375" hidden="1" customWidth="1"/>
    <col min="28" max="28" style="11126" width="8.57421875" hidden="1" customWidth="1"/>
    <col min="29" max="31" style="11126" width="24.7109375" customWidth="1"/>
    <col min="32" max="32" style="11126" width="11.7109375" customWidth="1"/>
    <col min="33" max="33" style="11126" width="3.7109375" customWidth="1"/>
    <col min="34" max="34" style="11126" width="11.7109375" customWidth="1"/>
    <col min="35" max="35" style="11126" width="8.57421875" hidden="1" customWidth="1"/>
    <col min="36" max="36" style="11126" width="4.7109375" customWidth="1"/>
    <col min="37" max="37" style="11126" width="115.7109375" customWidth="1"/>
    <col min="38" max="39" style="10863" width="10.57421875"/>
    <col min="40" max="40" style="10863" width="11.140625" customWidth="1"/>
    <col min="41" max="42" style="10863" width="10.57421875"/>
  </cols>
  <sheetData>
    <row customHeight="1" ht="14.25" hidden="1">
      <c r="X1" s="548"/>
      <c r="Y1" s="548"/>
      <c r="AE1" s="548"/>
      <c r="AF1" s="548"/>
    </row>
    <row customHeight="1" ht="23.25" hidden="1">
      <c r="A2" s="1659"/>
      <c r="B2" s="1659"/>
      <c r="C2" s="1659"/>
      <c r="D2" s="1659"/>
      <c r="E2" s="2424">
        <v>1</v>
      </c>
      <c r="F2" s="1659"/>
      <c r="G2" s="1659"/>
      <c r="H2" s="1659"/>
      <c r="I2" s="1659"/>
      <c r="J2" s="1659"/>
      <c r="K2" s="1659"/>
      <c r="L2" s="1660"/>
      <c r="M2" s="1661"/>
      <c r="N2" s="1661"/>
      <c r="O2" s="1661"/>
      <c r="P2" s="582"/>
      <c r="Q2" s="581"/>
      <c r="R2" s="576"/>
      <c r="S2" s="1722">
        <f>INDEX(PT_DIFFERENTIATION_NUM_NTAR,MATCH(A2,PT_DIFFERENTIATION_NTAR_ID,0))</f>
      </c>
      <c r="T2" s="508" t="s">
        <v>200</v>
      </c>
      <c r="U2" s="510"/>
      <c r="V2" s="4037"/>
      <c r="W2" s="4038"/>
      <c r="X2" s="4038"/>
      <c r="Y2" s="4038"/>
      <c r="Z2" s="4038"/>
      <c r="AA2" s="4038"/>
      <c r="AB2" s="4039"/>
      <c r="AC2" s="4037">
        <f>INDEX(PT_DIFFERENTIATION_NTAR,MATCH(A2,PT_DIFFERENTIATION_NTAR_ID,0))</f>
      </c>
      <c r="AD2" s="4038"/>
      <c r="AE2" s="4038"/>
      <c r="AF2" s="4038"/>
      <c r="AG2" s="4038"/>
      <c r="AH2" s="4038"/>
      <c r="AI2" s="4038"/>
      <c r="AJ2" s="4039"/>
      <c r="AK2" s="1546"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737"/>
      <c r="AN2" s="737" t="str">
        <f>IF(T2="","",T2)</f>
        <v>Наименование тарифа</v>
      </c>
      <c r="AO2" s="737"/>
      <c r="AP2" s="737"/>
    </row>
    <row customHeight="1" ht="23.25" hidden="1">
      <c r="A3" s="1659"/>
      <c r="B3" s="1659"/>
      <c r="C3" s="1659"/>
      <c r="D3" s="1659"/>
      <c r="E3" s="2425"/>
      <c r="F3" s="2424">
        <v>1</v>
      </c>
      <c r="G3" s="1659"/>
      <c r="H3" s="1659"/>
      <c r="I3" s="1659"/>
      <c r="J3" s="1659"/>
      <c r="K3" s="1659"/>
      <c r="L3" s="1660"/>
      <c r="M3" s="1661"/>
      <c r="N3" s="1661"/>
      <c r="O3" s="1661"/>
      <c r="P3" s="1720"/>
      <c r="Q3" s="573"/>
      <c r="R3" s="574"/>
      <c r="S3" s="1722">
        <f>INDEX(PT_DIFFERENTIATION_NUM_TER,MATCH(B3,PT_DIFFERENTIATION_TER_ID,0))</f>
      </c>
      <c r="T3" s="520" t="s">
        <v>1517</v>
      </c>
      <c r="U3" s="510"/>
      <c r="V3" s="4037"/>
      <c r="W3" s="4038"/>
      <c r="X3" s="4038"/>
      <c r="Y3" s="4038"/>
      <c r="Z3" s="4038"/>
      <c r="AA3" s="4038"/>
      <c r="AB3" s="4039"/>
      <c r="AC3" s="4037">
        <f>INDEX(PT_DIFFERENTIATION_TER,MATCH(B3,PT_DIFFERENTIATION_TER_ID,0))</f>
      </c>
      <c r="AD3" s="4038"/>
      <c r="AE3" s="4038"/>
      <c r="AF3" s="4038"/>
      <c r="AG3" s="4038"/>
      <c r="AH3" s="4038"/>
      <c r="AI3" s="4038"/>
      <c r="AJ3" s="4039"/>
      <c r="AK3" s="1546" t="s">
        <v>1518</v>
      </c>
      <c r="AM3" s="737"/>
      <c r="AN3" s="737" t="str">
        <f>IF(T3="","",T3)</f>
        <v>Территория действия тарифа</v>
      </c>
      <c r="AO3" s="737"/>
      <c r="AP3" s="737"/>
    </row>
    <row customHeight="1" ht="23.25" hidden="1">
      <c r="A4" s="1659"/>
      <c r="B4" s="1659"/>
      <c r="C4" s="1659"/>
      <c r="D4" s="1659"/>
      <c r="E4" s="2425"/>
      <c r="F4" s="2425"/>
      <c r="G4" s="2424">
        <v>1</v>
      </c>
      <c r="H4" s="1659"/>
      <c r="I4" s="1659"/>
      <c r="J4" s="1659"/>
      <c r="K4" s="1659"/>
      <c r="L4" s="1660"/>
      <c r="M4" s="1661"/>
      <c r="N4" s="1661"/>
      <c r="O4" s="1661"/>
      <c r="P4" s="575"/>
      <c r="Q4" s="573"/>
      <c r="R4" s="574"/>
      <c r="S4" s="1722">
        <f>INDEX(PT_DIFFERENTIATION_NUM_CS,MATCH(C4,PT_DIFFERENTIATION_CS_ID,0))</f>
      </c>
      <c r="T4" s="521" t="s">
        <v>1732</v>
      </c>
      <c r="U4" s="510"/>
      <c r="V4" s="4037"/>
      <c r="W4" s="4038"/>
      <c r="X4" s="4038"/>
      <c r="Y4" s="4038"/>
      <c r="Z4" s="4038"/>
      <c r="AA4" s="4038"/>
      <c r="AB4" s="4039"/>
      <c r="AC4" s="4037">
        <f>INDEX(PT_DIFFERENTIATION_CS,MATCH(C4,PT_DIFFERENTIATION_CS_ID,0))</f>
      </c>
      <c r="AD4" s="4038"/>
      <c r="AE4" s="4038"/>
      <c r="AF4" s="4038"/>
      <c r="AG4" s="4038"/>
      <c r="AH4" s="4038"/>
      <c r="AI4" s="4038"/>
      <c r="AJ4" s="4039"/>
      <c r="AK4" s="1546" t="s">
        <v>1733</v>
      </c>
      <c r="AM4" s="737"/>
      <c r="AN4" s="737" t="str">
        <f>IF(T4="","",T4)</f>
        <v>Наименование централизованной системы холодного водоснабжения</v>
      </c>
      <c r="AO4" s="737"/>
      <c r="AP4" s="737"/>
    </row>
    <row customHeight="1" ht="23.25" hidden="1">
      <c r="A5" s="1659"/>
      <c r="B5" s="1659"/>
      <c r="C5" s="1659"/>
      <c r="D5" s="1659"/>
      <c r="E5" s="2425"/>
      <c r="F5" s="2425"/>
      <c r="G5" s="2425"/>
      <c r="H5" s="2425"/>
      <c r="I5" s="2453">
        <f>S4&amp;".1"</f>
      </c>
      <c r="J5" s="1659"/>
      <c r="K5" s="1659"/>
      <c r="L5" s="1660"/>
      <c r="P5" s="2423">
        <v>1</v>
      </c>
      <c r="Q5" s="1719"/>
      <c r="R5" s="577"/>
      <c r="S5" s="1722">
        <f>$I5</f>
      </c>
      <c r="T5" s="495" t="s">
        <v>1734</v>
      </c>
      <c r="U5" s="510"/>
      <c r="V5" s="2574"/>
      <c r="W5" s="2575"/>
      <c r="X5" s="2575"/>
      <c r="Y5" s="2575"/>
      <c r="Z5" s="2575"/>
      <c r="AA5" s="2575"/>
      <c r="AB5" s="2576"/>
      <c r="AC5" s="2577"/>
      <c r="AD5" s="2578"/>
      <c r="AE5" s="2578"/>
      <c r="AF5" s="2578"/>
      <c r="AG5" s="2578"/>
      <c r="AH5" s="2578"/>
      <c r="AI5" s="2578"/>
      <c r="AJ5" s="2579"/>
      <c r="AK5" s="1546" t="s">
        <v>1735</v>
      </c>
      <c r="AM5" s="737"/>
      <c r="AN5" s="737" t="str">
        <f>IF(T5="","",T5)</f>
        <v>Наименование признака дифференциации</v>
      </c>
      <c r="AO5" s="737"/>
      <c r="AP5" s="737"/>
    </row>
    <row customHeight="1" ht="23.25" hidden="1">
      <c r="A6" s="1659"/>
      <c r="B6" s="1659"/>
      <c r="C6" s="1659"/>
      <c r="D6" s="1659"/>
      <c r="E6" s="2425"/>
      <c r="F6" s="2425"/>
      <c r="G6" s="2425"/>
      <c r="H6" s="2425"/>
      <c r="I6" s="2454"/>
      <c r="J6" s="2422">
        <f>I5&amp;".1"</f>
      </c>
      <c r="K6" s="1659"/>
      <c r="L6" s="1660" t="s">
        <v>1526</v>
      </c>
      <c r="P6" s="2423"/>
      <c r="Q6" s="2423">
        <v>1</v>
      </c>
      <c r="R6" s="578"/>
      <c r="S6" s="1722">
        <f>$J6</f>
      </c>
      <c r="T6" s="496" t="s">
        <v>1527</v>
      </c>
      <c r="U6" s="510"/>
      <c r="V6" s="2411"/>
      <c r="W6" s="2412"/>
      <c r="X6" s="2412"/>
      <c r="Y6" s="2412"/>
      <c r="Z6" s="2412"/>
      <c r="AA6" s="2412"/>
      <c r="AB6" s="2413"/>
      <c r="AC6" s="2411"/>
      <c r="AD6" s="2412"/>
      <c r="AE6" s="2412"/>
      <c r="AF6" s="2412"/>
      <c r="AG6" s="2412"/>
      <c r="AH6" s="2412"/>
      <c r="AI6" s="2412"/>
      <c r="AJ6" s="2413"/>
      <c r="AK6" s="1602" t="s">
        <v>1736</v>
      </c>
      <c r="AM6" s="737"/>
      <c r="AN6" s="737" t="str">
        <f>IF(T6="","",T6)</f>
        <v>Группа потребителей</v>
      </c>
      <c r="AO6" s="737"/>
      <c r="AP6" s="737"/>
    </row>
    <row customHeight="1" ht="23.25" hidden="1">
      <c r="A7" s="1659"/>
      <c r="B7" s="1659"/>
      <c r="C7" s="1659"/>
      <c r="D7" s="1659"/>
      <c r="E7" s="2425"/>
      <c r="F7" s="2425"/>
      <c r="G7" s="2425"/>
      <c r="H7" s="2425"/>
      <c r="I7" s="2454"/>
      <c r="J7" s="2455"/>
      <c r="K7" s="2422">
        <f>J6&amp;".1"</f>
      </c>
      <c r="L7" s="1660"/>
      <c r="P7" s="2423"/>
      <c r="Q7" s="2423"/>
      <c r="R7" s="578">
        <v>1</v>
      </c>
      <c r="S7" s="1722">
        <f>$K7</f>
      </c>
      <c r="T7" s="1734"/>
      <c r="U7" s="510"/>
      <c r="V7" s="4065"/>
      <c r="W7" s="4065"/>
      <c r="X7" s="4067"/>
      <c r="Y7" s="2430"/>
      <c r="Z7" s="2142" t="s">
        <v>67</v>
      </c>
      <c r="AA7" s="2430"/>
      <c r="AB7" s="2142" t="s">
        <v>67</v>
      </c>
      <c r="AC7" s="4065"/>
      <c r="AD7" s="4065"/>
      <c r="AE7" s="4067"/>
      <c r="AF7" s="2430"/>
      <c r="AG7" s="2142" t="s">
        <v>67</v>
      </c>
      <c r="AH7" s="2456"/>
      <c r="AI7" s="2142" t="s">
        <v>67</v>
      </c>
      <c r="AJ7" s="4569"/>
      <c r="AK7" s="257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748">
        <f>STRCHECKDATE(V8:AJ8)</f>
      </c>
      <c r="AM7" s="737"/>
      <c r="AN7" s="737" t="str">
        <f>IF(T7="","",T7)</f>
        <v/>
      </c>
      <c r="AO7" s="737"/>
      <c r="AP7" s="737"/>
    </row>
    <row customHeight="1" ht="0.75" hidden="1">
      <c r="A8" s="1659"/>
      <c r="B8" s="1659"/>
      <c r="C8" s="1659"/>
      <c r="D8" s="1659"/>
      <c r="E8" s="2425"/>
      <c r="F8" s="2425"/>
      <c r="G8" s="2425"/>
      <c r="H8" s="2425"/>
      <c r="I8" s="2454"/>
      <c r="J8" s="2455"/>
      <c r="K8" s="2422"/>
      <c r="L8" s="1660"/>
      <c r="P8" s="2423"/>
      <c r="Q8" s="2423"/>
      <c r="R8" s="578"/>
      <c r="S8" s="1721"/>
      <c r="T8" s="510"/>
      <c r="U8" s="510"/>
      <c r="V8" s="4066"/>
      <c r="W8" s="4066"/>
      <c r="X8" s="4071" t="str">
        <f>Y7&amp;"-"&amp;AA7</f>
        <v>-</v>
      </c>
      <c r="Y8" s="2431"/>
      <c r="Z8" s="2142"/>
      <c r="AA8" s="2431"/>
      <c r="AB8" s="2142"/>
      <c r="AC8" s="4066"/>
      <c r="AD8" s="4066"/>
      <c r="AE8" s="4071" t="str">
        <f>AF7&amp;"-"&amp;AH7</f>
        <v>-</v>
      </c>
      <c r="AF8" s="2431"/>
      <c r="AG8" s="2142"/>
      <c r="AH8" s="2457"/>
      <c r="AI8" s="2142"/>
      <c r="AJ8" s="4572"/>
      <c r="AK8" s="2573"/>
      <c r="AM8" s="737"/>
      <c r="AN8" s="737" t="str">
        <f>IF(T8="","",T8)</f>
        <v/>
      </c>
      <c r="AO8" s="737"/>
      <c r="AP8" s="737"/>
    </row>
    <row customHeight="1" ht="21" hidden="1">
      <c r="A9" s="1659"/>
      <c r="B9" s="1659"/>
      <c r="C9" s="1659"/>
      <c r="D9" s="1659"/>
      <c r="E9" s="2425"/>
      <c r="F9" s="2425"/>
      <c r="G9" s="2425"/>
      <c r="H9" s="2425"/>
      <c r="I9" s="2454"/>
      <c r="J9" s="2422"/>
      <c r="K9" s="1659"/>
      <c r="L9" s="1660"/>
      <c r="P9" s="2423"/>
      <c r="Q9" s="2423"/>
      <c r="R9" s="577"/>
      <c r="S9" s="1568"/>
      <c r="T9" s="497" t="s">
        <v>1737</v>
      </c>
      <c r="U9" s="592"/>
      <c r="V9" s="592"/>
      <c r="W9" s="592"/>
      <c r="X9" s="592"/>
      <c r="Y9" s="592"/>
      <c r="Z9" s="592"/>
      <c r="AA9" s="592"/>
      <c r="AB9" s="592"/>
      <c r="AC9" s="592"/>
      <c r="AD9" s="592"/>
      <c r="AE9" s="592"/>
      <c r="AF9" s="592"/>
      <c r="AG9" s="592"/>
      <c r="AH9" s="592"/>
      <c r="AI9" s="592"/>
      <c r="AJ9" s="592"/>
      <c r="AK9" s="1546" t="s">
        <v>1738</v>
      </c>
      <c r="AM9" s="737"/>
      <c r="AN9" s="737" t="str">
        <f>IF(T9="","",T9)</f>
        <v>Добавить значение признака дифференциации</v>
      </c>
      <c r="AO9" s="737"/>
      <c r="AP9" s="737"/>
    </row>
    <row customHeight="1" ht="21" hidden="1">
      <c r="A10" s="1659"/>
      <c r="B10" s="1659"/>
      <c r="C10" s="1659"/>
      <c r="D10" s="1659"/>
      <c r="E10" s="2425"/>
      <c r="F10" s="2425"/>
      <c r="G10" s="2425"/>
      <c r="H10" s="2425"/>
      <c r="I10" s="2453"/>
      <c r="J10" s="1659"/>
      <c r="K10" s="1659"/>
      <c r="L10" s="1660"/>
      <c r="P10" s="2423"/>
      <c r="Q10" s="1719"/>
      <c r="R10" s="577"/>
      <c r="S10" s="1568"/>
      <c r="T10" s="589" t="s">
        <v>1532</v>
      </c>
      <c r="U10" s="592"/>
      <c r="V10" s="592"/>
      <c r="W10" s="592"/>
      <c r="X10" s="592"/>
      <c r="Y10" s="592"/>
      <c r="Z10" s="592"/>
      <c r="AA10" s="592"/>
      <c r="AB10" s="591"/>
      <c r="AC10" s="592"/>
      <c r="AD10" s="592"/>
      <c r="AE10" s="592"/>
      <c r="AF10" s="592"/>
      <c r="AG10" s="592"/>
      <c r="AH10" s="592"/>
      <c r="AI10" s="591"/>
      <c r="AJ10" s="592"/>
      <c r="AK10" s="1737"/>
      <c r="AM10" s="737"/>
      <c r="AN10" s="737" t="str">
        <f>IF(T10="","",T10)</f>
        <v>Добавить группу потребителей</v>
      </c>
      <c r="AO10" s="737"/>
      <c r="AP10" s="737"/>
    </row>
    <row customHeight="1" ht="21" hidden="1">
      <c r="A11" s="1659"/>
      <c r="B11" s="1659"/>
      <c r="C11" s="1659"/>
      <c r="D11" s="1659"/>
      <c r="E11" s="2425"/>
      <c r="F11" s="2425"/>
      <c r="G11" s="2425"/>
      <c r="H11" s="2424"/>
      <c r="I11" s="1659"/>
      <c r="J11" s="1659"/>
      <c r="K11" s="1659"/>
      <c r="L11" s="1660"/>
      <c r="M11" s="1661"/>
      <c r="N11" s="1661"/>
      <c r="O11" s="774"/>
      <c r="P11" s="581"/>
      <c r="Q11" s="601"/>
      <c r="R11" s="576"/>
      <c r="S11" s="1568"/>
      <c r="T11" s="597" t="s">
        <v>1739</v>
      </c>
      <c r="U11" s="592"/>
      <c r="V11" s="592"/>
      <c r="W11" s="592"/>
      <c r="X11" s="592"/>
      <c r="Y11" s="592"/>
      <c r="Z11" s="592"/>
      <c r="AA11" s="592"/>
      <c r="AB11" s="591"/>
      <c r="AC11" s="592"/>
      <c r="AD11" s="592"/>
      <c r="AE11" s="592"/>
      <c r="AF11" s="592"/>
      <c r="AG11" s="592"/>
      <c r="AH11" s="592"/>
      <c r="AI11" s="591"/>
      <c r="AJ11" s="592"/>
      <c r="AK11" s="513"/>
      <c r="AM11" s="737"/>
      <c r="AN11" s="737" t="str">
        <f>IF(T11="","",T11)</f>
        <v>Добавить наименование признака дифференциации</v>
      </c>
      <c r="AO11" s="737"/>
      <c r="AP11" s="737"/>
    </row>
    <row s="10863" customFormat="1" customHeight="1" ht="0.75" hidden="1">
      <c r="A12" s="1638"/>
      <c r="B12" s="1638"/>
      <c r="C12" s="1609"/>
      <c r="D12" s="1609"/>
      <c r="E12" s="2425"/>
      <c r="F12" s="2424"/>
      <c r="G12" s="1609"/>
      <c r="H12" s="1609"/>
      <c r="I12" s="1609"/>
      <c r="J12" s="1609"/>
      <c r="K12" s="1609"/>
      <c r="L12" s="1723"/>
      <c r="M12" s="1616"/>
      <c r="N12" s="1616"/>
      <c r="P12" s="1611"/>
      <c r="Q12" s="1612"/>
      <c r="R12" s="1611"/>
      <c r="S12" s="1617"/>
      <c r="T12" s="1620" t="s">
        <v>1493</v>
      </c>
      <c r="U12" s="1619"/>
      <c r="V12" s="1619"/>
      <c r="W12" s="1619"/>
      <c r="X12" s="1619"/>
      <c r="Y12" s="1619"/>
      <c r="Z12" s="1619"/>
      <c r="AA12" s="1619"/>
      <c r="AB12" s="1619"/>
      <c r="AC12" s="1619"/>
      <c r="AD12" s="1619"/>
      <c r="AE12" s="1619"/>
      <c r="AF12" s="1619"/>
      <c r="AG12" s="1619"/>
      <c r="AH12" s="1619"/>
      <c r="AI12" s="1619"/>
      <c r="AJ12" s="1619"/>
      <c r="AK12" s="1619"/>
      <c r="AM12" s="1029"/>
      <c r="AN12" s="1029" t="str">
        <f>IF(T12="","",T12)</f>
        <v>Добавить централизованную систему для дифференциации</v>
      </c>
      <c r="AO12" s="1029"/>
      <c r="AP12" s="1029"/>
    </row>
    <row s="10863" customFormat="1" customHeight="1" ht="0.75" hidden="1">
      <c r="A13" s="1638"/>
      <c r="B13" s="1638"/>
      <c r="C13" s="1638"/>
      <c r="D13" s="1638"/>
      <c r="E13" s="2424"/>
      <c r="F13" s="1638"/>
      <c r="G13" s="1638"/>
      <c r="H13" s="1638"/>
      <c r="I13" s="1638"/>
      <c r="J13" s="1638"/>
      <c r="K13" s="1638"/>
      <c r="L13" s="1641"/>
      <c r="M13" s="1616"/>
      <c r="N13" s="1616"/>
      <c r="O13" s="755"/>
      <c r="P13" s="610"/>
      <c r="Q13" s="1639"/>
      <c r="R13" s="610"/>
      <c r="S13" s="1617"/>
      <c r="T13" s="1620" t="s">
        <v>1494</v>
      </c>
      <c r="U13" s="1619"/>
      <c r="V13" s="1619"/>
      <c r="W13" s="1619"/>
      <c r="X13" s="1619"/>
      <c r="Y13" s="1619"/>
      <c r="Z13" s="1619"/>
      <c r="AA13" s="1619"/>
      <c r="AB13" s="1619"/>
      <c r="AC13" s="1619"/>
      <c r="AD13" s="1619"/>
      <c r="AE13" s="1619"/>
      <c r="AF13" s="1619"/>
      <c r="AG13" s="1619"/>
      <c r="AH13" s="1619"/>
      <c r="AI13" s="1619"/>
      <c r="AJ13" s="1619"/>
      <c r="AK13" s="1619"/>
      <c r="AM13" s="737"/>
      <c r="AN13" s="737" t="str">
        <f>IF(T13="","",T13)</f>
        <v>Добавить территорию для дифференциации</v>
      </c>
      <c r="AO13" s="737"/>
      <c r="AP13" s="737"/>
    </row>
    <row customHeight="1" ht="14.25" hidden="1">
      <c r="AB14" s="548"/>
      <c r="AI14" s="548"/>
    </row>
    <row customHeight="1" ht="14.25" hidden="1">
      <c r="AC15" s="4098"/>
      <c r="AD15" s="4098"/>
      <c r="AE15" s="4099"/>
      <c r="AF15" s="2432"/>
      <c r="AG15" s="2433" t="s">
        <v>67</v>
      </c>
      <c r="AH15" s="2432"/>
      <c r="AI15" s="2433" t="s">
        <v>67</v>
      </c>
    </row>
    <row customHeight="1" ht="14.25" hidden="1">
      <c r="AC16" s="4098"/>
      <c r="AD16" s="4098"/>
      <c r="AE16" s="4071" t="str">
        <f>AF15&amp;"-"&amp;AH15</f>
        <v>-</v>
      </c>
      <c r="AF16" s="2433"/>
      <c r="AG16" s="2433"/>
      <c r="AH16" s="2433"/>
      <c r="AI16" s="2433"/>
    </row>
    <row customHeight="1" ht="14.25" hidden="1">
      <c r="AI17" s="548"/>
    </row>
    <row s="11074" customFormat="1" customHeight="1" ht="22.5" hidden="1">
      <c r="L18" s="1718"/>
      <c r="M18" s="1658"/>
      <c r="N18" s="1658"/>
      <c r="O18" s="1663" t="s">
        <v>1534</v>
      </c>
      <c r="P18" s="1658"/>
      <c r="Q18" s="1667"/>
      <c r="R18" s="1667"/>
      <c r="S18" s="967"/>
      <c r="Y18" s="1663"/>
      <c r="AA18" s="1663"/>
      <c r="AB18" s="1662"/>
      <c r="AF18" s="1663"/>
      <c r="AH18" s="1663"/>
      <c r="AI18" s="1662"/>
      <c r="AL18" s="748"/>
      <c r="AM18" s="748"/>
      <c r="AN18" s="748"/>
      <c r="AO18" s="748"/>
      <c r="AP18" s="748"/>
    </row>
    <row s="11074" customFormat="1" customHeight="1" ht="14.25" hidden="1">
      <c r="L19" s="1718"/>
      <c r="M19" s="1658"/>
      <c r="N19" s="1658"/>
      <c r="O19" s="1658"/>
      <c r="P19" s="1658"/>
      <c r="Q19" s="1667"/>
      <c r="R19" s="1667"/>
      <c r="S19" s="967"/>
      <c r="AB19" s="1662"/>
      <c r="AI19" s="1662"/>
      <c r="AL19" s="748"/>
      <c r="AM19" s="748"/>
      <c r="AN19" s="748"/>
      <c r="AO19" s="748"/>
      <c r="AP19" s="748"/>
    </row>
    <row s="11074" customFormat="1" customHeight="1" ht="12" hidden="1">
      <c r="L20" s="1718"/>
      <c r="M20" s="1658"/>
      <c r="N20" s="1658"/>
      <c r="O20" s="1660" t="s">
        <v>1535</v>
      </c>
      <c r="P20" s="1658"/>
      <c r="Q20" s="1739"/>
      <c r="R20" s="1739"/>
      <c r="S20" s="967"/>
      <c r="T20" s="1421" t="s">
        <v>1536</v>
      </c>
      <c r="Z20" s="393" t="s">
        <v>1537</v>
      </c>
      <c r="AB20" s="393" t="s">
        <v>1538</v>
      </c>
      <c r="AC20" s="1421" t="s">
        <v>1536</v>
      </c>
      <c r="AG20" s="393" t="s">
        <v>1539</v>
      </c>
      <c r="AI20" s="393" t="s">
        <v>1538</v>
      </c>
    </row>
    <row customHeight="1" ht="14.25" hidden="1">
      <c r="O21" s="1660"/>
    </row>
    <row customHeight="1" ht="14.25" hidden="1">
      <c r="O22" s="1660"/>
    </row>
    <row customHeight="1" ht="14.25">
      <c r="Q23" s="602"/>
      <c r="R23" s="602"/>
      <c r="S23" s="1565"/>
      <c r="T23" s="586"/>
      <c r="U23" s="586"/>
      <c r="V23" s="746"/>
      <c r="W23" s="746"/>
      <c r="X23" s="746"/>
      <c r="Y23" s="746"/>
      <c r="Z23" s="746"/>
      <c r="AA23" s="746"/>
      <c r="AB23" s="746"/>
      <c r="AC23" s="746"/>
      <c r="AD23" s="746"/>
      <c r="AE23" s="746"/>
      <c r="AF23" s="746"/>
      <c r="AG23" s="746"/>
      <c r="AH23" s="746"/>
      <c r="AI23" s="746"/>
    </row>
    <row customHeight="1" ht="32.25">
      <c r="Q24" s="602"/>
      <c r="R24" s="602"/>
      <c r="S24" s="2414" t="str">
        <f>IF(TEMPLATE_GROUP="P",PT_P_FORM_COLDVSNA_4_NAME_FORM,PT_R_FORM_COLDVSNA_16_NAME_FORM)</f>
        <v>Форма 15. Информация о предложении расчетной величины тарифов организации холодного водоснабжения об установлении тарифов в сфере холодного водоснабжения на очередной период регулирования &lt;1&gt;</v>
      </c>
      <c r="T24" s="2414"/>
      <c r="U24" s="2414"/>
      <c r="V24" s="2414"/>
      <c r="W24" s="2414"/>
      <c r="X24" s="2414"/>
      <c r="Y24" s="2414"/>
      <c r="Z24" s="2414"/>
      <c r="AA24" s="2414"/>
      <c r="AB24" s="2414"/>
      <c r="AC24" s="2414"/>
      <c r="AD24" s="2414"/>
      <c r="AE24" s="2414"/>
      <c r="AF24" s="2414"/>
      <c r="AG24" s="2414"/>
      <c r="AH24" s="2414"/>
      <c r="AI24" s="1521"/>
    </row>
    <row customHeight="1" ht="14.25">
      <c r="Q25" s="602"/>
      <c r="R25" s="602"/>
      <c r="S25" s="2415" t="str">
        <f>IF(org=0,"Не определено",org)</f>
        <v>ООО "СамРЭК-Тепло Жигулевск"</v>
      </c>
      <c r="T25" s="2415"/>
      <c r="U25" s="2415"/>
      <c r="V25" s="2415"/>
      <c r="W25" s="2415"/>
      <c r="X25" s="2415"/>
      <c r="Y25" s="2415"/>
      <c r="Z25" s="2415"/>
      <c r="AA25" s="2415"/>
      <c r="AB25" s="2415"/>
      <c r="AC25" s="2415"/>
      <c r="AD25" s="2415"/>
      <c r="AE25" s="2415"/>
      <c r="AF25" s="2415"/>
      <c r="AG25" s="2415"/>
      <c r="AH25" s="2415"/>
      <c r="AI25" s="1521"/>
    </row>
    <row customHeight="1" ht="14.25" hidden="1">
      <c r="Q26" s="602"/>
      <c r="R26" s="602"/>
      <c r="S26" s="1565"/>
      <c r="T26" s="586"/>
      <c r="U26" s="586"/>
      <c r="V26" s="541"/>
      <c r="W26" s="541"/>
      <c r="X26" s="541"/>
      <c r="Y26" s="541"/>
      <c r="Z26" s="541"/>
      <c r="AA26" s="541"/>
      <c r="AB26" s="541"/>
      <c r="AC26" s="541"/>
      <c r="AD26" s="541"/>
      <c r="AE26" s="541"/>
      <c r="AF26" s="541"/>
      <c r="AG26" s="541"/>
      <c r="AH26" s="541"/>
      <c r="AI26" s="541"/>
      <c r="AJ26" s="746"/>
    </row>
    <row s="10859" customFormat="1" customHeight="1" ht="25.5" hidden="1">
      <c r="A27" s="1664"/>
      <c r="B27" s="1664"/>
      <c r="C27" s="1664"/>
      <c r="D27" s="1664"/>
      <c r="E27" s="1664"/>
      <c r="F27" s="1664"/>
      <c r="G27" s="1664"/>
      <c r="H27" s="1664"/>
      <c r="I27" s="1664"/>
      <c r="J27" s="1664"/>
      <c r="K27" s="1664"/>
      <c r="L27" s="1665"/>
      <c r="M27" s="1664"/>
      <c r="N27" s="1664"/>
      <c r="O27" s="1664"/>
      <c r="S27" s="2416" t="s">
        <v>39</v>
      </c>
      <c r="T27" s="2416"/>
      <c r="U27" s="1668"/>
      <c r="V27" s="2417" t="str">
        <f>IF(TITLE_NAME_OR_PR_CHANGE="",IF(TITLE_NAME_OR_PR="","",TITLE_NAME_OR_PR),TITLE_NAME_OR_PR_CHANGE)</f>
        <v/>
      </c>
      <c r="W27" s="2417"/>
      <c r="X27" s="2417"/>
      <c r="Y27" s="2417"/>
      <c r="Z27" s="2417"/>
      <c r="AA27" s="2417"/>
      <c r="AB27" s="547"/>
      <c r="AC27" s="2417" t="str">
        <f>IF(TITLE_NAME_OR_PR_CHANGE="",IF(TITLE_NAME_OR_PR="","",TITLE_NAME_OR_PR),TITLE_NAME_OR_PR_CHANGE)</f>
        <v/>
      </c>
      <c r="AD27" s="2417"/>
      <c r="AE27" s="2417"/>
      <c r="AF27" s="2417"/>
      <c r="AG27" s="2417"/>
      <c r="AH27" s="2417"/>
      <c r="AI27" s="547"/>
      <c r="AJ27" s="547"/>
      <c r="AK27" s="490"/>
      <c r="AL27" s="593"/>
      <c r="AM27" s="593"/>
      <c r="AN27" s="593"/>
      <c r="AO27" s="593"/>
      <c r="AP27" s="593"/>
    </row>
    <row s="10859" customFormat="1" customHeight="1" ht="18.75" hidden="1">
      <c r="A28" s="1664"/>
      <c r="B28" s="1664"/>
      <c r="C28" s="1664"/>
      <c r="D28" s="1664"/>
      <c r="E28" s="1664"/>
      <c r="F28" s="1664"/>
      <c r="G28" s="1664"/>
      <c r="H28" s="1664"/>
      <c r="I28" s="1664"/>
      <c r="J28" s="1664"/>
      <c r="K28" s="1664"/>
      <c r="L28" s="1665"/>
      <c r="M28" s="1664"/>
      <c r="N28" s="1664"/>
      <c r="O28" s="1664"/>
      <c r="S28" s="2416" t="s">
        <v>1540</v>
      </c>
      <c r="T28" s="2416"/>
      <c r="U28" s="1668"/>
      <c r="V28" s="2417" t="str">
        <f>IF(TITLE_DATE_CHANGE_PERIOD="",IF(TITLE_DATE_PR="","",TITLE_DATE_PR),TITLE_DATE_CHANGE_PERIOD)</f>
        <v/>
      </c>
      <c r="W28" s="2417"/>
      <c r="X28" s="2417"/>
      <c r="Y28" s="2417"/>
      <c r="Z28" s="2417"/>
      <c r="AA28" s="2417"/>
      <c r="AB28" s="547"/>
      <c r="AC28" s="2417" t="str">
        <f>IF(TITLE_DATE_CHANGE_PERIOD="",IF(TITLE_DATE_PR="","",TITLE_DATE_PR),TITLE_DATE_CHANGE_PERIOD)</f>
        <v/>
      </c>
      <c r="AD28" s="2417"/>
      <c r="AE28" s="2417"/>
      <c r="AF28" s="2417"/>
      <c r="AG28" s="2417"/>
      <c r="AH28" s="2417"/>
      <c r="AI28" s="547"/>
      <c r="AJ28" s="547"/>
      <c r="AK28" s="490"/>
      <c r="AL28" s="593"/>
      <c r="AM28" s="593"/>
      <c r="AN28" s="593"/>
      <c r="AO28" s="593"/>
      <c r="AP28" s="593"/>
    </row>
    <row s="10859" customFormat="1" customHeight="1" ht="18.75" hidden="1">
      <c r="A29" s="1664"/>
      <c r="B29" s="1664"/>
      <c r="C29" s="1664"/>
      <c r="D29" s="1664"/>
      <c r="E29" s="1664"/>
      <c r="F29" s="1664"/>
      <c r="G29" s="1664"/>
      <c r="H29" s="1664"/>
      <c r="I29" s="1664"/>
      <c r="J29" s="1664"/>
      <c r="K29" s="1664"/>
      <c r="L29" s="1665"/>
      <c r="M29" s="1664"/>
      <c r="N29" s="1664"/>
      <c r="O29" s="1664"/>
      <c r="S29" s="2416" t="s">
        <v>1541</v>
      </c>
      <c r="T29" s="2416"/>
      <c r="U29" s="1668"/>
      <c r="V29" s="2417" t="str">
        <f>IF(TITLE_NUMBER_PR_CHANGE="",IF(TITLE_NUMBER_PR="","",TITLE_NUMBER_PR),TITLE_NUMBER_PR_CHANGE)</f>
        <v/>
      </c>
      <c r="W29" s="2417"/>
      <c r="X29" s="2417"/>
      <c r="Y29" s="2417"/>
      <c r="Z29" s="2417"/>
      <c r="AA29" s="2417"/>
      <c r="AB29" s="547"/>
      <c r="AC29" s="2417" t="str">
        <f>IF(TITLE_NUMBER_PR_CHANGE="",IF(TITLE_NUMBER_PR="","",TITLE_NUMBER_PR),TITLE_NUMBER_PR_CHANGE)</f>
        <v/>
      </c>
      <c r="AD29" s="2417"/>
      <c r="AE29" s="2417"/>
      <c r="AF29" s="2417"/>
      <c r="AG29" s="2417"/>
      <c r="AH29" s="2417"/>
      <c r="AI29" s="547"/>
      <c r="AJ29" s="547"/>
      <c r="AK29" s="490"/>
      <c r="AL29" s="593"/>
      <c r="AM29" s="593"/>
      <c r="AN29" s="593"/>
      <c r="AO29" s="593"/>
      <c r="AP29" s="593"/>
    </row>
    <row s="10859" customFormat="1" customHeight="1" ht="18.75" hidden="1">
      <c r="A30" s="1664"/>
      <c r="B30" s="1664"/>
      <c r="C30" s="1664"/>
      <c r="D30" s="1664"/>
      <c r="E30" s="1664"/>
      <c r="F30" s="1664"/>
      <c r="G30" s="1664"/>
      <c r="H30" s="1664"/>
      <c r="I30" s="1664"/>
      <c r="J30" s="1664"/>
      <c r="K30" s="1664"/>
      <c r="L30" s="1665"/>
      <c r="M30" s="1664"/>
      <c r="N30" s="1664"/>
      <c r="O30" s="1664"/>
      <c r="S30" s="2416" t="s">
        <v>40</v>
      </c>
      <c r="T30" s="2416"/>
      <c r="U30" s="1668"/>
      <c r="V30" s="2417" t="str">
        <f>IF(TITLE_IST_PUB_CHANGE="",IF(TITLE_IST_PUB="","",TITLE_IST_PUB),TITLE_IST_PUB_CHANGE)</f>
        <v/>
      </c>
      <c r="W30" s="2417"/>
      <c r="X30" s="2417"/>
      <c r="Y30" s="2417"/>
      <c r="Z30" s="2417"/>
      <c r="AA30" s="2417"/>
      <c r="AB30" s="547"/>
      <c r="AC30" s="2417" t="str">
        <f>IF(TITLE_IST_PUB_CHANGE="",IF(TITLE_IST_PUB="","",TITLE_IST_PUB),TITLE_IST_PUB_CHANGE)</f>
        <v/>
      </c>
      <c r="AD30" s="2417"/>
      <c r="AE30" s="2417"/>
      <c r="AF30" s="2417"/>
      <c r="AG30" s="2417"/>
      <c r="AH30" s="2417"/>
      <c r="AI30" s="547"/>
      <c r="AJ30" s="547"/>
      <c r="AK30" s="490"/>
      <c r="AL30" s="593"/>
      <c r="AM30" s="593"/>
      <c r="AN30" s="593"/>
      <c r="AO30" s="593"/>
      <c r="AP30" s="593"/>
    </row>
    <row customHeight="1" ht="14.25" hidden="1">
      <c r="Q31" s="602"/>
      <c r="R31" s="602"/>
      <c r="S31" s="1565"/>
      <c r="T31" s="586"/>
      <c r="U31" s="586"/>
      <c r="V31" s="541"/>
      <c r="W31" s="541"/>
      <c r="X31" s="541"/>
      <c r="Y31" s="541"/>
      <c r="Z31" s="541"/>
      <c r="AA31" s="541"/>
      <c r="AB31" s="541"/>
      <c r="AC31" s="541"/>
      <c r="AD31" s="541"/>
      <c r="AE31" s="541"/>
      <c r="AF31" s="541"/>
      <c r="AG31" s="541"/>
      <c r="AH31" s="541"/>
      <c r="AI31" s="541"/>
      <c r="AJ31" s="746"/>
    </row>
    <row s="10859" customFormat="1" customHeight="1" ht="18.75" hidden="1">
      <c r="A32" s="1664"/>
      <c r="B32" s="1664"/>
      <c r="C32" s="1664"/>
      <c r="D32" s="1664"/>
      <c r="E32" s="1664"/>
      <c r="F32" s="1664"/>
      <c r="G32" s="1664"/>
      <c r="H32" s="1664"/>
      <c r="I32" s="1664"/>
      <c r="J32" s="1664"/>
      <c r="K32" s="1664"/>
      <c r="L32" s="1665"/>
      <c r="M32" s="1664"/>
      <c r="N32" s="1664"/>
      <c r="O32" s="1664"/>
      <c r="S32" s="2416" t="s">
        <v>1542</v>
      </c>
      <c r="T32" s="2416"/>
      <c r="U32" s="1668"/>
      <c r="V32" s="2417" t="str">
        <f>IF(TITLE_DATE_CHANGE_PERIOD="",IF(TITLE_DATE_PR="","",TITLE_DATE_PR),TITLE_DATE_CHANGE_PERIOD)</f>
        <v/>
      </c>
      <c r="W32" s="2417"/>
      <c r="X32" s="2417"/>
      <c r="Y32" s="2417"/>
      <c r="Z32" s="2417"/>
      <c r="AA32" s="2417"/>
      <c r="AB32" s="547"/>
      <c r="AC32" s="2417" t="str">
        <f>IF(TITLE_DATE_CHANGE_PERIOD="",IF(TITLE_DATE_PR="","",TITLE_DATE_PR),TITLE_DATE_CHANGE_PERIOD)</f>
        <v/>
      </c>
      <c r="AD32" s="2417"/>
      <c r="AE32" s="2417"/>
      <c r="AF32" s="2417"/>
      <c r="AG32" s="2417"/>
      <c r="AH32" s="2417"/>
      <c r="AI32" s="547"/>
      <c r="AJ32" s="547"/>
      <c r="AK32" s="490"/>
      <c r="AL32" s="593"/>
      <c r="AM32" s="593"/>
      <c r="AN32" s="593"/>
      <c r="AO32" s="593"/>
      <c r="AP32" s="593"/>
    </row>
    <row s="10859" customFormat="1" customHeight="1" ht="18.75" hidden="1">
      <c r="A33" s="1664"/>
      <c r="B33" s="1664"/>
      <c r="C33" s="1664"/>
      <c r="D33" s="1664"/>
      <c r="E33" s="1664"/>
      <c r="F33" s="1664"/>
      <c r="G33" s="1664"/>
      <c r="H33" s="1664"/>
      <c r="I33" s="1664"/>
      <c r="J33" s="1664"/>
      <c r="K33" s="1664"/>
      <c r="L33" s="1665"/>
      <c r="M33" s="1664"/>
      <c r="N33" s="1664"/>
      <c r="O33" s="1664"/>
      <c r="S33" s="2416" t="s">
        <v>1543</v>
      </c>
      <c r="T33" s="2416"/>
      <c r="U33" s="1668"/>
      <c r="V33" s="2417" t="str">
        <f>IF(TITLE_NUMBER_PR_CHANGE="",IF(TITLE_NUMBER_PR="","",TITLE_NUMBER_PR),TITLE_NUMBER_PR_CHANGE)</f>
        <v/>
      </c>
      <c r="W33" s="2417"/>
      <c r="X33" s="2417"/>
      <c r="Y33" s="2417"/>
      <c r="Z33" s="2417"/>
      <c r="AA33" s="2417"/>
      <c r="AB33" s="547"/>
      <c r="AC33" s="2417" t="str">
        <f>IF(TITLE_NUMBER_PR_CHANGE="",IF(TITLE_NUMBER_PR="","",TITLE_NUMBER_PR),TITLE_NUMBER_PR_CHANGE)</f>
        <v/>
      </c>
      <c r="AD33" s="2417"/>
      <c r="AE33" s="2417"/>
      <c r="AF33" s="2417"/>
      <c r="AG33" s="2417"/>
      <c r="AH33" s="2417"/>
      <c r="AI33" s="547"/>
      <c r="AJ33" s="547"/>
      <c r="AK33" s="490"/>
      <c r="AL33" s="593"/>
      <c r="AM33" s="593"/>
      <c r="AN33" s="593"/>
      <c r="AO33" s="593"/>
      <c r="AP33" s="593"/>
    </row>
    <row s="10859" customFormat="1" customHeight="1" ht="0.75">
      <c r="A34" s="1664"/>
      <c r="B34" s="1664"/>
      <c r="C34" s="1664"/>
      <c r="D34" s="1664"/>
      <c r="E34" s="1664"/>
      <c r="F34" s="1664"/>
      <c r="G34" s="1664"/>
      <c r="H34" s="1664"/>
      <c r="I34" s="1664"/>
      <c r="J34" s="1664"/>
      <c r="K34" s="1664"/>
      <c r="L34" s="1665"/>
      <c r="M34" s="1664"/>
      <c r="N34" s="1664"/>
      <c r="O34" s="1664"/>
      <c r="S34" s="543"/>
      <c r="T34" s="543"/>
      <c r="U34" s="1651"/>
      <c r="V34" s="547"/>
      <c r="W34" s="547"/>
      <c r="X34" s="547"/>
      <c r="Y34" s="547"/>
      <c r="Z34" s="547"/>
      <c r="AA34" s="547"/>
      <c r="AB34" s="488" t="s">
        <v>1544</v>
      </c>
      <c r="AC34" s="547"/>
      <c r="AD34" s="547"/>
      <c r="AE34" s="547"/>
      <c r="AF34" s="547"/>
      <c r="AG34" s="547"/>
      <c r="AH34" s="547"/>
      <c r="AI34" s="488" t="s">
        <v>1544</v>
      </c>
      <c r="AL34" s="593"/>
      <c r="AM34" s="593"/>
      <c r="AN34" s="593"/>
      <c r="AO34" s="593"/>
      <c r="AP34" s="593"/>
    </row>
    <row customHeight="1" ht="14.25">
      <c r="Q35" s="602"/>
      <c r="R35" s="602"/>
      <c r="S35" s="1565"/>
      <c r="T35" s="586"/>
      <c r="U35" s="1522"/>
      <c r="V35" s="2418"/>
      <c r="W35" s="2418"/>
      <c r="X35" s="2418"/>
      <c r="Y35" s="2418"/>
      <c r="Z35" s="2418"/>
      <c r="AA35" s="2418"/>
      <c r="AB35" s="2418"/>
      <c r="AC35" s="2418"/>
      <c r="AD35" s="2418"/>
      <c r="AE35" s="2418"/>
      <c r="AF35" s="2418"/>
      <c r="AG35" s="2418"/>
      <c r="AH35" s="2418"/>
      <c r="AI35" s="2418"/>
    </row>
    <row customHeight="1" ht="14.25">
      <c r="Q36" s="602"/>
      <c r="R36" s="602"/>
      <c r="S36" s="2277" t="s">
        <v>362</v>
      </c>
      <c r="T36" s="2277"/>
      <c r="U36" s="2277"/>
      <c r="V36" s="2277"/>
      <c r="W36" s="2277"/>
      <c r="X36" s="2277"/>
      <c r="Y36" s="2277"/>
      <c r="Z36" s="2277"/>
      <c r="AA36" s="2277"/>
      <c r="AB36" s="2277"/>
      <c r="AC36" s="2277"/>
      <c r="AD36" s="2277"/>
      <c r="AE36" s="2277"/>
      <c r="AF36" s="2277"/>
      <c r="AG36" s="2277"/>
      <c r="AH36" s="2277"/>
      <c r="AI36" s="2277"/>
      <c r="AJ36" s="2277"/>
      <c r="AK36" s="2277" t="s">
        <v>363</v>
      </c>
    </row>
    <row customHeight="1" ht="14.25">
      <c r="Q37" s="602"/>
      <c r="R37" s="602"/>
      <c r="S37" s="2440" t="s">
        <v>88</v>
      </c>
      <c r="T37" s="2301" t="s">
        <v>1545</v>
      </c>
      <c r="U37" s="511"/>
      <c r="V37" s="2441" t="s">
        <v>1546</v>
      </c>
      <c r="W37" s="2442"/>
      <c r="X37" s="2442"/>
      <c r="Y37" s="2442"/>
      <c r="Z37" s="2442"/>
      <c r="AA37" s="2443"/>
      <c r="AB37" s="2444" t="s">
        <v>1547</v>
      </c>
      <c r="AC37" s="2441" t="s">
        <v>1546</v>
      </c>
      <c r="AD37" s="2442"/>
      <c r="AE37" s="2442"/>
      <c r="AF37" s="2442"/>
      <c r="AG37" s="2442"/>
      <c r="AH37" s="2443"/>
      <c r="AI37" s="2444" t="s">
        <v>1548</v>
      </c>
      <c r="AJ37" s="2447" t="s">
        <v>1549</v>
      </c>
      <c r="AK37" s="2277"/>
    </row>
    <row customHeight="1" ht="33.75">
      <c r="Q38" s="602"/>
      <c r="R38" s="602"/>
      <c r="S38" s="2440"/>
      <c r="T38" s="2301"/>
      <c r="U38" s="1289"/>
      <c r="V38" s="1648" t="s">
        <v>1740</v>
      </c>
      <c r="W38" s="2428" t="s">
        <v>1552</v>
      </c>
      <c r="X38" s="2429"/>
      <c r="Y38" s="2434" t="s">
        <v>1553</v>
      </c>
      <c r="Z38" s="2435"/>
      <c r="AA38" s="2436"/>
      <c r="AB38" s="2445"/>
      <c r="AC38" s="1648" t="s">
        <v>1740</v>
      </c>
      <c r="AD38" s="2428" t="s">
        <v>1552</v>
      </c>
      <c r="AE38" s="2429"/>
      <c r="AF38" s="2434" t="s">
        <v>1553</v>
      </c>
      <c r="AG38" s="2435"/>
      <c r="AH38" s="2436"/>
      <c r="AI38" s="2445"/>
      <c r="AJ38" s="2448"/>
      <c r="AK38" s="2277"/>
    </row>
    <row customHeight="1" ht="33.75">
      <c r="A39" s="1666"/>
      <c r="B39" s="1666" t="s">
        <v>212</v>
      </c>
      <c r="C39" s="1666" t="s">
        <v>213</v>
      </c>
      <c r="D39" s="1666" t="s">
        <v>214</v>
      </c>
      <c r="E39" s="1660" t="s">
        <v>1554</v>
      </c>
      <c r="F39" s="1660" t="s">
        <v>1555</v>
      </c>
      <c r="G39" s="1660" t="s">
        <v>1556</v>
      </c>
      <c r="H39" s="1660"/>
      <c r="I39" s="1660" t="s">
        <v>1741</v>
      </c>
      <c r="J39" s="1660" t="s">
        <v>1559</v>
      </c>
      <c r="K39" s="1660" t="s">
        <v>1742</v>
      </c>
      <c r="L39" s="1660" t="s">
        <v>1535</v>
      </c>
      <c r="Q39" s="602"/>
      <c r="R39" s="602"/>
      <c r="S39" s="2440"/>
      <c r="T39" s="2301"/>
      <c r="U39" s="512"/>
      <c r="V39" s="1648" t="s">
        <v>1743</v>
      </c>
      <c r="W39" s="1497" t="s">
        <v>1744</v>
      </c>
      <c r="X39" s="1497" t="s">
        <v>1745</v>
      </c>
      <c r="Y39" s="1653" t="s">
        <v>1563</v>
      </c>
      <c r="Z39" s="2437" t="s">
        <v>1564</v>
      </c>
      <c r="AA39" s="2438"/>
      <c r="AB39" s="2446"/>
      <c r="AC39" s="1648" t="s">
        <v>1743</v>
      </c>
      <c r="AD39" s="1497" t="s">
        <v>1744</v>
      </c>
      <c r="AE39" s="1497" t="s">
        <v>1745</v>
      </c>
      <c r="AF39" s="1653" t="s">
        <v>1563</v>
      </c>
      <c r="AG39" s="2437" t="s">
        <v>1564</v>
      </c>
      <c r="AH39" s="2438"/>
      <c r="AI39" s="2446"/>
      <c r="AJ39" s="2449"/>
      <c r="AK39" s="2277"/>
    </row>
    <row s="10822" customFormat="1" customHeight="1" ht="11.25" hidden="1">
      <c r="A40" s="1666"/>
      <c r="B40" s="1666"/>
      <c r="C40" s="1666"/>
      <c r="D40" s="1666"/>
      <c r="E40" s="1666"/>
      <c r="F40" s="1666"/>
      <c r="G40" s="1666"/>
      <c r="H40" s="1666"/>
      <c r="I40" s="1666"/>
      <c r="J40" s="1666"/>
      <c r="K40" s="1666"/>
      <c r="L40" s="1660"/>
      <c r="M40" s="1658"/>
      <c r="N40" s="1658"/>
      <c r="O40" s="1658"/>
      <c r="P40" s="1524"/>
      <c r="Q40" s="1525"/>
      <c r="R40" s="1540">
        <v>1</v>
      </c>
      <c r="S40" s="1567" t="s">
        <v>109</v>
      </c>
      <c r="T40" s="1541" t="s">
        <v>110</v>
      </c>
      <c r="U40" s="1523" t="str">
        <f>OFFSET(U40,0,-1)</f>
        <v>2</v>
      </c>
      <c r="V40" s="1649">
        <f>OFFSET(V40,0,-1)+1</f>
        <v>3</v>
      </c>
      <c r="W40" s="1649">
        <f>OFFSET(W40,0,-1)+1</f>
        <v>4</v>
      </c>
      <c r="X40" s="1649">
        <f>OFFSET(X40,0,-1)+1</f>
        <v>5</v>
      </c>
      <c r="Y40" s="1649">
        <f>OFFSET(Y40,0,-1)+1</f>
        <v>6</v>
      </c>
      <c r="Z40" s="2439">
        <f>OFFSET(Z40,0,-1)+1</f>
        <v>7</v>
      </c>
      <c r="AA40" s="2439"/>
      <c r="AB40" s="1649">
        <f>OFFSET(AB40,0,-2)+1</f>
        <v>8</v>
      </c>
      <c r="AC40" s="1649">
        <f>OFFSET(AC40,0,-1)+1</f>
        <v>9</v>
      </c>
      <c r="AD40" s="1649">
        <f>OFFSET(AD40,0,-1)+1</f>
        <v>10</v>
      </c>
      <c r="AE40" s="1649">
        <f>OFFSET(AE40,0,-1)+1</f>
        <v>11</v>
      </c>
      <c r="AF40" s="1649">
        <f>OFFSET(AF40,0,-1)+1</f>
        <v>12</v>
      </c>
      <c r="AG40" s="2439">
        <f>OFFSET(AG40,0,-1)+1</f>
        <v>13</v>
      </c>
      <c r="AH40" s="2439"/>
      <c r="AI40" s="1649">
        <f>OFFSET(AI40,0,-2)+1</f>
        <v>14</v>
      </c>
      <c r="AJ40" s="1523">
        <f>OFFSET(AJ40,0,-1)</f>
        <v>14</v>
      </c>
      <c r="AK40" s="1649">
        <f>OFFSET(AK40,0,-1)+1</f>
        <v>15</v>
      </c>
      <c r="AL40" s="748"/>
      <c r="AM40" s="748"/>
      <c r="AN40" s="748"/>
      <c r="AO40" s="748"/>
      <c r="AP40" s="748"/>
    </row>
    <row customHeight="1" ht="23.25">
      <c r="A41" s="1659" t="s">
        <v>288</v>
      </c>
      <c r="B41" s="1659"/>
      <c r="C41" s="1659"/>
      <c r="D41" s="1659"/>
      <c r="E41" s="2424">
        <v>1</v>
      </c>
      <c r="F41" s="1659"/>
      <c r="G41" s="1659"/>
      <c r="H41" s="1659"/>
      <c r="I41" s="1659"/>
      <c r="J41" s="1659"/>
      <c r="K41" s="1659"/>
      <c r="L41" s="1660"/>
      <c r="M41" s="1661"/>
      <c r="N41" s="1661"/>
      <c r="O41" s="1661"/>
      <c r="P41" s="582"/>
      <c r="Q41" s="581"/>
      <c r="R41" s="576"/>
      <c r="S41" s="1654">
        <f>INDEX(PT_DIFFERENTIATION_NUM_NTAR,MATCH(A41,PT_DIFFERENTIATION_NTAR_ID,0))</f>
        <v>0</v>
      </c>
      <c r="T41" s="508" t="s">
        <v>200</v>
      </c>
      <c r="U41" s="510"/>
      <c r="V41" s="4037"/>
      <c r="W41" s="4038"/>
      <c r="X41" s="4038"/>
      <c r="Y41" s="4038"/>
      <c r="Z41" s="4038"/>
      <c r="AA41" s="4038"/>
      <c r="AB41" s="4039"/>
      <c r="AC41" s="4037" t="str">
        <f>INDEX(PT_DIFFERENTIATION_NTAR,MATCH(A41,PT_DIFFERENTIATION_NTAR_ID,0))</f>
        <v/>
      </c>
      <c r="AD41" s="4038"/>
      <c r="AE41" s="4038"/>
      <c r="AF41" s="4038"/>
      <c r="AG41" s="4038"/>
      <c r="AH41" s="4038"/>
      <c r="AI41" s="4038"/>
      <c r="AJ41" s="4039"/>
      <c r="AK41" s="1546"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737"/>
      <c r="AN41" s="737" t="str">
        <f>IF(T41="","",T41)</f>
        <v>Наименование тарифа</v>
      </c>
      <c r="AO41" s="737"/>
      <c r="AP41" s="737"/>
    </row>
    <row customHeight="1" ht="23.25">
      <c r="A42" s="1659" t="s">
        <v>288</v>
      </c>
      <c r="B42" s="1659" t="s">
        <v>289</v>
      </c>
      <c r="C42" s="1659"/>
      <c r="D42" s="1659"/>
      <c r="E42" s="2425"/>
      <c r="F42" s="2424">
        <v>1</v>
      </c>
      <c r="G42" s="1659"/>
      <c r="H42" s="1659"/>
      <c r="I42" s="1659"/>
      <c r="J42" s="1659"/>
      <c r="K42" s="1659"/>
      <c r="L42" s="1660"/>
      <c r="M42" s="1661"/>
      <c r="N42" s="1661"/>
      <c r="O42" s="1661"/>
      <c r="P42" s="1652"/>
      <c r="Q42" s="573"/>
      <c r="R42" s="574"/>
      <c r="S42" s="1654" t="str">
        <f>INDEX(PT_DIFFERENTIATION_NUM_TER,MATCH(B42,PT_DIFFERENTIATION_TER_ID,0))</f>
        <v>.</v>
      </c>
      <c r="T42" s="520" t="s">
        <v>1517</v>
      </c>
      <c r="U42" s="510"/>
      <c r="V42" s="4037"/>
      <c r="W42" s="4038"/>
      <c r="X42" s="4038"/>
      <c r="Y42" s="4038"/>
      <c r="Z42" s="4038"/>
      <c r="AA42" s="4038"/>
      <c r="AB42" s="4039"/>
      <c r="AC42" s="4037" t="str">
        <f>INDEX(PT_DIFFERENTIATION_TER,MATCH(B42,PT_DIFFERENTIATION_TER_ID,0))</f>
        <v/>
      </c>
      <c r="AD42" s="4038"/>
      <c r="AE42" s="4038"/>
      <c r="AF42" s="4038"/>
      <c r="AG42" s="4038"/>
      <c r="AH42" s="4038"/>
      <c r="AI42" s="4038"/>
      <c r="AJ42" s="4039"/>
      <c r="AK42" s="1546" t="s">
        <v>1518</v>
      </c>
      <c r="AM42" s="737"/>
      <c r="AN42" s="737" t="str">
        <f>IF(T42="","",T42)</f>
        <v>Территория действия тарифа</v>
      </c>
      <c r="AO42" s="737"/>
      <c r="AP42" s="737"/>
    </row>
    <row customHeight="1" ht="23.25">
      <c r="A43" s="1659" t="s">
        <v>288</v>
      </c>
      <c r="B43" s="1659" t="s">
        <v>289</v>
      </c>
      <c r="C43" s="1659" t="s">
        <v>290</v>
      </c>
      <c r="D43" s="1659"/>
      <c r="E43" s="2425"/>
      <c r="F43" s="2425"/>
      <c r="G43" s="2424">
        <v>1</v>
      </c>
      <c r="H43" s="1659"/>
      <c r="I43" s="1659"/>
      <c r="J43" s="1659"/>
      <c r="K43" s="1659"/>
      <c r="L43" s="1660"/>
      <c r="M43" s="1661"/>
      <c r="N43" s="1661"/>
      <c r="O43" s="1661"/>
      <c r="P43" s="575"/>
      <c r="Q43" s="573"/>
      <c r="R43" s="574"/>
      <c r="S43" s="1654" t="str">
        <f>INDEX(PT_DIFFERENTIATION_NUM_CS,MATCH(C43,PT_DIFFERENTIATION_CS_ID,0))</f>
        <v>..</v>
      </c>
      <c r="T43" s="521" t="s">
        <v>1732</v>
      </c>
      <c r="U43" s="510"/>
      <c r="V43" s="4037"/>
      <c r="W43" s="4038"/>
      <c r="X43" s="4038"/>
      <c r="Y43" s="4038"/>
      <c r="Z43" s="4038"/>
      <c r="AA43" s="4038"/>
      <c r="AB43" s="4039"/>
      <c r="AC43" s="4037" t="str">
        <f>INDEX(PT_DIFFERENTIATION_CS,MATCH(C43,PT_DIFFERENTIATION_CS_ID,0))</f>
        <v/>
      </c>
      <c r="AD43" s="4038"/>
      <c r="AE43" s="4038"/>
      <c r="AF43" s="4038"/>
      <c r="AG43" s="4038"/>
      <c r="AH43" s="4038"/>
      <c r="AI43" s="4038"/>
      <c r="AJ43" s="4039"/>
      <c r="AK43" s="1546" t="s">
        <v>1733</v>
      </c>
      <c r="AM43" s="737"/>
      <c r="AN43" s="737" t="str">
        <f>IF(T43="","",T43)</f>
        <v>Наименование централизованной системы холодного водоснабжения</v>
      </c>
      <c r="AO43" s="737"/>
      <c r="AP43" s="737"/>
    </row>
    <row customHeight="1" ht="23.25">
      <c r="A44" s="1659" t="s">
        <v>288</v>
      </c>
      <c r="B44" s="1659" t="s">
        <v>289</v>
      </c>
      <c r="C44" s="1659" t="s">
        <v>290</v>
      </c>
      <c r="D44" s="1659" t="s">
        <v>1746</v>
      </c>
      <c r="E44" s="2425"/>
      <c r="F44" s="2425"/>
      <c r="G44" s="2425"/>
      <c r="H44" s="2425"/>
      <c r="I44" s="2453" t="str">
        <f>S43&amp;".1"</f>
        <v>...1</v>
      </c>
      <c r="J44" s="1659"/>
      <c r="K44" s="1659"/>
      <c r="L44" s="1660"/>
      <c r="P44" s="2423">
        <v>1</v>
      </c>
      <c r="Q44" s="1650"/>
      <c r="R44" s="577"/>
      <c r="S44" s="1654" t="str">
        <f>$I44</f>
        <v>...1</v>
      </c>
      <c r="T44" s="495" t="s">
        <v>1734</v>
      </c>
      <c r="U44" s="510"/>
      <c r="V44" s="2574"/>
      <c r="W44" s="2575"/>
      <c r="X44" s="2575"/>
      <c r="Y44" s="2575"/>
      <c r="Z44" s="2575"/>
      <c r="AA44" s="2575"/>
      <c r="AB44" s="2576"/>
      <c r="AC44" s="2577"/>
      <c r="AD44" s="2578"/>
      <c r="AE44" s="2578"/>
      <c r="AF44" s="2578"/>
      <c r="AG44" s="2578"/>
      <c r="AH44" s="2578"/>
      <c r="AI44" s="2578"/>
      <c r="AJ44" s="2579"/>
      <c r="AK44" s="1546" t="s">
        <v>1735</v>
      </c>
      <c r="AM44" s="737"/>
      <c r="AN44" s="737" t="str">
        <f>IF(T44="","",T44)</f>
        <v>Наименование признака дифференциации</v>
      </c>
      <c r="AO44" s="737"/>
      <c r="AP44" s="737"/>
    </row>
    <row customHeight="1" ht="23.25">
      <c r="A45" s="1659" t="s">
        <v>288</v>
      </c>
      <c r="B45" s="1659" t="s">
        <v>289</v>
      </c>
      <c r="C45" s="1659" t="s">
        <v>290</v>
      </c>
      <c r="D45" s="1659" t="s">
        <v>1746</v>
      </c>
      <c r="E45" s="2425"/>
      <c r="F45" s="2425"/>
      <c r="G45" s="2425"/>
      <c r="H45" s="2425"/>
      <c r="I45" s="2454"/>
      <c r="J45" s="2422" t="str">
        <f>I44&amp;".1"</f>
        <v>...1.1</v>
      </c>
      <c r="K45" s="1659"/>
      <c r="L45" s="1660" t="s">
        <v>1526</v>
      </c>
      <c r="P45" s="2423"/>
      <c r="Q45" s="2423">
        <v>1</v>
      </c>
      <c r="R45" s="578"/>
      <c r="S45" s="1654" t="str">
        <f>$J45</f>
        <v>...1.1</v>
      </c>
      <c r="T45" s="496" t="s">
        <v>1527</v>
      </c>
      <c r="U45" s="510"/>
      <c r="V45" s="2411"/>
      <c r="W45" s="2412"/>
      <c r="X45" s="2412"/>
      <c r="Y45" s="2412"/>
      <c r="Z45" s="2412"/>
      <c r="AA45" s="2412"/>
      <c r="AB45" s="2413"/>
      <c r="AC45" s="2411"/>
      <c r="AD45" s="2412"/>
      <c r="AE45" s="2412"/>
      <c r="AF45" s="2412"/>
      <c r="AG45" s="2412"/>
      <c r="AH45" s="2412"/>
      <c r="AI45" s="2412"/>
      <c r="AJ45" s="2413"/>
      <c r="AK45" s="1602" t="s">
        <v>1736</v>
      </c>
      <c r="AM45" s="737"/>
      <c r="AN45" s="737" t="str">
        <f>IF(T45="","",T45)</f>
        <v>Группа потребителей</v>
      </c>
      <c r="AO45" s="737"/>
      <c r="AP45" s="737"/>
    </row>
    <row customHeight="1" ht="23.25">
      <c r="A46" s="1659" t="s">
        <v>288</v>
      </c>
      <c r="B46" s="1659" t="s">
        <v>289</v>
      </c>
      <c r="C46" s="1659" t="s">
        <v>290</v>
      </c>
      <c r="D46" s="1659" t="s">
        <v>1746</v>
      </c>
      <c r="E46" s="2425"/>
      <c r="F46" s="2425"/>
      <c r="G46" s="2425"/>
      <c r="H46" s="2425"/>
      <c r="I46" s="2454"/>
      <c r="J46" s="2455"/>
      <c r="K46" s="2422" t="str">
        <f>J45&amp;".1"</f>
        <v>...1.1.1</v>
      </c>
      <c r="L46" s="1660"/>
      <c r="P46" s="2423"/>
      <c r="Q46" s="2423"/>
      <c r="R46" s="578">
        <v>1</v>
      </c>
      <c r="S46" s="1654" t="str">
        <f>$K46</f>
        <v>...1.1.1</v>
      </c>
      <c r="T46" s="1734"/>
      <c r="U46" s="510"/>
      <c r="V46" s="4098"/>
      <c r="W46" s="4098"/>
      <c r="X46" s="4099"/>
      <c r="Y46" s="2432"/>
      <c r="Z46" s="2433" t="s">
        <v>67</v>
      </c>
      <c r="AA46" s="2432"/>
      <c r="AB46" s="2433" t="s">
        <v>67</v>
      </c>
      <c r="AC46" s="4065"/>
      <c r="AD46" s="4065"/>
      <c r="AE46" s="4067"/>
      <c r="AF46" s="2430"/>
      <c r="AG46" s="2142" t="s">
        <v>67</v>
      </c>
      <c r="AH46" s="2456"/>
      <c r="AI46" s="2142" t="s">
        <v>57</v>
      </c>
      <c r="AJ46" s="4569"/>
      <c r="AK46" s="257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748">
        <f>STRCHECKDATE(V47:AJ47)</f>
      </c>
      <c r="AM46" s="737"/>
      <c r="AN46" s="737" t="str">
        <f>IF(T46="","",T46)</f>
        <v/>
      </c>
      <c r="AO46" s="737"/>
      <c r="AP46" s="737"/>
    </row>
    <row customHeight="1" ht="0">
      <c r="A47" s="1659" t="s">
        <v>288</v>
      </c>
      <c r="B47" s="1659" t="s">
        <v>289</v>
      </c>
      <c r="C47" s="1659" t="s">
        <v>290</v>
      </c>
      <c r="D47" s="1659" t="s">
        <v>1746</v>
      </c>
      <c r="E47" s="2425"/>
      <c r="F47" s="2425"/>
      <c r="G47" s="2425"/>
      <c r="H47" s="2425"/>
      <c r="I47" s="2454"/>
      <c r="J47" s="2455"/>
      <c r="K47" s="2422"/>
      <c r="L47" s="1660"/>
      <c r="P47" s="2423"/>
      <c r="Q47" s="2423"/>
      <c r="R47" s="578"/>
      <c r="S47" s="1655"/>
      <c r="T47" s="510"/>
      <c r="U47" s="510"/>
      <c r="V47" s="4098"/>
      <c r="W47" s="4098"/>
      <c r="X47" s="4071" t="str">
        <f>Y46&amp;"-"&amp;AA46</f>
        <v>-</v>
      </c>
      <c r="Y47" s="2433"/>
      <c r="Z47" s="2433"/>
      <c r="AA47" s="2433"/>
      <c r="AB47" s="2433"/>
      <c r="AC47" s="4066"/>
      <c r="AD47" s="4066"/>
      <c r="AE47" s="4071" t="str">
        <f>AF46&amp;"-"&amp;AH46</f>
        <v>-</v>
      </c>
      <c r="AF47" s="2431"/>
      <c r="AG47" s="2142"/>
      <c r="AH47" s="2457"/>
      <c r="AI47" s="2142"/>
      <c r="AJ47" s="4572"/>
      <c r="AK47" s="2573"/>
      <c r="AM47" s="737"/>
      <c r="AN47" s="737" t="str">
        <f>IF(T47="","",T47)</f>
        <v/>
      </c>
      <c r="AO47" s="737"/>
      <c r="AP47" s="737"/>
    </row>
    <row customHeight="1" ht="21">
      <c r="A48" s="1659" t="s">
        <v>288</v>
      </c>
      <c r="B48" s="1659" t="s">
        <v>289</v>
      </c>
      <c r="C48" s="1659" t="s">
        <v>290</v>
      </c>
      <c r="D48" s="1659" t="s">
        <v>1746</v>
      </c>
      <c r="E48" s="2425"/>
      <c r="F48" s="2425"/>
      <c r="G48" s="2425"/>
      <c r="H48" s="2425"/>
      <c r="I48" s="2454"/>
      <c r="J48" s="2422"/>
      <c r="K48" s="1659"/>
      <c r="L48" s="1660"/>
      <c r="P48" s="2423"/>
      <c r="Q48" s="2423"/>
      <c r="R48" s="577"/>
      <c r="S48" s="1568"/>
      <c r="T48" s="497" t="s">
        <v>1737</v>
      </c>
      <c r="U48" s="592"/>
      <c r="V48" s="592"/>
      <c r="W48" s="592"/>
      <c r="X48" s="592"/>
      <c r="Y48" s="592"/>
      <c r="Z48" s="592"/>
      <c r="AA48" s="592"/>
      <c r="AB48" s="592"/>
      <c r="AC48" s="592"/>
      <c r="AD48" s="592"/>
      <c r="AE48" s="592"/>
      <c r="AF48" s="592"/>
      <c r="AG48" s="592"/>
      <c r="AH48" s="592"/>
      <c r="AI48" s="592"/>
      <c r="AJ48" s="592"/>
      <c r="AK48" s="1546" t="s">
        <v>1738</v>
      </c>
      <c r="AM48" s="737"/>
      <c r="AN48" s="737" t="str">
        <f>IF(T48="","",T48)</f>
        <v>Добавить значение признака дифференциации</v>
      </c>
      <c r="AO48" s="737"/>
      <c r="AP48" s="737"/>
    </row>
    <row customHeight="1" ht="21">
      <c r="A49" s="1659" t="s">
        <v>288</v>
      </c>
      <c r="B49" s="1659" t="s">
        <v>289</v>
      </c>
      <c r="C49" s="1659" t="s">
        <v>290</v>
      </c>
      <c r="D49" s="1659" t="s">
        <v>1746</v>
      </c>
      <c r="E49" s="2425"/>
      <c r="F49" s="2425"/>
      <c r="G49" s="2425"/>
      <c r="H49" s="2425"/>
      <c r="I49" s="2453"/>
      <c r="J49" s="1659"/>
      <c r="K49" s="1659"/>
      <c r="L49" s="1660"/>
      <c r="P49" s="2423"/>
      <c r="Q49" s="1650"/>
      <c r="R49" s="577"/>
      <c r="S49" s="1568"/>
      <c r="T49" s="589" t="s">
        <v>1532</v>
      </c>
      <c r="U49" s="592"/>
      <c r="V49" s="592"/>
      <c r="W49" s="592"/>
      <c r="X49" s="592"/>
      <c r="Y49" s="592"/>
      <c r="Z49" s="592"/>
      <c r="AA49" s="592"/>
      <c r="AB49" s="591"/>
      <c r="AC49" s="592"/>
      <c r="AD49" s="592"/>
      <c r="AE49" s="592"/>
      <c r="AF49" s="592"/>
      <c r="AG49" s="592"/>
      <c r="AH49" s="592"/>
      <c r="AI49" s="591"/>
      <c r="AJ49" s="592"/>
      <c r="AK49" s="1737"/>
      <c r="AM49" s="737"/>
      <c r="AN49" s="737" t="str">
        <f>IF(T49="","",T49)</f>
        <v>Добавить группу потребителей</v>
      </c>
      <c r="AO49" s="737"/>
      <c r="AP49" s="737"/>
    </row>
    <row customHeight="1" ht="21">
      <c r="A50" s="1659" t="s">
        <v>288</v>
      </c>
      <c r="B50" s="1659" t="s">
        <v>289</v>
      </c>
      <c r="C50" s="1659" t="s">
        <v>290</v>
      </c>
      <c r="D50" s="1659" t="s">
        <v>1746</v>
      </c>
      <c r="E50" s="2425"/>
      <c r="F50" s="2425"/>
      <c r="G50" s="2425"/>
      <c r="H50" s="2424"/>
      <c r="I50" s="1659"/>
      <c r="J50" s="1659"/>
      <c r="K50" s="1659"/>
      <c r="L50" s="1660"/>
      <c r="M50" s="1661"/>
      <c r="N50" s="1661"/>
      <c r="O50" s="774"/>
      <c r="P50" s="581"/>
      <c r="Q50" s="601"/>
      <c r="R50" s="576"/>
      <c r="S50" s="1568"/>
      <c r="T50" s="597" t="s">
        <v>1739</v>
      </c>
      <c r="U50" s="592"/>
      <c r="V50" s="592"/>
      <c r="W50" s="592"/>
      <c r="X50" s="592"/>
      <c r="Y50" s="592"/>
      <c r="Z50" s="592"/>
      <c r="AA50" s="592"/>
      <c r="AB50" s="591"/>
      <c r="AC50" s="592"/>
      <c r="AD50" s="592"/>
      <c r="AE50" s="592"/>
      <c r="AF50" s="592"/>
      <c r="AG50" s="592"/>
      <c r="AH50" s="592"/>
      <c r="AI50" s="591"/>
      <c r="AJ50" s="592"/>
      <c r="AK50" s="513"/>
      <c r="AM50" s="737"/>
      <c r="AN50" s="737" t="str">
        <f>IF(T50="","",T50)</f>
        <v>Добавить наименование признака дифференциации</v>
      </c>
      <c r="AO50" s="737"/>
      <c r="AP50" s="737"/>
    </row>
    <row s="10863" customFormat="1" customHeight="1" ht="0.75">
      <c r="A51" s="1638" t="s">
        <v>288</v>
      </c>
      <c r="B51" s="1638" t="s">
        <v>289</v>
      </c>
      <c r="C51" s="1609"/>
      <c r="D51" s="1609"/>
      <c r="E51" s="2425"/>
      <c r="F51" s="2424"/>
      <c r="G51" s="1609"/>
      <c r="H51" s="1609"/>
      <c r="I51" s="1609"/>
      <c r="J51" s="1609"/>
      <c r="K51" s="1609"/>
      <c r="L51" s="1723"/>
      <c r="M51" s="1616"/>
      <c r="N51" s="1616"/>
      <c r="P51" s="1611"/>
      <c r="Q51" s="1612"/>
      <c r="R51" s="1611"/>
      <c r="S51" s="1617"/>
      <c r="T51" s="1620" t="s">
        <v>1493</v>
      </c>
      <c r="U51" s="1619"/>
      <c r="V51" s="1619"/>
      <c r="W51" s="1619"/>
      <c r="X51" s="1619"/>
      <c r="Y51" s="1619"/>
      <c r="Z51" s="1619"/>
      <c r="AA51" s="1619"/>
      <c r="AB51" s="1619"/>
      <c r="AC51" s="1619"/>
      <c r="AD51" s="1619"/>
      <c r="AE51" s="1619"/>
      <c r="AF51" s="1619"/>
      <c r="AG51" s="1619"/>
      <c r="AH51" s="1619"/>
      <c r="AI51" s="1619"/>
      <c r="AJ51" s="1619"/>
      <c r="AK51" s="1619"/>
      <c r="AM51" s="1029"/>
      <c r="AN51" s="1029" t="str">
        <f>IF(T51="","",T51)</f>
        <v>Добавить централизованную систему для дифференциации</v>
      </c>
      <c r="AO51" s="1029"/>
      <c r="AP51" s="1029"/>
    </row>
    <row s="10863" customFormat="1" customHeight="1" ht="0.75">
      <c r="A52" s="1638" t="s">
        <v>288</v>
      </c>
      <c r="B52" s="1638"/>
      <c r="C52" s="1638"/>
      <c r="D52" s="1638"/>
      <c r="E52" s="2424"/>
      <c r="F52" s="1638"/>
      <c r="G52" s="1638"/>
      <c r="H52" s="1638"/>
      <c r="I52" s="1638"/>
      <c r="J52" s="1638"/>
      <c r="K52" s="1638"/>
      <c r="L52" s="1641"/>
      <c r="M52" s="1616"/>
      <c r="N52" s="1616"/>
      <c r="O52" s="755"/>
      <c r="P52" s="610"/>
      <c r="Q52" s="1639"/>
      <c r="R52" s="610"/>
      <c r="S52" s="1617"/>
      <c r="T52" s="1620" t="s">
        <v>1494</v>
      </c>
      <c r="U52" s="1619"/>
      <c r="V52" s="1619"/>
      <c r="W52" s="1619"/>
      <c r="X52" s="1619"/>
      <c r="Y52" s="1619"/>
      <c r="Z52" s="1619"/>
      <c r="AA52" s="1619"/>
      <c r="AB52" s="1619"/>
      <c r="AC52" s="1619"/>
      <c r="AD52" s="1619"/>
      <c r="AE52" s="1619"/>
      <c r="AF52" s="1619"/>
      <c r="AG52" s="1619"/>
      <c r="AH52" s="1619"/>
      <c r="AI52" s="1619"/>
      <c r="AJ52" s="1619"/>
      <c r="AK52" s="1619"/>
      <c r="AM52" s="737"/>
      <c r="AN52" s="737" t="str">
        <f>IF(T52="","",T52)</f>
        <v>Добавить территорию для дифференциации</v>
      </c>
      <c r="AO52" s="737"/>
      <c r="AP52" s="737"/>
    </row>
    <row s="10863" customFormat="1" customHeight="1" ht="0.75">
      <c r="A53" s="1609"/>
      <c r="B53" s="1609"/>
      <c r="C53" s="1609"/>
      <c r="D53" s="1609"/>
      <c r="E53" s="1638"/>
      <c r="F53" s="1609"/>
      <c r="G53" s="1609"/>
      <c r="H53" s="1609"/>
      <c r="I53" s="1609"/>
      <c r="J53" s="1609"/>
      <c r="K53" s="1609"/>
      <c r="L53" s="1723"/>
      <c r="M53" s="1616"/>
      <c r="N53" s="1616"/>
      <c r="P53" s="1611"/>
      <c r="Q53" s="1612"/>
      <c r="R53" s="1611"/>
      <c r="S53" s="1617"/>
      <c r="T53" s="1620" t="s">
        <v>1495</v>
      </c>
      <c r="U53" s="1619"/>
      <c r="V53" s="1619"/>
      <c r="W53" s="1619"/>
      <c r="X53" s="1619"/>
      <c r="Y53" s="1619"/>
      <c r="Z53" s="1619"/>
      <c r="AA53" s="1619"/>
      <c r="AB53" s="1619"/>
      <c r="AC53" s="1619"/>
      <c r="AD53" s="1619"/>
      <c r="AE53" s="1619"/>
      <c r="AF53" s="1619"/>
      <c r="AG53" s="1619"/>
      <c r="AH53" s="1619"/>
      <c r="AI53" s="1619"/>
      <c r="AJ53" s="1619"/>
      <c r="AK53" s="1619"/>
      <c r="AM53" s="1029"/>
      <c r="AN53" s="1029" t="str">
        <f>IF(T53="","",T53)</f>
        <v>Добавить наименование тарифа</v>
      </c>
      <c r="AO53" s="1029"/>
      <c r="AP53" s="1029"/>
    </row>
    <row customHeight="1" ht="11.25" hidden="1">
      <c r="M54" s="1421"/>
      <c r="N54" s="1421"/>
      <c r="O54" s="774"/>
      <c r="P54" s="1416"/>
      <c r="Q54" s="1416"/>
      <c r="R54" s="1416"/>
      <c r="S54" s="1416"/>
      <c r="AL54" s="1416"/>
      <c r="AM54" s="1416"/>
      <c r="AN54" s="1416"/>
      <c r="AO54" s="1416"/>
      <c r="AP54" s="1416"/>
    </row>
    <row customHeight="1" ht="14.25" hidden="1">
      <c r="O55" s="774"/>
      <c r="S55" s="1533" t="s">
        <v>1565</v>
      </c>
      <c r="T55" s="2452" t="s">
        <v>1747</v>
      </c>
      <c r="U55" s="2452"/>
      <c r="V55" s="2452"/>
      <c r="W55" s="2452"/>
      <c r="X55" s="2452"/>
      <c r="Y55" s="2452"/>
      <c r="Z55" s="2452"/>
      <c r="AA55" s="2452"/>
      <c r="AB55" s="2452"/>
      <c r="AC55" s="2452"/>
      <c r="AD55" s="2452"/>
      <c r="AE55" s="2452"/>
      <c r="AF55" s="2452"/>
      <c r="AG55" s="2452"/>
      <c r="AH55" s="2452"/>
      <c r="AI55" s="2452"/>
      <c r="AJ55" s="2452"/>
      <c r="AK55" s="2452"/>
    </row>
    <row customHeight="1" ht="14.25" hidden="1">
      <c r="O56" s="774"/>
    </row>
    <row customHeight="1" ht="14.25" hidden="1">
      <c r="O57" s="774"/>
      <c r="S57" s="1533" t="s">
        <v>1565</v>
      </c>
      <c r="T57" s="2452" t="s">
        <v>1748</v>
      </c>
      <c r="U57" s="2452"/>
      <c r="V57" s="2452"/>
      <c r="W57" s="2452"/>
      <c r="X57" s="2452"/>
      <c r="Y57" s="2452"/>
      <c r="Z57" s="2452"/>
      <c r="AA57" s="2452"/>
      <c r="AB57" s="2452"/>
      <c r="AC57" s="2452"/>
      <c r="AD57" s="2452"/>
      <c r="AE57" s="2452"/>
      <c r="AF57" s="2452"/>
      <c r="AG57" s="2452"/>
      <c r="AH57" s="2452"/>
      <c r="AI57" s="2452"/>
      <c r="AJ57" s="2452"/>
      <c r="AK57" s="2452"/>
    </row>
  </sheetData>
  <sheetProtection formatColumns="0" formatRows="0" autoFilter="0" sort="0" insertRows="0" insertColumns="1" deleteRows="0" deleteColumns="0"/>
  <mergeCells count="101">
    <mergeCell ref="E2:E13"/>
    <mergeCell ref="V2:AB2"/>
    <mergeCell ref="AC2:AJ2"/>
    <mergeCell ref="F3:F12"/>
    <mergeCell ref="V3:AB3"/>
    <mergeCell ref="AC3:AJ3"/>
    <mergeCell ref="G4:G11"/>
    <mergeCell ref="V4:AB4"/>
    <mergeCell ref="AC4:AJ4"/>
    <mergeCell ref="H5:H11"/>
    <mergeCell ref="AI7:AI8"/>
    <mergeCell ref="K7:K8"/>
    <mergeCell ref="Y7:Y8"/>
    <mergeCell ref="Z7:Z8"/>
    <mergeCell ref="AA7:AA8"/>
    <mergeCell ref="AB7:AB8"/>
    <mergeCell ref="I5:I10"/>
    <mergeCell ref="P5:P10"/>
    <mergeCell ref="V5:AB5"/>
    <mergeCell ref="AC5:AJ5"/>
    <mergeCell ref="J6:J9"/>
    <mergeCell ref="Q6:Q9"/>
    <mergeCell ref="V6:AB6"/>
    <mergeCell ref="AC6:AJ6"/>
    <mergeCell ref="AK7:AK8"/>
    <mergeCell ref="S24:AH24"/>
    <mergeCell ref="S25:AH25"/>
    <mergeCell ref="S27:T27"/>
    <mergeCell ref="V27:AA27"/>
    <mergeCell ref="AC27:AH27"/>
    <mergeCell ref="S28:T28"/>
    <mergeCell ref="V28:AA28"/>
    <mergeCell ref="AC28:AH28"/>
    <mergeCell ref="AG7:AG8"/>
    <mergeCell ref="AH7:AH8"/>
    <mergeCell ref="AF15:AF16"/>
    <mergeCell ref="AG15:AG16"/>
    <mergeCell ref="AH15:AH16"/>
    <mergeCell ref="AI15:AI16"/>
    <mergeCell ref="AF7:AF8"/>
    <mergeCell ref="AC29:AH29"/>
    <mergeCell ref="S30:T30"/>
    <mergeCell ref="V30:AA30"/>
    <mergeCell ref="AC30:AH30"/>
    <mergeCell ref="V35:AB35"/>
    <mergeCell ref="AC35:AI35"/>
    <mergeCell ref="S36:AJ36"/>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S29:T29"/>
    <mergeCell ref="V29:AA29"/>
    <mergeCell ref="AJ37:AJ39"/>
    <mergeCell ref="W38:X38"/>
    <mergeCell ref="E41:E52"/>
    <mergeCell ref="V41:AB41"/>
    <mergeCell ref="AC41:AJ41"/>
    <mergeCell ref="F42:F51"/>
    <mergeCell ref="V42:AB42"/>
    <mergeCell ref="AC42:AJ42"/>
    <mergeCell ref="G43:G50"/>
    <mergeCell ref="Y38:AA38"/>
    <mergeCell ref="AD38:AE38"/>
    <mergeCell ref="AF38:AH38"/>
    <mergeCell ref="Z39:AA39"/>
    <mergeCell ref="H44:H50"/>
    <mergeCell ref="I44:I49"/>
    <mergeCell ref="P44:P49"/>
    <mergeCell ref="V44:AB44"/>
    <mergeCell ref="AC44:AJ44"/>
    <mergeCell ref="J45:J48"/>
    <mergeCell ref="AG39:AH39"/>
    <mergeCell ref="Z40:AA40"/>
    <mergeCell ref="AG40:AH40"/>
    <mergeCell ref="K46:K47"/>
    <mergeCell ref="Y46:Y47"/>
    <mergeCell ref="V43:AB43"/>
    <mergeCell ref="AC43:AJ43"/>
    <mergeCell ref="T55:AK55"/>
    <mergeCell ref="T57:AK57"/>
    <mergeCell ref="Q45:Q48"/>
    <mergeCell ref="V45:AB45"/>
    <mergeCell ref="AC45:AJ45"/>
    <mergeCell ref="Z46:Z47"/>
    <mergeCell ref="AA46:AA47"/>
    <mergeCell ref="AB46:AB47"/>
    <mergeCell ref="AF46:AF47"/>
    <mergeCell ref="AG46:AG47"/>
    <mergeCell ref="AK46:AK47"/>
    <mergeCell ref="AH46:AH47"/>
    <mergeCell ref="AI46:AI47"/>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J5 AC5:AI5 AC44:AI44 AJ44">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6F4731E-75D9-F467-5632-FF27E5D0C38A}" mc:Ignorable="x14ac xr xr2 xr3">
  <sheetPr>
    <tabColor theme="6" tint="0.4"/>
  </sheetPr>
  <dimension ref="A1:AP57"/>
  <sheetViews>
    <sheetView topLeftCell="P23" showGridLines="0" zoomScale="90" workbookViewId="0">
      <selection activeCell="A1" sqref="A1"/>
    </sheetView>
  </sheetViews>
  <sheetFormatPr defaultColWidth="10.57421875" customHeight="1" defaultRowHeight="14.25"/>
  <cols>
    <col min="1" max="1" style="11074" width="10.57421875" hidden="1"/>
    <col min="2" max="2" style="11074" width="11.00390625" hidden="1" customWidth="1"/>
    <col min="3" max="3" style="11074" width="10.57421875" hidden="1"/>
    <col min="4" max="4" style="11074" width="11.8515625" hidden="1" customWidth="1"/>
    <col min="5" max="5" style="11074" width="10.00390625" hidden="1" customWidth="1"/>
    <col min="6" max="6" style="11074" width="8.7109375" hidden="1" customWidth="1"/>
    <col min="7" max="7" style="11074" width="7.57421875" hidden="1" customWidth="1"/>
    <col min="8" max="8" style="11074" width="11.421875" hidden="1" customWidth="1"/>
    <col min="9" max="9" style="11074" width="14.140625" hidden="1" customWidth="1"/>
    <col min="10" max="10" style="11074" width="9.8515625" hidden="1" customWidth="1"/>
    <col min="11" max="11" style="11074" width="14.7109375" hidden="1" customWidth="1"/>
    <col min="12" max="12" style="11240" width="19.140625" hidden="1" customWidth="1"/>
    <col min="13" max="14" style="9887" width="12.28125" hidden="1" customWidth="1"/>
    <col min="15" max="15" style="9887" width="23.421875" hidden="1" customWidth="1"/>
    <col min="16" max="16" style="11241" width="3.7109375" customWidth="1"/>
    <col min="17" max="18" style="10046" width="3.7109375" customWidth="1"/>
    <col min="19" max="19" style="11124" width="12.7109375" customWidth="1"/>
    <col min="20" max="20" style="11126" width="35.7109375" customWidth="1"/>
    <col min="21" max="21" style="11126" width="0.140625" customWidth="1"/>
    <col min="22" max="24" style="11126" width="24.7109375" hidden="1" customWidth="1"/>
    <col min="25" max="25" style="11126" width="11.7109375" hidden="1" customWidth="1"/>
    <col min="26" max="26" style="11126" width="3.7109375" hidden="1" customWidth="1"/>
    <col min="27" max="27" style="11126" width="11.7109375" hidden="1" customWidth="1"/>
    <col min="28" max="28" style="11126" width="8.57421875" hidden="1" customWidth="1"/>
    <col min="29" max="31" style="11126" width="24.7109375" customWidth="1"/>
    <col min="32" max="32" style="11126" width="11.7109375" customWidth="1"/>
    <col min="33" max="33" style="11126" width="3.7109375" customWidth="1"/>
    <col min="34" max="34" style="11126" width="11.7109375" customWidth="1"/>
    <col min="35" max="35" style="11126" width="8.57421875" hidden="1" customWidth="1"/>
    <col min="36" max="36" style="11126" width="4.7109375" customWidth="1"/>
    <col min="37" max="37" style="11126" width="115.7109375" customWidth="1"/>
    <col min="38" max="39" style="10863" width="10.57421875"/>
    <col min="40" max="40" style="10863" width="11.140625" customWidth="1"/>
    <col min="41" max="42" style="10863" width="10.57421875"/>
  </cols>
  <sheetData>
    <row customHeight="1" ht="14.25" hidden="1">
      <c r="X1" s="548"/>
      <c r="Y1" s="548"/>
      <c r="AE1" s="548"/>
      <c r="AF1" s="548"/>
    </row>
    <row customHeight="1" ht="23.25" hidden="1">
      <c r="A2" s="1659"/>
      <c r="B2" s="1659"/>
      <c r="C2" s="1659"/>
      <c r="D2" s="1659"/>
      <c r="E2" s="2424">
        <v>1</v>
      </c>
      <c r="F2" s="1659"/>
      <c r="G2" s="1659"/>
      <c r="H2" s="1659"/>
      <c r="I2" s="1659"/>
      <c r="J2" s="1659"/>
      <c r="K2" s="1659"/>
      <c r="L2" s="1660"/>
      <c r="M2" s="1661"/>
      <c r="N2" s="1661"/>
      <c r="O2" s="1661"/>
      <c r="P2" s="582"/>
      <c r="Q2" s="581"/>
      <c r="R2" s="576"/>
      <c r="S2" s="1754">
        <f>INDEX(PT_DIFFERENTIATION_NUM_NTAR,MATCH(A2,PT_DIFFERENTIATION_NTAR_ID,0))</f>
      </c>
      <c r="T2" s="508" t="s">
        <v>200</v>
      </c>
      <c r="U2" s="510"/>
      <c r="V2" s="4037"/>
      <c r="W2" s="4038"/>
      <c r="X2" s="4038"/>
      <c r="Y2" s="4038"/>
      <c r="Z2" s="4038"/>
      <c r="AA2" s="4038"/>
      <c r="AB2" s="4039"/>
      <c r="AC2" s="4037">
        <f>INDEX(PT_DIFFERENTIATION_NTAR,MATCH(A2,PT_DIFFERENTIATION_NTAR_ID,0))</f>
      </c>
      <c r="AD2" s="4038"/>
      <c r="AE2" s="4038"/>
      <c r="AF2" s="4038"/>
      <c r="AG2" s="4038"/>
      <c r="AH2" s="4038"/>
      <c r="AI2" s="4038"/>
      <c r="AJ2" s="4039"/>
      <c r="AK2" s="1546"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737"/>
      <c r="AN2" s="737" t="str">
        <f>IF(T2="","",T2)</f>
        <v>Наименование тарифа</v>
      </c>
      <c r="AO2" s="737"/>
      <c r="AP2" s="737"/>
    </row>
    <row customHeight="1" ht="23.25" hidden="1">
      <c r="A3" s="1659"/>
      <c r="B3" s="1659"/>
      <c r="C3" s="1659"/>
      <c r="D3" s="1659"/>
      <c r="E3" s="2425"/>
      <c r="F3" s="2424">
        <v>1</v>
      </c>
      <c r="G3" s="1659"/>
      <c r="H3" s="1659"/>
      <c r="I3" s="1659"/>
      <c r="J3" s="1659"/>
      <c r="K3" s="1659"/>
      <c r="L3" s="1660"/>
      <c r="M3" s="1661"/>
      <c r="N3" s="1661"/>
      <c r="O3" s="1661"/>
      <c r="P3" s="1750"/>
      <c r="Q3" s="573"/>
      <c r="R3" s="574"/>
      <c r="S3" s="1754">
        <f>INDEX(PT_DIFFERENTIATION_NUM_TER,MATCH(B3,PT_DIFFERENTIATION_TER_ID,0))</f>
      </c>
      <c r="T3" s="520" t="s">
        <v>1517</v>
      </c>
      <c r="U3" s="510"/>
      <c r="V3" s="4037"/>
      <c r="W3" s="4038"/>
      <c r="X3" s="4038"/>
      <c r="Y3" s="4038"/>
      <c r="Z3" s="4038"/>
      <c r="AA3" s="4038"/>
      <c r="AB3" s="4039"/>
      <c r="AC3" s="4037">
        <f>INDEX(PT_DIFFERENTIATION_TER,MATCH(B3,PT_DIFFERENTIATION_TER_ID,0))</f>
      </c>
      <c r="AD3" s="4038"/>
      <c r="AE3" s="4038"/>
      <c r="AF3" s="4038"/>
      <c r="AG3" s="4038"/>
      <c r="AH3" s="4038"/>
      <c r="AI3" s="4038"/>
      <c r="AJ3" s="4039"/>
      <c r="AK3" s="1546" t="s">
        <v>1518</v>
      </c>
      <c r="AM3" s="737"/>
      <c r="AN3" s="737" t="str">
        <f>IF(T3="","",T3)</f>
        <v>Территория действия тарифа</v>
      </c>
      <c r="AO3" s="737"/>
      <c r="AP3" s="737"/>
    </row>
    <row customHeight="1" ht="23.25" hidden="1">
      <c r="A4" s="1659"/>
      <c r="B4" s="1659"/>
      <c r="C4" s="1659"/>
      <c r="D4" s="1659"/>
      <c r="E4" s="2425"/>
      <c r="F4" s="2425"/>
      <c r="G4" s="2424">
        <v>1</v>
      </c>
      <c r="H4" s="1659"/>
      <c r="I4" s="1659"/>
      <c r="J4" s="1659"/>
      <c r="K4" s="1659"/>
      <c r="L4" s="1660"/>
      <c r="M4" s="1661"/>
      <c r="N4" s="1661"/>
      <c r="O4" s="1661"/>
      <c r="P4" s="575"/>
      <c r="Q4" s="573"/>
      <c r="R4" s="574"/>
      <c r="S4" s="1754">
        <f>INDEX(PT_DIFFERENTIATION_NUM_CS,MATCH(C4,PT_DIFFERENTIATION_CS_ID,0))</f>
      </c>
      <c r="T4" s="521" t="s">
        <v>1732</v>
      </c>
      <c r="U4" s="510"/>
      <c r="V4" s="4037"/>
      <c r="W4" s="4038"/>
      <c r="X4" s="4038"/>
      <c r="Y4" s="4038"/>
      <c r="Z4" s="4038"/>
      <c r="AA4" s="4038"/>
      <c r="AB4" s="4039"/>
      <c r="AC4" s="4037">
        <f>INDEX(PT_DIFFERENTIATION_CS,MATCH(C4,PT_DIFFERENTIATION_CS_ID,0))</f>
      </c>
      <c r="AD4" s="4038"/>
      <c r="AE4" s="4038"/>
      <c r="AF4" s="4038"/>
      <c r="AG4" s="4038"/>
      <c r="AH4" s="4038"/>
      <c r="AI4" s="4038"/>
      <c r="AJ4" s="4039"/>
      <c r="AK4" s="1546" t="s">
        <v>1733</v>
      </c>
      <c r="AM4" s="737"/>
      <c r="AN4" s="737" t="str">
        <f>IF(T4="","",T4)</f>
        <v>Наименование централизованной системы холодного водоснабжения</v>
      </c>
      <c r="AO4" s="737"/>
      <c r="AP4" s="737"/>
    </row>
    <row customHeight="1" ht="23.25" hidden="1">
      <c r="A5" s="1659"/>
      <c r="B5" s="1659"/>
      <c r="C5" s="1659"/>
      <c r="D5" s="1659"/>
      <c r="E5" s="2425"/>
      <c r="F5" s="2425"/>
      <c r="G5" s="2425"/>
      <c r="H5" s="2425"/>
      <c r="I5" s="2453">
        <f>S4&amp;".1"</f>
      </c>
      <c r="J5" s="1659"/>
      <c r="K5" s="1659"/>
      <c r="L5" s="1660"/>
      <c r="P5" s="2423">
        <v>1</v>
      </c>
      <c r="Q5" s="1747"/>
      <c r="R5" s="577"/>
      <c r="S5" s="1754">
        <f>$I5</f>
      </c>
      <c r="T5" s="495" t="s">
        <v>1734</v>
      </c>
      <c r="U5" s="510"/>
      <c r="V5" s="2574"/>
      <c r="W5" s="2575"/>
      <c r="X5" s="2575"/>
      <c r="Y5" s="2575"/>
      <c r="Z5" s="2575"/>
      <c r="AA5" s="2575"/>
      <c r="AB5" s="2576"/>
      <c r="AC5" s="2577"/>
      <c r="AD5" s="2578"/>
      <c r="AE5" s="2578"/>
      <c r="AF5" s="2578"/>
      <c r="AG5" s="2578"/>
      <c r="AH5" s="2578"/>
      <c r="AI5" s="2578"/>
      <c r="AJ5" s="2579"/>
      <c r="AK5" s="1546" t="s">
        <v>1735</v>
      </c>
      <c r="AM5" s="737"/>
      <c r="AN5" s="737" t="str">
        <f>IF(T5="","",T5)</f>
        <v>Наименование признака дифференциации</v>
      </c>
      <c r="AO5" s="737"/>
      <c r="AP5" s="737"/>
    </row>
    <row customHeight="1" ht="23.25" hidden="1">
      <c r="A6" s="1659"/>
      <c r="B6" s="1659"/>
      <c r="C6" s="1659"/>
      <c r="D6" s="1659"/>
      <c r="E6" s="2425"/>
      <c r="F6" s="2425"/>
      <c r="G6" s="2425"/>
      <c r="H6" s="2425"/>
      <c r="I6" s="2454"/>
      <c r="J6" s="2422">
        <f>I5&amp;".1"</f>
      </c>
      <c r="K6" s="1659"/>
      <c r="L6" s="1660" t="s">
        <v>1526</v>
      </c>
      <c r="P6" s="2423"/>
      <c r="Q6" s="2423">
        <v>1</v>
      </c>
      <c r="R6" s="578"/>
      <c r="S6" s="1754">
        <f>$J6</f>
      </c>
      <c r="T6" s="496" t="s">
        <v>1527</v>
      </c>
      <c r="U6" s="510"/>
      <c r="V6" s="2411"/>
      <c r="W6" s="2412"/>
      <c r="X6" s="2412"/>
      <c r="Y6" s="2412"/>
      <c r="Z6" s="2412"/>
      <c r="AA6" s="2412"/>
      <c r="AB6" s="2413"/>
      <c r="AC6" s="2411"/>
      <c r="AD6" s="2412"/>
      <c r="AE6" s="2412"/>
      <c r="AF6" s="2412"/>
      <c r="AG6" s="2412"/>
      <c r="AH6" s="2412"/>
      <c r="AI6" s="2412"/>
      <c r="AJ6" s="2413"/>
      <c r="AK6" s="1602" t="s">
        <v>1736</v>
      </c>
      <c r="AM6" s="737"/>
      <c r="AN6" s="737" t="str">
        <f>IF(T6="","",T6)</f>
        <v>Группа потребителей</v>
      </c>
      <c r="AO6" s="737"/>
      <c r="AP6" s="737"/>
    </row>
    <row customHeight="1" ht="23.25" hidden="1">
      <c r="A7" s="1659"/>
      <c r="B7" s="1659"/>
      <c r="C7" s="1659"/>
      <c r="D7" s="1659"/>
      <c r="E7" s="2425"/>
      <c r="F7" s="2425"/>
      <c r="G7" s="2425"/>
      <c r="H7" s="2425"/>
      <c r="I7" s="2454"/>
      <c r="J7" s="2455"/>
      <c r="K7" s="2422">
        <f>J6&amp;".1"</f>
      </c>
      <c r="L7" s="1660"/>
      <c r="P7" s="2423"/>
      <c r="Q7" s="2423"/>
      <c r="R7" s="578">
        <v>1</v>
      </c>
      <c r="S7" s="1754">
        <f>$K7</f>
      </c>
      <c r="T7" s="1734"/>
      <c r="U7" s="510"/>
      <c r="V7" s="4065"/>
      <c r="W7" s="4065"/>
      <c r="X7" s="4067"/>
      <c r="Y7" s="2430"/>
      <c r="Z7" s="2142" t="s">
        <v>67</v>
      </c>
      <c r="AA7" s="2430"/>
      <c r="AB7" s="2142" t="s">
        <v>67</v>
      </c>
      <c r="AC7" s="4065"/>
      <c r="AD7" s="4065"/>
      <c r="AE7" s="4067"/>
      <c r="AF7" s="2430"/>
      <c r="AG7" s="2142" t="s">
        <v>67</v>
      </c>
      <c r="AH7" s="2456"/>
      <c r="AI7" s="2142" t="s">
        <v>67</v>
      </c>
      <c r="AJ7" s="4569"/>
      <c r="AK7" s="257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748">
        <f>STRCHECKDATE(V8:AJ8)</f>
      </c>
      <c r="AM7" s="737"/>
      <c r="AN7" s="737" t="str">
        <f>IF(T7="","",T7)</f>
        <v/>
      </c>
      <c r="AO7" s="737"/>
      <c r="AP7" s="737"/>
    </row>
    <row customHeight="1" ht="0.75" hidden="1">
      <c r="A8" s="1659"/>
      <c r="B8" s="1659"/>
      <c r="C8" s="1659"/>
      <c r="D8" s="1659"/>
      <c r="E8" s="2425"/>
      <c r="F8" s="2425"/>
      <c r="G8" s="2425"/>
      <c r="H8" s="2425"/>
      <c r="I8" s="2454"/>
      <c r="J8" s="2455"/>
      <c r="K8" s="2422"/>
      <c r="L8" s="1660"/>
      <c r="P8" s="2423"/>
      <c r="Q8" s="2423"/>
      <c r="R8" s="578"/>
      <c r="S8" s="1753"/>
      <c r="T8" s="510"/>
      <c r="U8" s="510"/>
      <c r="V8" s="4066"/>
      <c r="W8" s="4066"/>
      <c r="X8" s="4071" t="str">
        <f>Y7&amp;"-"&amp;AA7</f>
        <v>-</v>
      </c>
      <c r="Y8" s="2431"/>
      <c r="Z8" s="2142"/>
      <c r="AA8" s="2431"/>
      <c r="AB8" s="2142"/>
      <c r="AC8" s="4066"/>
      <c r="AD8" s="4066"/>
      <c r="AE8" s="4071" t="str">
        <f>AF7&amp;"-"&amp;AH7</f>
        <v>-</v>
      </c>
      <c r="AF8" s="2431"/>
      <c r="AG8" s="2142"/>
      <c r="AH8" s="2457"/>
      <c r="AI8" s="2142"/>
      <c r="AJ8" s="4572"/>
      <c r="AK8" s="2573"/>
      <c r="AM8" s="737"/>
      <c r="AN8" s="737" t="str">
        <f>IF(T8="","",T8)</f>
        <v/>
      </c>
      <c r="AO8" s="737"/>
      <c r="AP8" s="737"/>
    </row>
    <row customHeight="1" ht="21" hidden="1">
      <c r="A9" s="1659"/>
      <c r="B9" s="1659"/>
      <c r="C9" s="1659"/>
      <c r="D9" s="1659"/>
      <c r="E9" s="2425"/>
      <c r="F9" s="2425"/>
      <c r="G9" s="2425"/>
      <c r="H9" s="2425"/>
      <c r="I9" s="2454"/>
      <c r="J9" s="2422"/>
      <c r="K9" s="1659"/>
      <c r="L9" s="1660"/>
      <c r="P9" s="2423"/>
      <c r="Q9" s="2423"/>
      <c r="R9" s="577"/>
      <c r="S9" s="1568"/>
      <c r="T9" s="497" t="s">
        <v>1737</v>
      </c>
      <c r="U9" s="592"/>
      <c r="V9" s="592"/>
      <c r="W9" s="592"/>
      <c r="X9" s="592"/>
      <c r="Y9" s="592"/>
      <c r="Z9" s="592"/>
      <c r="AA9" s="592"/>
      <c r="AB9" s="592"/>
      <c r="AC9" s="592"/>
      <c r="AD9" s="592"/>
      <c r="AE9" s="592"/>
      <c r="AF9" s="592"/>
      <c r="AG9" s="592"/>
      <c r="AH9" s="592"/>
      <c r="AI9" s="592"/>
      <c r="AJ9" s="592"/>
      <c r="AK9" s="1546" t="s">
        <v>1738</v>
      </c>
      <c r="AM9" s="737"/>
      <c r="AN9" s="737" t="str">
        <f>IF(T9="","",T9)</f>
        <v>Добавить значение признака дифференциации</v>
      </c>
      <c r="AO9" s="737"/>
      <c r="AP9" s="737"/>
    </row>
    <row customHeight="1" ht="21" hidden="1">
      <c r="A10" s="1659"/>
      <c r="B10" s="1659"/>
      <c r="C10" s="1659"/>
      <c r="D10" s="1659"/>
      <c r="E10" s="2425"/>
      <c r="F10" s="2425"/>
      <c r="G10" s="2425"/>
      <c r="H10" s="2425"/>
      <c r="I10" s="2453"/>
      <c r="J10" s="1659"/>
      <c r="K10" s="1659"/>
      <c r="L10" s="1660"/>
      <c r="P10" s="2423"/>
      <c r="Q10" s="1747"/>
      <c r="R10" s="577"/>
      <c r="S10" s="1568"/>
      <c r="T10" s="589" t="s">
        <v>1532</v>
      </c>
      <c r="U10" s="592"/>
      <c r="V10" s="592"/>
      <c r="W10" s="592"/>
      <c r="X10" s="592"/>
      <c r="Y10" s="592"/>
      <c r="Z10" s="592"/>
      <c r="AA10" s="592"/>
      <c r="AB10" s="591"/>
      <c r="AC10" s="592"/>
      <c r="AD10" s="592"/>
      <c r="AE10" s="592"/>
      <c r="AF10" s="592"/>
      <c r="AG10" s="592"/>
      <c r="AH10" s="592"/>
      <c r="AI10" s="591"/>
      <c r="AJ10" s="592"/>
      <c r="AK10" s="1737"/>
      <c r="AM10" s="737"/>
      <c r="AN10" s="737" t="str">
        <f>IF(T10="","",T10)</f>
        <v>Добавить группу потребителей</v>
      </c>
      <c r="AO10" s="737"/>
      <c r="AP10" s="737"/>
    </row>
    <row customHeight="1" ht="21" hidden="1">
      <c r="A11" s="1659"/>
      <c r="B11" s="1659"/>
      <c r="C11" s="1659"/>
      <c r="D11" s="1659"/>
      <c r="E11" s="2425"/>
      <c r="F11" s="2425"/>
      <c r="G11" s="2425"/>
      <c r="H11" s="2424"/>
      <c r="I11" s="1659"/>
      <c r="J11" s="1659"/>
      <c r="K11" s="1659"/>
      <c r="L11" s="1660"/>
      <c r="M11" s="1661"/>
      <c r="N11" s="1661"/>
      <c r="O11" s="774"/>
      <c r="P11" s="581"/>
      <c r="Q11" s="601"/>
      <c r="R11" s="576"/>
      <c r="S11" s="1568"/>
      <c r="T11" s="597" t="s">
        <v>1739</v>
      </c>
      <c r="U11" s="592"/>
      <c r="V11" s="592"/>
      <c r="W11" s="592"/>
      <c r="X11" s="592"/>
      <c r="Y11" s="592"/>
      <c r="Z11" s="592"/>
      <c r="AA11" s="592"/>
      <c r="AB11" s="591"/>
      <c r="AC11" s="592"/>
      <c r="AD11" s="592"/>
      <c r="AE11" s="592"/>
      <c r="AF11" s="592"/>
      <c r="AG11" s="592"/>
      <c r="AH11" s="592"/>
      <c r="AI11" s="591"/>
      <c r="AJ11" s="592"/>
      <c r="AK11" s="513"/>
      <c r="AM11" s="737"/>
      <c r="AN11" s="737" t="str">
        <f>IF(T11="","",T11)</f>
        <v>Добавить наименование признака дифференциации</v>
      </c>
      <c r="AO11" s="737"/>
      <c r="AP11" s="737"/>
    </row>
    <row s="10863" customFormat="1" customHeight="1" ht="0.75" hidden="1">
      <c r="A12" s="1638"/>
      <c r="B12" s="1638"/>
      <c r="C12" s="1609"/>
      <c r="D12" s="1609"/>
      <c r="E12" s="2425"/>
      <c r="F12" s="2424"/>
      <c r="G12" s="1609"/>
      <c r="H12" s="1609"/>
      <c r="I12" s="1609"/>
      <c r="J12" s="1609"/>
      <c r="K12" s="1609"/>
      <c r="L12" s="1755"/>
      <c r="M12" s="1616"/>
      <c r="N12" s="1616"/>
      <c r="P12" s="1611"/>
      <c r="Q12" s="1612"/>
      <c r="R12" s="1611"/>
      <c r="S12" s="1617"/>
      <c r="T12" s="1620" t="s">
        <v>1493</v>
      </c>
      <c r="U12" s="1619"/>
      <c r="V12" s="1619"/>
      <c r="W12" s="1619"/>
      <c r="X12" s="1619"/>
      <c r="Y12" s="1619"/>
      <c r="Z12" s="1619"/>
      <c r="AA12" s="1619"/>
      <c r="AB12" s="1619"/>
      <c r="AC12" s="1619"/>
      <c r="AD12" s="1619"/>
      <c r="AE12" s="1619"/>
      <c r="AF12" s="1619"/>
      <c r="AG12" s="1619"/>
      <c r="AH12" s="1619"/>
      <c r="AI12" s="1619"/>
      <c r="AJ12" s="1619"/>
      <c r="AK12" s="1619"/>
      <c r="AM12" s="1029"/>
      <c r="AN12" s="1029" t="str">
        <f>IF(T12="","",T12)</f>
        <v>Добавить централизованную систему для дифференциации</v>
      </c>
      <c r="AO12" s="1029"/>
      <c r="AP12" s="1029"/>
    </row>
    <row s="10863" customFormat="1" customHeight="1" ht="0.75" hidden="1">
      <c r="A13" s="1638"/>
      <c r="B13" s="1638"/>
      <c r="C13" s="1638"/>
      <c r="D13" s="1638"/>
      <c r="E13" s="2424"/>
      <c r="F13" s="1638"/>
      <c r="G13" s="1638"/>
      <c r="H13" s="1638"/>
      <c r="I13" s="1638"/>
      <c r="J13" s="1638"/>
      <c r="K13" s="1638"/>
      <c r="L13" s="1641"/>
      <c r="M13" s="1616"/>
      <c r="N13" s="1616"/>
      <c r="O13" s="755"/>
      <c r="P13" s="610"/>
      <c r="Q13" s="1639"/>
      <c r="R13" s="610"/>
      <c r="S13" s="1617"/>
      <c r="T13" s="1620" t="s">
        <v>1494</v>
      </c>
      <c r="U13" s="1619"/>
      <c r="V13" s="1619"/>
      <c r="W13" s="1619"/>
      <c r="X13" s="1619"/>
      <c r="Y13" s="1619"/>
      <c r="Z13" s="1619"/>
      <c r="AA13" s="1619"/>
      <c r="AB13" s="1619"/>
      <c r="AC13" s="1619"/>
      <c r="AD13" s="1619"/>
      <c r="AE13" s="1619"/>
      <c r="AF13" s="1619"/>
      <c r="AG13" s="1619"/>
      <c r="AH13" s="1619"/>
      <c r="AI13" s="1619"/>
      <c r="AJ13" s="1619"/>
      <c r="AK13" s="1619"/>
      <c r="AM13" s="737"/>
      <c r="AN13" s="737" t="str">
        <f>IF(T13="","",T13)</f>
        <v>Добавить территорию для дифференциации</v>
      </c>
      <c r="AO13" s="737"/>
      <c r="AP13" s="737"/>
    </row>
    <row customHeight="1" ht="14.25" hidden="1">
      <c r="AB14" s="548"/>
      <c r="AI14" s="548"/>
    </row>
    <row customHeight="1" ht="14.25" hidden="1">
      <c r="AC15" s="4098"/>
      <c r="AD15" s="4098"/>
      <c r="AE15" s="4099"/>
      <c r="AF15" s="2432"/>
      <c r="AG15" s="2433" t="s">
        <v>67</v>
      </c>
      <c r="AH15" s="2432"/>
      <c r="AI15" s="2433" t="s">
        <v>67</v>
      </c>
    </row>
    <row customHeight="1" ht="14.25" hidden="1">
      <c r="AC16" s="4098"/>
      <c r="AD16" s="4098"/>
      <c r="AE16" s="4071" t="str">
        <f>AF15&amp;"-"&amp;AH15</f>
        <v>-</v>
      </c>
      <c r="AF16" s="2433"/>
      <c r="AG16" s="2433"/>
      <c r="AH16" s="2433"/>
      <c r="AI16" s="2433"/>
    </row>
    <row customHeight="1" ht="14.25" hidden="1">
      <c r="AI17" s="548"/>
    </row>
    <row s="11074" customFormat="1" customHeight="1" ht="22.5" hidden="1">
      <c r="L18" s="1744"/>
      <c r="M18" s="1658"/>
      <c r="N18" s="1658"/>
      <c r="O18" s="1663" t="s">
        <v>1534</v>
      </c>
      <c r="P18" s="1658"/>
      <c r="Q18" s="1667"/>
      <c r="R18" s="1667"/>
      <c r="S18" s="967"/>
      <c r="Y18" s="1663"/>
      <c r="AA18" s="1663"/>
      <c r="AB18" s="1662"/>
      <c r="AF18" s="1663"/>
      <c r="AH18" s="1663"/>
      <c r="AI18" s="1662"/>
      <c r="AL18" s="748"/>
      <c r="AM18" s="748"/>
      <c r="AN18" s="748"/>
      <c r="AO18" s="748"/>
      <c r="AP18" s="748"/>
    </row>
    <row s="11074" customFormat="1" customHeight="1" ht="14.25" hidden="1">
      <c r="L19" s="1744"/>
      <c r="M19" s="1658"/>
      <c r="N19" s="1658"/>
      <c r="O19" s="1658"/>
      <c r="P19" s="1658"/>
      <c r="Q19" s="1667"/>
      <c r="R19" s="1667"/>
      <c r="S19" s="967"/>
      <c r="AB19" s="1662"/>
      <c r="AI19" s="1662"/>
      <c r="AL19" s="748"/>
      <c r="AM19" s="748"/>
      <c r="AN19" s="748"/>
      <c r="AO19" s="748"/>
      <c r="AP19" s="748"/>
    </row>
    <row s="11074" customFormat="1" customHeight="1" ht="12" hidden="1">
      <c r="L20" s="1744"/>
      <c r="M20" s="1658"/>
      <c r="N20" s="1658"/>
      <c r="O20" s="1660" t="s">
        <v>1535</v>
      </c>
      <c r="P20" s="1658"/>
      <c r="Q20" s="1739"/>
      <c r="R20" s="1739"/>
      <c r="S20" s="967"/>
      <c r="T20" s="1421" t="s">
        <v>1536</v>
      </c>
      <c r="Z20" s="393" t="s">
        <v>1537</v>
      </c>
      <c r="AB20" s="393" t="s">
        <v>1538</v>
      </c>
      <c r="AC20" s="1421" t="s">
        <v>1536</v>
      </c>
      <c r="AG20" s="393" t="s">
        <v>1539</v>
      </c>
      <c r="AI20" s="393" t="s">
        <v>1538</v>
      </c>
    </row>
    <row customHeight="1" ht="14.25" hidden="1">
      <c r="O21" s="1660"/>
    </row>
    <row customHeight="1" ht="14.25" hidden="1">
      <c r="O22" s="1660"/>
    </row>
    <row customHeight="1" ht="14.25">
      <c r="Q23" s="602"/>
      <c r="R23" s="602"/>
      <c r="S23" s="1565"/>
      <c r="T23" s="586"/>
      <c r="U23" s="586"/>
      <c r="V23" s="746"/>
      <c r="W23" s="746"/>
      <c r="X23" s="746"/>
      <c r="Y23" s="746"/>
      <c r="Z23" s="746"/>
      <c r="AA23" s="746"/>
      <c r="AB23" s="746"/>
      <c r="AC23" s="746"/>
      <c r="AD23" s="746"/>
      <c r="AE23" s="746"/>
      <c r="AF23" s="746"/>
      <c r="AG23" s="746"/>
      <c r="AH23" s="746"/>
      <c r="AI23" s="746"/>
    </row>
    <row customHeight="1" ht="32.25">
      <c r="Q24" s="602"/>
      <c r="R24" s="602"/>
      <c r="S24" s="2414" t="str">
        <f>IF(TEMPLATE_GROUP="P",PT_P_FORM_COLDVSNA_4_NAME_FORM,PT_R_FORM_COLDVSNA_16_NAME_FORM)</f>
        <v>Форма 15. Информация о предложении расчетной величины тарифов организации холодного водоснабжения об установлении тарифов в сфере холодного водоснабжения на очередной период регулирования &lt;1&gt;</v>
      </c>
      <c r="T24" s="2414"/>
      <c r="U24" s="2414"/>
      <c r="V24" s="2414"/>
      <c r="W24" s="2414"/>
      <c r="X24" s="2414"/>
      <c r="Y24" s="2414"/>
      <c r="Z24" s="2414"/>
      <c r="AA24" s="2414"/>
      <c r="AB24" s="2414"/>
      <c r="AC24" s="2414"/>
      <c r="AD24" s="2414"/>
      <c r="AE24" s="2414"/>
      <c r="AF24" s="2414"/>
      <c r="AG24" s="2414"/>
      <c r="AH24" s="2414"/>
      <c r="AI24" s="1521"/>
    </row>
    <row customHeight="1" ht="14.25">
      <c r="Q25" s="602"/>
      <c r="R25" s="602"/>
      <c r="S25" s="2415" t="str">
        <f>IF(org=0,"Не определено",org)</f>
        <v>ООО "СамРЭК-Тепло Жигулевск"</v>
      </c>
      <c r="T25" s="2415"/>
      <c r="U25" s="2415"/>
      <c r="V25" s="2415"/>
      <c r="W25" s="2415"/>
      <c r="X25" s="2415"/>
      <c r="Y25" s="2415"/>
      <c r="Z25" s="2415"/>
      <c r="AA25" s="2415"/>
      <c r="AB25" s="2415"/>
      <c r="AC25" s="2415"/>
      <c r="AD25" s="2415"/>
      <c r="AE25" s="2415"/>
      <c r="AF25" s="2415"/>
      <c r="AG25" s="2415"/>
      <c r="AH25" s="2415"/>
      <c r="AI25" s="1521"/>
    </row>
    <row customHeight="1" ht="14.25" hidden="1">
      <c r="Q26" s="602"/>
      <c r="R26" s="602"/>
      <c r="S26" s="1565"/>
      <c r="T26" s="586"/>
      <c r="U26" s="586"/>
      <c r="V26" s="541"/>
      <c r="W26" s="541"/>
      <c r="X26" s="541"/>
      <c r="Y26" s="541"/>
      <c r="Z26" s="541"/>
      <c r="AA26" s="541"/>
      <c r="AB26" s="541"/>
      <c r="AC26" s="541"/>
      <c r="AD26" s="541"/>
      <c r="AE26" s="541"/>
      <c r="AF26" s="541"/>
      <c r="AG26" s="541"/>
      <c r="AH26" s="541"/>
      <c r="AI26" s="541"/>
      <c r="AJ26" s="746"/>
    </row>
    <row s="10859" customFormat="1" customHeight="1" ht="25.5" hidden="1">
      <c r="A27" s="1664"/>
      <c r="B27" s="1664"/>
      <c r="C27" s="1664"/>
      <c r="D27" s="1664"/>
      <c r="E27" s="1664"/>
      <c r="F27" s="1664"/>
      <c r="G27" s="1664"/>
      <c r="H27" s="1664"/>
      <c r="I27" s="1664"/>
      <c r="J27" s="1664"/>
      <c r="K27" s="1664"/>
      <c r="L27" s="1665"/>
      <c r="M27" s="1664"/>
      <c r="N27" s="1664"/>
      <c r="O27" s="1664"/>
      <c r="S27" s="2416" t="s">
        <v>39</v>
      </c>
      <c r="T27" s="2416"/>
      <c r="U27" s="1668"/>
      <c r="V27" s="2417" t="str">
        <f>IF(TITLE_NAME_OR_PR_CHANGE="",IF(TITLE_NAME_OR_PR="","",TITLE_NAME_OR_PR),TITLE_NAME_OR_PR_CHANGE)</f>
        <v/>
      </c>
      <c r="W27" s="2417"/>
      <c r="X27" s="2417"/>
      <c r="Y27" s="2417"/>
      <c r="Z27" s="2417"/>
      <c r="AA27" s="2417"/>
      <c r="AB27" s="547"/>
      <c r="AC27" s="2417" t="str">
        <f>IF(TITLE_NAME_OR_PR_CHANGE="",IF(TITLE_NAME_OR_PR="","",TITLE_NAME_OR_PR),TITLE_NAME_OR_PR_CHANGE)</f>
        <v/>
      </c>
      <c r="AD27" s="2417"/>
      <c r="AE27" s="2417"/>
      <c r="AF27" s="2417"/>
      <c r="AG27" s="2417"/>
      <c r="AH27" s="2417"/>
      <c r="AI27" s="547"/>
      <c r="AJ27" s="547"/>
      <c r="AK27" s="490"/>
      <c r="AL27" s="593"/>
      <c r="AM27" s="593"/>
      <c r="AN27" s="593"/>
      <c r="AO27" s="593"/>
      <c r="AP27" s="593"/>
    </row>
    <row s="10859" customFormat="1" customHeight="1" ht="18.75" hidden="1">
      <c r="A28" s="1664"/>
      <c r="B28" s="1664"/>
      <c r="C28" s="1664"/>
      <c r="D28" s="1664"/>
      <c r="E28" s="1664"/>
      <c r="F28" s="1664"/>
      <c r="G28" s="1664"/>
      <c r="H28" s="1664"/>
      <c r="I28" s="1664"/>
      <c r="J28" s="1664"/>
      <c r="K28" s="1664"/>
      <c r="L28" s="1665"/>
      <c r="M28" s="1664"/>
      <c r="N28" s="1664"/>
      <c r="O28" s="1664"/>
      <c r="S28" s="2416" t="s">
        <v>1540</v>
      </c>
      <c r="T28" s="2416"/>
      <c r="U28" s="1668"/>
      <c r="V28" s="2417" t="str">
        <f>IF(TITLE_DATE_CHANGE_PERIOD="",IF(TITLE_DATE_PR="","",TITLE_DATE_PR),TITLE_DATE_CHANGE_PERIOD)</f>
        <v/>
      </c>
      <c r="W28" s="2417"/>
      <c r="X28" s="2417"/>
      <c r="Y28" s="2417"/>
      <c r="Z28" s="2417"/>
      <c r="AA28" s="2417"/>
      <c r="AB28" s="547"/>
      <c r="AC28" s="2417" t="str">
        <f>IF(TITLE_DATE_CHANGE_PERIOD="",IF(TITLE_DATE_PR="","",TITLE_DATE_PR),TITLE_DATE_CHANGE_PERIOD)</f>
        <v/>
      </c>
      <c r="AD28" s="2417"/>
      <c r="AE28" s="2417"/>
      <c r="AF28" s="2417"/>
      <c r="AG28" s="2417"/>
      <c r="AH28" s="2417"/>
      <c r="AI28" s="547"/>
      <c r="AJ28" s="547"/>
      <c r="AK28" s="490"/>
      <c r="AL28" s="593"/>
      <c r="AM28" s="593"/>
      <c r="AN28" s="593"/>
      <c r="AO28" s="593"/>
      <c r="AP28" s="593"/>
    </row>
    <row s="10859" customFormat="1" customHeight="1" ht="18.75" hidden="1">
      <c r="A29" s="1664"/>
      <c r="B29" s="1664"/>
      <c r="C29" s="1664"/>
      <c r="D29" s="1664"/>
      <c r="E29" s="1664"/>
      <c r="F29" s="1664"/>
      <c r="G29" s="1664"/>
      <c r="H29" s="1664"/>
      <c r="I29" s="1664"/>
      <c r="J29" s="1664"/>
      <c r="K29" s="1664"/>
      <c r="L29" s="1665"/>
      <c r="M29" s="1664"/>
      <c r="N29" s="1664"/>
      <c r="O29" s="1664"/>
      <c r="S29" s="2416" t="s">
        <v>1541</v>
      </c>
      <c r="T29" s="2416"/>
      <c r="U29" s="1668"/>
      <c r="V29" s="2417" t="str">
        <f>IF(TITLE_NUMBER_PR_CHANGE="",IF(TITLE_NUMBER_PR="","",TITLE_NUMBER_PR),TITLE_NUMBER_PR_CHANGE)</f>
        <v/>
      </c>
      <c r="W29" s="2417"/>
      <c r="X29" s="2417"/>
      <c r="Y29" s="2417"/>
      <c r="Z29" s="2417"/>
      <c r="AA29" s="2417"/>
      <c r="AB29" s="547"/>
      <c r="AC29" s="2417" t="str">
        <f>IF(TITLE_NUMBER_PR_CHANGE="",IF(TITLE_NUMBER_PR="","",TITLE_NUMBER_PR),TITLE_NUMBER_PR_CHANGE)</f>
        <v/>
      </c>
      <c r="AD29" s="2417"/>
      <c r="AE29" s="2417"/>
      <c r="AF29" s="2417"/>
      <c r="AG29" s="2417"/>
      <c r="AH29" s="2417"/>
      <c r="AI29" s="547"/>
      <c r="AJ29" s="547"/>
      <c r="AK29" s="490"/>
      <c r="AL29" s="593"/>
      <c r="AM29" s="593"/>
      <c r="AN29" s="593"/>
      <c r="AO29" s="593"/>
      <c r="AP29" s="593"/>
    </row>
    <row s="10859" customFormat="1" customHeight="1" ht="18.75" hidden="1">
      <c r="A30" s="1664"/>
      <c r="B30" s="1664"/>
      <c r="C30" s="1664"/>
      <c r="D30" s="1664"/>
      <c r="E30" s="1664"/>
      <c r="F30" s="1664"/>
      <c r="G30" s="1664"/>
      <c r="H30" s="1664"/>
      <c r="I30" s="1664"/>
      <c r="J30" s="1664"/>
      <c r="K30" s="1664"/>
      <c r="L30" s="1665"/>
      <c r="M30" s="1664"/>
      <c r="N30" s="1664"/>
      <c r="O30" s="1664"/>
      <c r="S30" s="2416" t="s">
        <v>40</v>
      </c>
      <c r="T30" s="2416"/>
      <c r="U30" s="1668"/>
      <c r="V30" s="2417" t="str">
        <f>IF(TITLE_IST_PUB_CHANGE="",IF(TITLE_IST_PUB="","",TITLE_IST_PUB),TITLE_IST_PUB_CHANGE)</f>
        <v/>
      </c>
      <c r="W30" s="2417"/>
      <c r="X30" s="2417"/>
      <c r="Y30" s="2417"/>
      <c r="Z30" s="2417"/>
      <c r="AA30" s="2417"/>
      <c r="AB30" s="547"/>
      <c r="AC30" s="2417" t="str">
        <f>IF(TITLE_IST_PUB_CHANGE="",IF(TITLE_IST_PUB="","",TITLE_IST_PUB),TITLE_IST_PUB_CHANGE)</f>
        <v/>
      </c>
      <c r="AD30" s="2417"/>
      <c r="AE30" s="2417"/>
      <c r="AF30" s="2417"/>
      <c r="AG30" s="2417"/>
      <c r="AH30" s="2417"/>
      <c r="AI30" s="547"/>
      <c r="AJ30" s="547"/>
      <c r="AK30" s="490"/>
      <c r="AL30" s="593"/>
      <c r="AM30" s="593"/>
      <c r="AN30" s="593"/>
      <c r="AO30" s="593"/>
      <c r="AP30" s="593"/>
    </row>
    <row customHeight="1" ht="14.25" hidden="1">
      <c r="Q31" s="602"/>
      <c r="R31" s="602"/>
      <c r="S31" s="1565"/>
      <c r="T31" s="586"/>
      <c r="U31" s="586"/>
      <c r="V31" s="541"/>
      <c r="W31" s="541"/>
      <c r="X31" s="541"/>
      <c r="Y31" s="541"/>
      <c r="Z31" s="541"/>
      <c r="AA31" s="541"/>
      <c r="AB31" s="541"/>
      <c r="AC31" s="541"/>
      <c r="AD31" s="541"/>
      <c r="AE31" s="541"/>
      <c r="AF31" s="541"/>
      <c r="AG31" s="541"/>
      <c r="AH31" s="541"/>
      <c r="AI31" s="541"/>
      <c r="AJ31" s="746"/>
    </row>
    <row s="10859" customFormat="1" customHeight="1" ht="18.75" hidden="1">
      <c r="A32" s="1664"/>
      <c r="B32" s="1664"/>
      <c r="C32" s="1664"/>
      <c r="D32" s="1664"/>
      <c r="E32" s="1664"/>
      <c r="F32" s="1664"/>
      <c r="G32" s="1664"/>
      <c r="H32" s="1664"/>
      <c r="I32" s="1664"/>
      <c r="J32" s="1664"/>
      <c r="K32" s="1664"/>
      <c r="L32" s="1665"/>
      <c r="M32" s="1664"/>
      <c r="N32" s="1664"/>
      <c r="O32" s="1664"/>
      <c r="S32" s="2416" t="s">
        <v>1542</v>
      </c>
      <c r="T32" s="2416"/>
      <c r="U32" s="1668"/>
      <c r="V32" s="2417" t="str">
        <f>IF(TITLE_DATE_CHANGE_PERIOD="",IF(TITLE_DATE_PR="","",TITLE_DATE_PR),TITLE_DATE_CHANGE_PERIOD)</f>
        <v/>
      </c>
      <c r="W32" s="2417"/>
      <c r="X32" s="2417"/>
      <c r="Y32" s="2417"/>
      <c r="Z32" s="2417"/>
      <c r="AA32" s="2417"/>
      <c r="AB32" s="547"/>
      <c r="AC32" s="2417" t="str">
        <f>IF(TITLE_DATE_CHANGE_PERIOD="",IF(TITLE_DATE_PR="","",TITLE_DATE_PR),TITLE_DATE_CHANGE_PERIOD)</f>
        <v/>
      </c>
      <c r="AD32" s="2417"/>
      <c r="AE32" s="2417"/>
      <c r="AF32" s="2417"/>
      <c r="AG32" s="2417"/>
      <c r="AH32" s="2417"/>
      <c r="AI32" s="547"/>
      <c r="AJ32" s="547"/>
      <c r="AK32" s="490"/>
      <c r="AL32" s="593"/>
      <c r="AM32" s="593"/>
      <c r="AN32" s="593"/>
      <c r="AO32" s="593"/>
      <c r="AP32" s="593"/>
    </row>
    <row s="10859" customFormat="1" customHeight="1" ht="18.75" hidden="1">
      <c r="A33" s="1664"/>
      <c r="B33" s="1664"/>
      <c r="C33" s="1664"/>
      <c r="D33" s="1664"/>
      <c r="E33" s="1664"/>
      <c r="F33" s="1664"/>
      <c r="G33" s="1664"/>
      <c r="H33" s="1664"/>
      <c r="I33" s="1664"/>
      <c r="J33" s="1664"/>
      <c r="K33" s="1664"/>
      <c r="L33" s="1665"/>
      <c r="M33" s="1664"/>
      <c r="N33" s="1664"/>
      <c r="O33" s="1664"/>
      <c r="S33" s="2416" t="s">
        <v>1543</v>
      </c>
      <c r="T33" s="2416"/>
      <c r="U33" s="1668"/>
      <c r="V33" s="2417" t="str">
        <f>IF(TITLE_NUMBER_PR_CHANGE="",IF(TITLE_NUMBER_PR="","",TITLE_NUMBER_PR),TITLE_NUMBER_PR_CHANGE)</f>
        <v/>
      </c>
      <c r="W33" s="2417"/>
      <c r="X33" s="2417"/>
      <c r="Y33" s="2417"/>
      <c r="Z33" s="2417"/>
      <c r="AA33" s="2417"/>
      <c r="AB33" s="547"/>
      <c r="AC33" s="2417" t="str">
        <f>IF(TITLE_NUMBER_PR_CHANGE="",IF(TITLE_NUMBER_PR="","",TITLE_NUMBER_PR),TITLE_NUMBER_PR_CHANGE)</f>
        <v/>
      </c>
      <c r="AD33" s="2417"/>
      <c r="AE33" s="2417"/>
      <c r="AF33" s="2417"/>
      <c r="AG33" s="2417"/>
      <c r="AH33" s="2417"/>
      <c r="AI33" s="547"/>
      <c r="AJ33" s="547"/>
      <c r="AK33" s="490"/>
      <c r="AL33" s="593"/>
      <c r="AM33" s="593"/>
      <c r="AN33" s="593"/>
      <c r="AO33" s="593"/>
      <c r="AP33" s="593"/>
    </row>
    <row s="10859" customFormat="1" customHeight="1" ht="0.75">
      <c r="A34" s="1664"/>
      <c r="B34" s="1664"/>
      <c r="C34" s="1664"/>
      <c r="D34" s="1664"/>
      <c r="E34" s="1664"/>
      <c r="F34" s="1664"/>
      <c r="G34" s="1664"/>
      <c r="H34" s="1664"/>
      <c r="I34" s="1664"/>
      <c r="J34" s="1664"/>
      <c r="K34" s="1664"/>
      <c r="L34" s="1665"/>
      <c r="M34" s="1664"/>
      <c r="N34" s="1664"/>
      <c r="O34" s="1664"/>
      <c r="S34" s="543"/>
      <c r="T34" s="543"/>
      <c r="U34" s="1751"/>
      <c r="V34" s="547"/>
      <c r="W34" s="547"/>
      <c r="X34" s="547"/>
      <c r="Y34" s="547"/>
      <c r="Z34" s="547"/>
      <c r="AA34" s="547"/>
      <c r="AB34" s="488" t="s">
        <v>1544</v>
      </c>
      <c r="AC34" s="547"/>
      <c r="AD34" s="547"/>
      <c r="AE34" s="547"/>
      <c r="AF34" s="547"/>
      <c r="AG34" s="547"/>
      <c r="AH34" s="547"/>
      <c r="AI34" s="488" t="s">
        <v>1544</v>
      </c>
      <c r="AL34" s="593"/>
      <c r="AM34" s="593"/>
      <c r="AN34" s="593"/>
      <c r="AO34" s="593"/>
      <c r="AP34" s="593"/>
    </row>
    <row customHeight="1" ht="14.25">
      <c r="Q35" s="602"/>
      <c r="R35" s="602"/>
      <c r="S35" s="1565"/>
      <c r="T35" s="586"/>
      <c r="U35" s="1522"/>
      <c r="V35" s="2418"/>
      <c r="W35" s="2418"/>
      <c r="X35" s="2418"/>
      <c r="Y35" s="2418"/>
      <c r="Z35" s="2418"/>
      <c r="AA35" s="2418"/>
      <c r="AB35" s="2418"/>
      <c r="AC35" s="2418"/>
      <c r="AD35" s="2418"/>
      <c r="AE35" s="2418"/>
      <c r="AF35" s="2418"/>
      <c r="AG35" s="2418"/>
      <c r="AH35" s="2418"/>
      <c r="AI35" s="2418"/>
    </row>
    <row customHeight="1" ht="14.25">
      <c r="Q36" s="602"/>
      <c r="R36" s="602"/>
      <c r="S36" s="2277" t="s">
        <v>362</v>
      </c>
      <c r="T36" s="2277"/>
      <c r="U36" s="2277"/>
      <c r="V36" s="2277"/>
      <c r="W36" s="2277"/>
      <c r="X36" s="2277"/>
      <c r="Y36" s="2277"/>
      <c r="Z36" s="2277"/>
      <c r="AA36" s="2277"/>
      <c r="AB36" s="2277"/>
      <c r="AC36" s="2277"/>
      <c r="AD36" s="2277"/>
      <c r="AE36" s="2277"/>
      <c r="AF36" s="2277"/>
      <c r="AG36" s="2277"/>
      <c r="AH36" s="2277"/>
      <c r="AI36" s="2277"/>
      <c r="AJ36" s="2277"/>
      <c r="AK36" s="2277" t="s">
        <v>363</v>
      </c>
    </row>
    <row customHeight="1" ht="14.25">
      <c r="Q37" s="602"/>
      <c r="R37" s="602"/>
      <c r="S37" s="2440" t="s">
        <v>88</v>
      </c>
      <c r="T37" s="2301" t="s">
        <v>1545</v>
      </c>
      <c r="U37" s="511"/>
      <c r="V37" s="2441" t="s">
        <v>1546</v>
      </c>
      <c r="W37" s="2442"/>
      <c r="X37" s="2442"/>
      <c r="Y37" s="2442"/>
      <c r="Z37" s="2442"/>
      <c r="AA37" s="2443"/>
      <c r="AB37" s="2444" t="s">
        <v>1547</v>
      </c>
      <c r="AC37" s="2441" t="s">
        <v>1546</v>
      </c>
      <c r="AD37" s="2442"/>
      <c r="AE37" s="2442"/>
      <c r="AF37" s="2442"/>
      <c r="AG37" s="2442"/>
      <c r="AH37" s="2443"/>
      <c r="AI37" s="2444" t="s">
        <v>1548</v>
      </c>
      <c r="AJ37" s="2447" t="s">
        <v>1549</v>
      </c>
      <c r="AK37" s="2277"/>
    </row>
    <row customHeight="1" ht="33.75">
      <c r="Q38" s="602"/>
      <c r="R38" s="602"/>
      <c r="S38" s="2440"/>
      <c r="T38" s="2301"/>
      <c r="U38" s="1289"/>
      <c r="V38" s="1749" t="s">
        <v>1740</v>
      </c>
      <c r="W38" s="2428" t="s">
        <v>1552</v>
      </c>
      <c r="X38" s="2429"/>
      <c r="Y38" s="2434" t="s">
        <v>1553</v>
      </c>
      <c r="Z38" s="2435"/>
      <c r="AA38" s="2436"/>
      <c r="AB38" s="2445"/>
      <c r="AC38" s="1749" t="s">
        <v>1740</v>
      </c>
      <c r="AD38" s="2428" t="s">
        <v>1552</v>
      </c>
      <c r="AE38" s="2429"/>
      <c r="AF38" s="2434" t="s">
        <v>1553</v>
      </c>
      <c r="AG38" s="2435"/>
      <c r="AH38" s="2436"/>
      <c r="AI38" s="2445"/>
      <c r="AJ38" s="2448"/>
      <c r="AK38" s="2277"/>
    </row>
    <row customHeight="1" ht="33.75">
      <c r="A39" s="1666"/>
      <c r="B39" s="1666" t="s">
        <v>212</v>
      </c>
      <c r="C39" s="1666" t="s">
        <v>213</v>
      </c>
      <c r="D39" s="1666" t="s">
        <v>214</v>
      </c>
      <c r="E39" s="1660" t="s">
        <v>1554</v>
      </c>
      <c r="F39" s="1660" t="s">
        <v>1555</v>
      </c>
      <c r="G39" s="1660" t="s">
        <v>1556</v>
      </c>
      <c r="H39" s="1660"/>
      <c r="I39" s="1660" t="s">
        <v>1741</v>
      </c>
      <c r="J39" s="1660" t="s">
        <v>1559</v>
      </c>
      <c r="K39" s="1660" t="s">
        <v>1742</v>
      </c>
      <c r="L39" s="1660" t="s">
        <v>1535</v>
      </c>
      <c r="Q39" s="602"/>
      <c r="R39" s="602"/>
      <c r="S39" s="2440"/>
      <c r="T39" s="2301"/>
      <c r="U39" s="512"/>
      <c r="V39" s="1749" t="s">
        <v>1743</v>
      </c>
      <c r="W39" s="1497" t="s">
        <v>1744</v>
      </c>
      <c r="X39" s="1497" t="s">
        <v>1745</v>
      </c>
      <c r="Y39" s="1752" t="s">
        <v>1563</v>
      </c>
      <c r="Z39" s="2437" t="s">
        <v>1564</v>
      </c>
      <c r="AA39" s="2438"/>
      <c r="AB39" s="2446"/>
      <c r="AC39" s="1749" t="s">
        <v>1743</v>
      </c>
      <c r="AD39" s="1497" t="s">
        <v>1744</v>
      </c>
      <c r="AE39" s="1497" t="s">
        <v>1745</v>
      </c>
      <c r="AF39" s="1752" t="s">
        <v>1563</v>
      </c>
      <c r="AG39" s="2437" t="s">
        <v>1564</v>
      </c>
      <c r="AH39" s="2438"/>
      <c r="AI39" s="2446"/>
      <c r="AJ39" s="2449"/>
      <c r="AK39" s="2277"/>
    </row>
    <row s="10822" customFormat="1" customHeight="1" ht="11.25" hidden="1">
      <c r="A40" s="1666"/>
      <c r="B40" s="1666"/>
      <c r="C40" s="1666"/>
      <c r="D40" s="1666"/>
      <c r="E40" s="1666"/>
      <c r="F40" s="1666"/>
      <c r="G40" s="1666"/>
      <c r="H40" s="1666"/>
      <c r="I40" s="1666"/>
      <c r="J40" s="1666"/>
      <c r="K40" s="1666"/>
      <c r="L40" s="1660"/>
      <c r="M40" s="1658"/>
      <c r="N40" s="1658"/>
      <c r="O40" s="1658"/>
      <c r="P40" s="1524"/>
      <c r="Q40" s="1525"/>
      <c r="R40" s="1540">
        <v>1</v>
      </c>
      <c r="S40" s="1567" t="s">
        <v>109</v>
      </c>
      <c r="T40" s="1541" t="s">
        <v>110</v>
      </c>
      <c r="U40" s="1523" t="str">
        <f>OFFSET(U40,0,-1)</f>
        <v>2</v>
      </c>
      <c r="V40" s="1748">
        <f>OFFSET(V40,0,-1)+1</f>
        <v>3</v>
      </c>
      <c r="W40" s="1748">
        <f>OFFSET(W40,0,-1)+1</f>
        <v>4</v>
      </c>
      <c r="X40" s="1748">
        <f>OFFSET(X40,0,-1)+1</f>
        <v>5</v>
      </c>
      <c r="Y40" s="1748">
        <f>OFFSET(Y40,0,-1)+1</f>
        <v>6</v>
      </c>
      <c r="Z40" s="2439">
        <f>OFFSET(Z40,0,-1)+1</f>
        <v>7</v>
      </c>
      <c r="AA40" s="2439"/>
      <c r="AB40" s="1748">
        <f>OFFSET(AB40,0,-2)+1</f>
        <v>8</v>
      </c>
      <c r="AC40" s="1748">
        <f>OFFSET(AC40,0,-1)+1</f>
        <v>9</v>
      </c>
      <c r="AD40" s="1748">
        <f>OFFSET(AD40,0,-1)+1</f>
        <v>10</v>
      </c>
      <c r="AE40" s="1748">
        <f>OFFSET(AE40,0,-1)+1</f>
        <v>11</v>
      </c>
      <c r="AF40" s="1748">
        <f>OFFSET(AF40,0,-1)+1</f>
        <v>12</v>
      </c>
      <c r="AG40" s="2439">
        <f>OFFSET(AG40,0,-1)+1</f>
        <v>13</v>
      </c>
      <c r="AH40" s="2439"/>
      <c r="AI40" s="1748">
        <f>OFFSET(AI40,0,-2)+1</f>
        <v>14</v>
      </c>
      <c r="AJ40" s="1523">
        <f>OFFSET(AJ40,0,-1)</f>
        <v>14</v>
      </c>
      <c r="AK40" s="1748">
        <f>OFFSET(AK40,0,-1)+1</f>
        <v>15</v>
      </c>
      <c r="AL40" s="748"/>
      <c r="AM40" s="748"/>
      <c r="AN40" s="748"/>
      <c r="AO40" s="748"/>
      <c r="AP40" s="748"/>
    </row>
    <row customHeight="1" ht="23.25">
      <c r="A41" s="1659" t="s">
        <v>293</v>
      </c>
      <c r="B41" s="1659"/>
      <c r="C41" s="1659"/>
      <c r="D41" s="1659"/>
      <c r="E41" s="2424">
        <v>1</v>
      </c>
      <c r="F41" s="1659"/>
      <c r="G41" s="1659"/>
      <c r="H41" s="1659"/>
      <c r="I41" s="1659"/>
      <c r="J41" s="1659"/>
      <c r="K41" s="1659"/>
      <c r="L41" s="1660"/>
      <c r="M41" s="1661"/>
      <c r="N41" s="1661"/>
      <c r="O41" s="1661"/>
      <c r="P41" s="582"/>
      <c r="Q41" s="581"/>
      <c r="R41" s="576"/>
      <c r="S41" s="1754">
        <f>INDEX(PT_DIFFERENTIATION_NUM_NTAR,MATCH(A41,PT_DIFFERENTIATION_NTAR_ID,0))</f>
        <v>0</v>
      </c>
      <c r="T41" s="508" t="s">
        <v>200</v>
      </c>
      <c r="U41" s="510"/>
      <c r="V41" s="4037"/>
      <c r="W41" s="4038"/>
      <c r="X41" s="4038"/>
      <c r="Y41" s="4038"/>
      <c r="Z41" s="4038"/>
      <c r="AA41" s="4038"/>
      <c r="AB41" s="4039"/>
      <c r="AC41" s="4037" t="str">
        <f>INDEX(PT_DIFFERENTIATION_NTAR,MATCH(A41,PT_DIFFERENTIATION_NTAR_ID,0))</f>
        <v/>
      </c>
      <c r="AD41" s="4038"/>
      <c r="AE41" s="4038"/>
      <c r="AF41" s="4038"/>
      <c r="AG41" s="4038"/>
      <c r="AH41" s="4038"/>
      <c r="AI41" s="4038"/>
      <c r="AJ41" s="4039"/>
      <c r="AK41" s="1546"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737"/>
      <c r="AN41" s="737" t="str">
        <f>IF(T41="","",T41)</f>
        <v>Наименование тарифа</v>
      </c>
      <c r="AO41" s="737"/>
      <c r="AP41" s="737"/>
    </row>
    <row customHeight="1" ht="23.25">
      <c r="A42" s="1659" t="s">
        <v>293</v>
      </c>
      <c r="B42" s="1659" t="s">
        <v>294</v>
      </c>
      <c r="C42" s="1659"/>
      <c r="D42" s="1659"/>
      <c r="E42" s="2425"/>
      <c r="F42" s="2424">
        <v>1</v>
      </c>
      <c r="G42" s="1659"/>
      <c r="H42" s="1659"/>
      <c r="I42" s="1659"/>
      <c r="J42" s="1659"/>
      <c r="K42" s="1659"/>
      <c r="L42" s="1660"/>
      <c r="M42" s="1661"/>
      <c r="N42" s="1661"/>
      <c r="O42" s="1661"/>
      <c r="P42" s="1750"/>
      <c r="Q42" s="573"/>
      <c r="R42" s="574"/>
      <c r="S42" s="1754" t="str">
        <f>INDEX(PT_DIFFERENTIATION_NUM_TER,MATCH(B42,PT_DIFFERENTIATION_TER_ID,0))</f>
        <v>.</v>
      </c>
      <c r="T42" s="520" t="s">
        <v>1517</v>
      </c>
      <c r="U42" s="510"/>
      <c r="V42" s="4037"/>
      <c r="W42" s="4038"/>
      <c r="X42" s="4038"/>
      <c r="Y42" s="4038"/>
      <c r="Z42" s="4038"/>
      <c r="AA42" s="4038"/>
      <c r="AB42" s="4039"/>
      <c r="AC42" s="4037" t="str">
        <f>INDEX(PT_DIFFERENTIATION_TER,MATCH(B42,PT_DIFFERENTIATION_TER_ID,0))</f>
        <v/>
      </c>
      <c r="AD42" s="4038"/>
      <c r="AE42" s="4038"/>
      <c r="AF42" s="4038"/>
      <c r="AG42" s="4038"/>
      <c r="AH42" s="4038"/>
      <c r="AI42" s="4038"/>
      <c r="AJ42" s="4039"/>
      <c r="AK42" s="1546" t="s">
        <v>1518</v>
      </c>
      <c r="AM42" s="737"/>
      <c r="AN42" s="737" t="str">
        <f>IF(T42="","",T42)</f>
        <v>Территория действия тарифа</v>
      </c>
      <c r="AO42" s="737"/>
      <c r="AP42" s="737"/>
    </row>
    <row customHeight="1" ht="23.25">
      <c r="A43" s="1659" t="s">
        <v>293</v>
      </c>
      <c r="B43" s="1659" t="s">
        <v>294</v>
      </c>
      <c r="C43" s="1659" t="s">
        <v>295</v>
      </c>
      <c r="D43" s="1659"/>
      <c r="E43" s="2425"/>
      <c r="F43" s="2425"/>
      <c r="G43" s="2424">
        <v>1</v>
      </c>
      <c r="H43" s="1659"/>
      <c r="I43" s="1659"/>
      <c r="J43" s="1659"/>
      <c r="K43" s="1659"/>
      <c r="L43" s="1660"/>
      <c r="M43" s="1661"/>
      <c r="N43" s="1661"/>
      <c r="O43" s="1661"/>
      <c r="P43" s="575"/>
      <c r="Q43" s="573"/>
      <c r="R43" s="574"/>
      <c r="S43" s="1754" t="str">
        <f>INDEX(PT_DIFFERENTIATION_NUM_CS,MATCH(C43,PT_DIFFERENTIATION_CS_ID,0))</f>
        <v>..</v>
      </c>
      <c r="T43" s="521" t="s">
        <v>1732</v>
      </c>
      <c r="U43" s="510"/>
      <c r="V43" s="4037"/>
      <c r="W43" s="4038"/>
      <c r="X43" s="4038"/>
      <c r="Y43" s="4038"/>
      <c r="Z43" s="4038"/>
      <c r="AA43" s="4038"/>
      <c r="AB43" s="4039"/>
      <c r="AC43" s="4037" t="str">
        <f>INDEX(PT_DIFFERENTIATION_CS,MATCH(C43,PT_DIFFERENTIATION_CS_ID,0))</f>
        <v/>
      </c>
      <c r="AD43" s="4038"/>
      <c r="AE43" s="4038"/>
      <c r="AF43" s="4038"/>
      <c r="AG43" s="4038"/>
      <c r="AH43" s="4038"/>
      <c r="AI43" s="4038"/>
      <c r="AJ43" s="4039"/>
      <c r="AK43" s="1546" t="s">
        <v>1733</v>
      </c>
      <c r="AM43" s="737"/>
      <c r="AN43" s="737" t="str">
        <f>IF(T43="","",T43)</f>
        <v>Наименование централизованной системы холодного водоснабжения</v>
      </c>
      <c r="AO43" s="737"/>
      <c r="AP43" s="737"/>
    </row>
    <row customHeight="1" ht="23.25">
      <c r="A44" s="1659" t="s">
        <v>293</v>
      </c>
      <c r="B44" s="1659" t="s">
        <v>294</v>
      </c>
      <c r="C44" s="1659" t="s">
        <v>295</v>
      </c>
      <c r="D44" s="1659" t="s">
        <v>1749</v>
      </c>
      <c r="E44" s="2425"/>
      <c r="F44" s="2425"/>
      <c r="G44" s="2425"/>
      <c r="H44" s="2425"/>
      <c r="I44" s="2453" t="str">
        <f>S43&amp;".1"</f>
        <v>...1</v>
      </c>
      <c r="J44" s="1659"/>
      <c r="K44" s="1659"/>
      <c r="L44" s="1660"/>
      <c r="P44" s="2423">
        <v>1</v>
      </c>
      <c r="Q44" s="1747"/>
      <c r="R44" s="577"/>
      <c r="S44" s="1754" t="str">
        <f>$I44</f>
        <v>...1</v>
      </c>
      <c r="T44" s="495" t="s">
        <v>1734</v>
      </c>
      <c r="U44" s="510"/>
      <c r="V44" s="2574"/>
      <c r="W44" s="2575"/>
      <c r="X44" s="2575"/>
      <c r="Y44" s="2575"/>
      <c r="Z44" s="2575"/>
      <c r="AA44" s="2575"/>
      <c r="AB44" s="2576"/>
      <c r="AC44" s="2577"/>
      <c r="AD44" s="2578"/>
      <c r="AE44" s="2578"/>
      <c r="AF44" s="2578"/>
      <c r="AG44" s="2578"/>
      <c r="AH44" s="2578"/>
      <c r="AI44" s="2578"/>
      <c r="AJ44" s="2579"/>
      <c r="AK44" s="1546" t="s">
        <v>1735</v>
      </c>
      <c r="AM44" s="737"/>
      <c r="AN44" s="737" t="str">
        <f>IF(T44="","",T44)</f>
        <v>Наименование признака дифференциации</v>
      </c>
      <c r="AO44" s="737"/>
      <c r="AP44" s="737"/>
    </row>
    <row customHeight="1" ht="23.25">
      <c r="A45" s="1659" t="s">
        <v>293</v>
      </c>
      <c r="B45" s="1659" t="s">
        <v>294</v>
      </c>
      <c r="C45" s="1659" t="s">
        <v>295</v>
      </c>
      <c r="D45" s="1659" t="s">
        <v>1749</v>
      </c>
      <c r="E45" s="2425"/>
      <c r="F45" s="2425"/>
      <c r="G45" s="2425"/>
      <c r="H45" s="2425"/>
      <c r="I45" s="2454"/>
      <c r="J45" s="2422" t="str">
        <f>I44&amp;".1"</f>
        <v>...1.1</v>
      </c>
      <c r="K45" s="1659"/>
      <c r="L45" s="1660" t="s">
        <v>1526</v>
      </c>
      <c r="P45" s="2423"/>
      <c r="Q45" s="2423">
        <v>1</v>
      </c>
      <c r="R45" s="578"/>
      <c r="S45" s="1754" t="str">
        <f>$J45</f>
        <v>...1.1</v>
      </c>
      <c r="T45" s="496" t="s">
        <v>1527</v>
      </c>
      <c r="U45" s="510"/>
      <c r="V45" s="2411"/>
      <c r="W45" s="2412"/>
      <c r="X45" s="2412"/>
      <c r="Y45" s="2412"/>
      <c r="Z45" s="2412"/>
      <c r="AA45" s="2412"/>
      <c r="AB45" s="2413"/>
      <c r="AC45" s="2411"/>
      <c r="AD45" s="2412"/>
      <c r="AE45" s="2412"/>
      <c r="AF45" s="2412"/>
      <c r="AG45" s="2412"/>
      <c r="AH45" s="2412"/>
      <c r="AI45" s="2412"/>
      <c r="AJ45" s="2413"/>
      <c r="AK45" s="1602" t="s">
        <v>1736</v>
      </c>
      <c r="AM45" s="737"/>
      <c r="AN45" s="737" t="str">
        <f>IF(T45="","",T45)</f>
        <v>Группа потребителей</v>
      </c>
      <c r="AO45" s="737"/>
      <c r="AP45" s="737"/>
    </row>
    <row customHeight="1" ht="23.25">
      <c r="A46" s="1659" t="s">
        <v>293</v>
      </c>
      <c r="B46" s="1659" t="s">
        <v>294</v>
      </c>
      <c r="C46" s="1659" t="s">
        <v>295</v>
      </c>
      <c r="D46" s="1659" t="s">
        <v>1749</v>
      </c>
      <c r="E46" s="2425"/>
      <c r="F46" s="2425"/>
      <c r="G46" s="2425"/>
      <c r="H46" s="2425"/>
      <c r="I46" s="2454"/>
      <c r="J46" s="2455"/>
      <c r="K46" s="2422" t="str">
        <f>J45&amp;".1"</f>
        <v>...1.1.1</v>
      </c>
      <c r="L46" s="1660"/>
      <c r="P46" s="2423"/>
      <c r="Q46" s="2423"/>
      <c r="R46" s="578">
        <v>1</v>
      </c>
      <c r="S46" s="1754" t="str">
        <f>$K46</f>
        <v>...1.1.1</v>
      </c>
      <c r="T46" s="1734"/>
      <c r="U46" s="510"/>
      <c r="V46" s="4065"/>
      <c r="W46" s="4065"/>
      <c r="X46" s="4067"/>
      <c r="Y46" s="2430"/>
      <c r="Z46" s="2142" t="s">
        <v>67</v>
      </c>
      <c r="AA46" s="2430"/>
      <c r="AB46" s="2142" t="s">
        <v>67</v>
      </c>
      <c r="AC46" s="4065"/>
      <c r="AD46" s="4065"/>
      <c r="AE46" s="4067"/>
      <c r="AF46" s="2430"/>
      <c r="AG46" s="2142" t="s">
        <v>67</v>
      </c>
      <c r="AH46" s="2456"/>
      <c r="AI46" s="2142" t="s">
        <v>67</v>
      </c>
      <c r="AJ46" s="4569"/>
      <c r="AK46" s="257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748">
        <f>STRCHECKDATE(V47:AJ47)</f>
      </c>
      <c r="AM46" s="737"/>
      <c r="AN46" s="737" t="str">
        <f>IF(T46="","",T46)</f>
        <v/>
      </c>
      <c r="AO46" s="737"/>
      <c r="AP46" s="737"/>
    </row>
    <row customHeight="1" ht="0">
      <c r="A47" s="1659" t="s">
        <v>293</v>
      </c>
      <c r="B47" s="1659" t="s">
        <v>294</v>
      </c>
      <c r="C47" s="1659" t="s">
        <v>295</v>
      </c>
      <c r="D47" s="1659" t="s">
        <v>1749</v>
      </c>
      <c r="E47" s="2425"/>
      <c r="F47" s="2425"/>
      <c r="G47" s="2425"/>
      <c r="H47" s="2425"/>
      <c r="I47" s="2454"/>
      <c r="J47" s="2455"/>
      <c r="K47" s="2422"/>
      <c r="L47" s="1660"/>
      <c r="P47" s="2423"/>
      <c r="Q47" s="2423"/>
      <c r="R47" s="578"/>
      <c r="S47" s="1753"/>
      <c r="T47" s="510"/>
      <c r="U47" s="510"/>
      <c r="V47" s="4066"/>
      <c r="W47" s="4066"/>
      <c r="X47" s="4071" t="str">
        <f>Y46&amp;"-"&amp;AA46</f>
        <v>-</v>
      </c>
      <c r="Y47" s="2431"/>
      <c r="Z47" s="2142"/>
      <c r="AA47" s="2431"/>
      <c r="AB47" s="2142"/>
      <c r="AC47" s="4066"/>
      <c r="AD47" s="4066"/>
      <c r="AE47" s="4071" t="str">
        <f>AF46&amp;"-"&amp;AH46</f>
        <v>-</v>
      </c>
      <c r="AF47" s="2431"/>
      <c r="AG47" s="2142"/>
      <c r="AH47" s="2457"/>
      <c r="AI47" s="2142"/>
      <c r="AJ47" s="4572"/>
      <c r="AK47" s="2573"/>
      <c r="AM47" s="737"/>
      <c r="AN47" s="737" t="str">
        <f>IF(T47="","",T47)</f>
        <v/>
      </c>
      <c r="AO47" s="737"/>
      <c r="AP47" s="737"/>
    </row>
    <row customHeight="1" ht="21">
      <c r="A48" s="1659" t="s">
        <v>293</v>
      </c>
      <c r="B48" s="1659" t="s">
        <v>294</v>
      </c>
      <c r="C48" s="1659" t="s">
        <v>295</v>
      </c>
      <c r="D48" s="1659" t="s">
        <v>1749</v>
      </c>
      <c r="E48" s="2425"/>
      <c r="F48" s="2425"/>
      <c r="G48" s="2425"/>
      <c r="H48" s="2425"/>
      <c r="I48" s="2454"/>
      <c r="J48" s="2422"/>
      <c r="K48" s="1659"/>
      <c r="L48" s="1660"/>
      <c r="P48" s="2423"/>
      <c r="Q48" s="2423"/>
      <c r="R48" s="577"/>
      <c r="S48" s="1568"/>
      <c r="T48" s="497" t="s">
        <v>1737</v>
      </c>
      <c r="U48" s="592"/>
      <c r="V48" s="592"/>
      <c r="W48" s="592"/>
      <c r="X48" s="592"/>
      <c r="Y48" s="592"/>
      <c r="Z48" s="592"/>
      <c r="AA48" s="592"/>
      <c r="AB48" s="592"/>
      <c r="AC48" s="592"/>
      <c r="AD48" s="592"/>
      <c r="AE48" s="592"/>
      <c r="AF48" s="592"/>
      <c r="AG48" s="592"/>
      <c r="AH48" s="592"/>
      <c r="AI48" s="592"/>
      <c r="AJ48" s="592"/>
      <c r="AK48" s="1546" t="s">
        <v>1738</v>
      </c>
      <c r="AM48" s="737"/>
      <c r="AN48" s="737" t="str">
        <f>IF(T48="","",T48)</f>
        <v>Добавить значение признака дифференциации</v>
      </c>
      <c r="AO48" s="737"/>
      <c r="AP48" s="737"/>
    </row>
    <row customHeight="1" ht="21">
      <c r="A49" s="1659" t="s">
        <v>293</v>
      </c>
      <c r="B49" s="1659" t="s">
        <v>294</v>
      </c>
      <c r="C49" s="1659" t="s">
        <v>295</v>
      </c>
      <c r="D49" s="1659" t="s">
        <v>1749</v>
      </c>
      <c r="E49" s="2425"/>
      <c r="F49" s="2425"/>
      <c r="G49" s="2425"/>
      <c r="H49" s="2425"/>
      <c r="I49" s="2453"/>
      <c r="J49" s="1659"/>
      <c r="K49" s="1659"/>
      <c r="L49" s="1660"/>
      <c r="P49" s="2423"/>
      <c r="Q49" s="1747"/>
      <c r="R49" s="577"/>
      <c r="S49" s="1568"/>
      <c r="T49" s="589" t="s">
        <v>1532</v>
      </c>
      <c r="U49" s="592"/>
      <c r="V49" s="592"/>
      <c r="W49" s="592"/>
      <c r="X49" s="592"/>
      <c r="Y49" s="592"/>
      <c r="Z49" s="592"/>
      <c r="AA49" s="592"/>
      <c r="AB49" s="591"/>
      <c r="AC49" s="592"/>
      <c r="AD49" s="592"/>
      <c r="AE49" s="592"/>
      <c r="AF49" s="592"/>
      <c r="AG49" s="592"/>
      <c r="AH49" s="592"/>
      <c r="AI49" s="591"/>
      <c r="AJ49" s="592"/>
      <c r="AK49" s="1737"/>
      <c r="AM49" s="737"/>
      <c r="AN49" s="737" t="str">
        <f>IF(T49="","",T49)</f>
        <v>Добавить группу потребителей</v>
      </c>
      <c r="AO49" s="737"/>
      <c r="AP49" s="737"/>
    </row>
    <row customHeight="1" ht="21">
      <c r="A50" s="1659" t="s">
        <v>293</v>
      </c>
      <c r="B50" s="1659" t="s">
        <v>294</v>
      </c>
      <c r="C50" s="1659" t="s">
        <v>295</v>
      </c>
      <c r="D50" s="1659" t="s">
        <v>1749</v>
      </c>
      <c r="E50" s="2425"/>
      <c r="F50" s="2425"/>
      <c r="G50" s="2425"/>
      <c r="H50" s="2424"/>
      <c r="I50" s="1659"/>
      <c r="J50" s="1659"/>
      <c r="K50" s="1659"/>
      <c r="L50" s="1660"/>
      <c r="M50" s="1661"/>
      <c r="N50" s="1661"/>
      <c r="O50" s="774"/>
      <c r="P50" s="581"/>
      <c r="Q50" s="601"/>
      <c r="R50" s="576"/>
      <c r="S50" s="1568"/>
      <c r="T50" s="597" t="s">
        <v>1739</v>
      </c>
      <c r="U50" s="592"/>
      <c r="V50" s="592"/>
      <c r="W50" s="592"/>
      <c r="X50" s="592"/>
      <c r="Y50" s="592"/>
      <c r="Z50" s="592"/>
      <c r="AA50" s="592"/>
      <c r="AB50" s="591"/>
      <c r="AC50" s="592"/>
      <c r="AD50" s="592"/>
      <c r="AE50" s="592"/>
      <c r="AF50" s="592"/>
      <c r="AG50" s="592"/>
      <c r="AH50" s="592"/>
      <c r="AI50" s="591"/>
      <c r="AJ50" s="592"/>
      <c r="AK50" s="513"/>
      <c r="AM50" s="737"/>
      <c r="AN50" s="737" t="str">
        <f>IF(T50="","",T50)</f>
        <v>Добавить наименование признака дифференциации</v>
      </c>
      <c r="AO50" s="737"/>
      <c r="AP50" s="737"/>
    </row>
    <row s="10863" customFormat="1" customHeight="1" ht="0.75">
      <c r="A51" s="1638" t="s">
        <v>293</v>
      </c>
      <c r="B51" s="1638" t="s">
        <v>294</v>
      </c>
      <c r="C51" s="1609"/>
      <c r="D51" s="1609"/>
      <c r="E51" s="2425"/>
      <c r="F51" s="2424"/>
      <c r="G51" s="1609"/>
      <c r="H51" s="1609"/>
      <c r="I51" s="1609"/>
      <c r="J51" s="1609"/>
      <c r="K51" s="1609"/>
      <c r="L51" s="1755"/>
      <c r="M51" s="1616"/>
      <c r="N51" s="1616"/>
      <c r="P51" s="1611"/>
      <c r="Q51" s="1612"/>
      <c r="R51" s="1611"/>
      <c r="S51" s="1617"/>
      <c r="T51" s="1620" t="s">
        <v>1493</v>
      </c>
      <c r="U51" s="1619"/>
      <c r="V51" s="1619"/>
      <c r="W51" s="1619"/>
      <c r="X51" s="1619"/>
      <c r="Y51" s="1619"/>
      <c r="Z51" s="1619"/>
      <c r="AA51" s="1619"/>
      <c r="AB51" s="1619"/>
      <c r="AC51" s="1619"/>
      <c r="AD51" s="1619"/>
      <c r="AE51" s="1619"/>
      <c r="AF51" s="1619"/>
      <c r="AG51" s="1619"/>
      <c r="AH51" s="1619"/>
      <c r="AI51" s="1619"/>
      <c r="AJ51" s="1619"/>
      <c r="AK51" s="1619"/>
      <c r="AM51" s="1029"/>
      <c r="AN51" s="1029" t="str">
        <f>IF(T51="","",T51)</f>
        <v>Добавить централизованную систему для дифференциации</v>
      </c>
      <c r="AO51" s="1029"/>
      <c r="AP51" s="1029"/>
    </row>
    <row s="10863" customFormat="1" customHeight="1" ht="0.75">
      <c r="A52" s="1638" t="s">
        <v>293</v>
      </c>
      <c r="B52" s="1638"/>
      <c r="C52" s="1638"/>
      <c r="D52" s="1638"/>
      <c r="E52" s="2424"/>
      <c r="F52" s="1638"/>
      <c r="G52" s="1638"/>
      <c r="H52" s="1638"/>
      <c r="I52" s="1638"/>
      <c r="J52" s="1638"/>
      <c r="K52" s="1638"/>
      <c r="L52" s="1641"/>
      <c r="M52" s="1616"/>
      <c r="N52" s="1616"/>
      <c r="O52" s="755"/>
      <c r="P52" s="610"/>
      <c r="Q52" s="1639"/>
      <c r="R52" s="610"/>
      <c r="S52" s="1617"/>
      <c r="T52" s="1620" t="s">
        <v>1494</v>
      </c>
      <c r="U52" s="1619"/>
      <c r="V52" s="1619"/>
      <c r="W52" s="1619"/>
      <c r="X52" s="1619"/>
      <c r="Y52" s="1619"/>
      <c r="Z52" s="1619"/>
      <c r="AA52" s="1619"/>
      <c r="AB52" s="1619"/>
      <c r="AC52" s="1619"/>
      <c r="AD52" s="1619"/>
      <c r="AE52" s="1619"/>
      <c r="AF52" s="1619"/>
      <c r="AG52" s="1619"/>
      <c r="AH52" s="1619"/>
      <c r="AI52" s="1619"/>
      <c r="AJ52" s="1619"/>
      <c r="AK52" s="1619"/>
      <c r="AM52" s="737"/>
      <c r="AN52" s="737" t="str">
        <f>IF(T52="","",T52)</f>
        <v>Добавить территорию для дифференциации</v>
      </c>
      <c r="AO52" s="737"/>
      <c r="AP52" s="737"/>
    </row>
    <row s="10863" customFormat="1" customHeight="1" ht="0.75">
      <c r="A53" s="1609"/>
      <c r="B53" s="1609"/>
      <c r="C53" s="1609"/>
      <c r="D53" s="1609"/>
      <c r="E53" s="1638"/>
      <c r="F53" s="1609"/>
      <c r="G53" s="1609"/>
      <c r="H53" s="1609"/>
      <c r="I53" s="1609"/>
      <c r="J53" s="1609"/>
      <c r="K53" s="1609"/>
      <c r="L53" s="1755"/>
      <c r="M53" s="1616"/>
      <c r="N53" s="1616"/>
      <c r="P53" s="1611"/>
      <c r="Q53" s="1612"/>
      <c r="R53" s="1611"/>
      <c r="S53" s="1617"/>
      <c r="T53" s="1620" t="s">
        <v>1495</v>
      </c>
      <c r="U53" s="1619"/>
      <c r="V53" s="1619"/>
      <c r="W53" s="1619"/>
      <c r="X53" s="1619"/>
      <c r="Y53" s="1619"/>
      <c r="Z53" s="1619"/>
      <c r="AA53" s="1619"/>
      <c r="AB53" s="1619"/>
      <c r="AC53" s="1619"/>
      <c r="AD53" s="1619"/>
      <c r="AE53" s="1619"/>
      <c r="AF53" s="1619"/>
      <c r="AG53" s="1619"/>
      <c r="AH53" s="1619"/>
      <c r="AI53" s="1619"/>
      <c r="AJ53" s="1619"/>
      <c r="AK53" s="1619"/>
      <c r="AM53" s="1029"/>
      <c r="AN53" s="1029" t="str">
        <f>IF(T53="","",T53)</f>
        <v>Добавить наименование тарифа</v>
      </c>
      <c r="AO53" s="1029"/>
      <c r="AP53" s="1029"/>
    </row>
    <row customHeight="1" ht="11.25" hidden="1">
      <c r="M54" s="1421"/>
      <c r="N54" s="1421"/>
      <c r="O54" s="774"/>
      <c r="P54" s="1416"/>
      <c r="Q54" s="1416"/>
      <c r="R54" s="1416"/>
      <c r="S54" s="1416"/>
      <c r="AL54" s="1416"/>
      <c r="AM54" s="1416"/>
      <c r="AN54" s="1416"/>
      <c r="AO54" s="1416"/>
      <c r="AP54" s="1416"/>
    </row>
    <row customHeight="1" ht="14.25" hidden="1">
      <c r="O55" s="774"/>
      <c r="S55" s="1533" t="s">
        <v>1565</v>
      </c>
      <c r="T55" s="2452" t="s">
        <v>1747</v>
      </c>
      <c r="U55" s="2452"/>
      <c r="V55" s="2452"/>
      <c r="W55" s="2452"/>
      <c r="X55" s="2452"/>
      <c r="Y55" s="2452"/>
      <c r="Z55" s="2452"/>
      <c r="AA55" s="2452"/>
      <c r="AB55" s="2452"/>
      <c r="AC55" s="2452"/>
      <c r="AD55" s="2452"/>
      <c r="AE55" s="2452"/>
      <c r="AF55" s="2452"/>
      <c r="AG55" s="2452"/>
      <c r="AH55" s="2452"/>
      <c r="AI55" s="2452"/>
      <c r="AJ55" s="2452"/>
      <c r="AK55" s="2452"/>
    </row>
    <row customHeight="1" ht="14.25" hidden="1">
      <c r="O56" s="774"/>
    </row>
    <row customHeight="1" ht="14.25" hidden="1">
      <c r="O57" s="774"/>
      <c r="S57" s="1533" t="s">
        <v>1565</v>
      </c>
      <c r="T57" s="2452" t="s">
        <v>1748</v>
      </c>
      <c r="U57" s="2452"/>
      <c r="V57" s="2452"/>
      <c r="W57" s="2452"/>
      <c r="X57" s="2452"/>
      <c r="Y57" s="2452"/>
      <c r="Z57" s="2452"/>
      <c r="AA57" s="2452"/>
      <c r="AB57" s="2452"/>
      <c r="AC57" s="2452"/>
      <c r="AD57" s="2452"/>
      <c r="AE57" s="2452"/>
      <c r="AF57" s="2452"/>
      <c r="AG57" s="2452"/>
      <c r="AH57" s="2452"/>
      <c r="AI57" s="2452"/>
      <c r="AJ57" s="2452"/>
      <c r="AK57" s="2452"/>
    </row>
  </sheetData>
  <sheetProtection formatColumns="0" formatRows="0" autoFilter="0" sort="0" insertRows="0" insertColumns="1" deleteRows="0" deleteColumns="0"/>
  <mergeCells count="101">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K46:K47"/>
    <mergeCell ref="Y46:Y47"/>
    <mergeCell ref="E2:E13"/>
    <mergeCell ref="V2:AB2"/>
    <mergeCell ref="AC2:AJ2"/>
    <mergeCell ref="AI37:AI39"/>
    <mergeCell ref="V29:AA29"/>
    <mergeCell ref="AC29:AH29"/>
    <mergeCell ref="V30:AA30"/>
    <mergeCell ref="AC30:AH30"/>
    <mergeCell ref="Z39:AA39"/>
    <mergeCell ref="AG39:AH39"/>
    <mergeCell ref="AI7:AI8"/>
    <mergeCell ref="S30:T30"/>
    <mergeCell ref="S24:AH24"/>
    <mergeCell ref="S25:AH25"/>
    <mergeCell ref="S27:T27"/>
    <mergeCell ref="V27:AA27"/>
    <mergeCell ref="AC27:AH27"/>
    <mergeCell ref="S28:T28"/>
    <mergeCell ref="V28:AA28"/>
    <mergeCell ref="Y38:AA38"/>
    <mergeCell ref="AD38:AE38"/>
    <mergeCell ref="AF38:AH38"/>
    <mergeCell ref="AG7:AG8"/>
    <mergeCell ref="AH7:AH8"/>
    <mergeCell ref="AK7:AK8"/>
    <mergeCell ref="AF15:AF16"/>
    <mergeCell ref="AG15:AG16"/>
    <mergeCell ref="AH15:AH16"/>
    <mergeCell ref="AI15:AI16"/>
    <mergeCell ref="Z46:Z47"/>
    <mergeCell ref="AC45:AJ45"/>
    <mergeCell ref="AA46:AA47"/>
    <mergeCell ref="AB46:AB47"/>
    <mergeCell ref="AF46:AF47"/>
    <mergeCell ref="AK46:AK47"/>
    <mergeCell ref="S29:T29"/>
    <mergeCell ref="F3:F12"/>
    <mergeCell ref="V3:AB3"/>
    <mergeCell ref="AC3:AJ3"/>
    <mergeCell ref="G4:G11"/>
    <mergeCell ref="V4:AB4"/>
    <mergeCell ref="AC4:AJ4"/>
    <mergeCell ref="H5:H11"/>
    <mergeCell ref="I5:I10"/>
    <mergeCell ref="P5:P10"/>
    <mergeCell ref="V5:AB5"/>
    <mergeCell ref="AC5:AJ5"/>
    <mergeCell ref="J6:J9"/>
    <mergeCell ref="Q6:Q9"/>
    <mergeCell ref="K7:K8"/>
    <mergeCell ref="Y7:Y8"/>
    <mergeCell ref="V6:AB6"/>
    <mergeCell ref="AC6:AJ6"/>
    <mergeCell ref="AC28:AH28"/>
    <mergeCell ref="Z7:Z8"/>
    <mergeCell ref="AA7:AA8"/>
    <mergeCell ref="AB7:AB8"/>
    <mergeCell ref="AF7:AF8"/>
    <mergeCell ref="T55:AK55"/>
    <mergeCell ref="T57:AK57"/>
    <mergeCell ref="V35:AB35"/>
    <mergeCell ref="S32:T32"/>
    <mergeCell ref="V32:AA32"/>
    <mergeCell ref="AC32:AH32"/>
    <mergeCell ref="S33:T33"/>
    <mergeCell ref="V33:AA33"/>
    <mergeCell ref="AC33:AH33"/>
    <mergeCell ref="AC35:AI35"/>
    <mergeCell ref="Z40:AA40"/>
    <mergeCell ref="AG40:AH40"/>
    <mergeCell ref="S36:AJ36"/>
    <mergeCell ref="AK36:AK39"/>
    <mergeCell ref="S37:S39"/>
    <mergeCell ref="T37:T39"/>
    <mergeCell ref="V37:AA37"/>
    <mergeCell ref="AB37:AB39"/>
    <mergeCell ref="AG46:AG47"/>
    <mergeCell ref="AH46:AH47"/>
    <mergeCell ref="AI46:AI47"/>
    <mergeCell ref="AJ37:AJ39"/>
    <mergeCell ref="AC37:AH37"/>
    <mergeCell ref="W38:X38"/>
  </mergeCells>
  <dataValidations count="8">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D93880A-402B-101E-9DC9-5273E670A753}" mc:Ignorable="x14ac xr xr2 xr3">
  <sheetPr>
    <tabColor theme="6" tint="0.4"/>
  </sheetPr>
  <dimension ref="A1:AP57"/>
  <sheetViews>
    <sheetView topLeftCell="P23" showGridLines="0" zoomScale="90" workbookViewId="0">
      <selection activeCell="A1" sqref="A1"/>
    </sheetView>
  </sheetViews>
  <sheetFormatPr defaultColWidth="10.57421875" customHeight="1" defaultRowHeight="14.25"/>
  <cols>
    <col min="1" max="1" style="11074" width="10.57421875" hidden="1"/>
    <col min="2" max="2" style="11074" width="11.00390625" hidden="1" customWidth="1"/>
    <col min="3" max="3" style="11074" width="10.57421875" hidden="1"/>
    <col min="4" max="4" style="11074" width="11.8515625" hidden="1" customWidth="1"/>
    <col min="5" max="5" style="11074" width="10.00390625" hidden="1" customWidth="1"/>
    <col min="6" max="6" style="11074" width="8.7109375" hidden="1" customWidth="1"/>
    <col min="7" max="7" style="11074" width="7.57421875" hidden="1" customWidth="1"/>
    <col min="8" max="8" style="11074" width="11.421875" hidden="1" customWidth="1"/>
    <col min="9" max="9" style="11074" width="14.140625" hidden="1" customWidth="1"/>
    <col min="10" max="10" style="11074" width="9.8515625" hidden="1" customWidth="1"/>
    <col min="11" max="11" style="11074" width="14.7109375" hidden="1" customWidth="1"/>
    <col min="12" max="12" style="11240" width="19.140625" hidden="1" customWidth="1"/>
    <col min="13" max="14" style="9887" width="12.28125" hidden="1" customWidth="1"/>
    <col min="15" max="15" style="9887" width="23.421875" hidden="1" customWidth="1"/>
    <col min="16" max="16" style="11241" width="3.7109375" customWidth="1"/>
    <col min="17" max="18" style="10046" width="3.7109375" customWidth="1"/>
    <col min="19" max="19" style="11124" width="12.7109375" customWidth="1"/>
    <col min="20" max="20" style="11126" width="35.7109375" customWidth="1"/>
    <col min="21" max="21" style="11126" width="0.140625" customWidth="1"/>
    <col min="22" max="24" style="11126" width="24.7109375" hidden="1" customWidth="1"/>
    <col min="25" max="25" style="11126" width="11.7109375" hidden="1" customWidth="1"/>
    <col min="26" max="26" style="11126" width="3.7109375" hidden="1" customWidth="1"/>
    <col min="27" max="27" style="11126" width="11.7109375" hidden="1" customWidth="1"/>
    <col min="28" max="28" style="11126" width="8.57421875" hidden="1" customWidth="1"/>
    <col min="29" max="31" style="11126" width="24.7109375" customWidth="1"/>
    <col min="32" max="32" style="11126" width="11.7109375" customWidth="1"/>
    <col min="33" max="33" style="11126" width="3.7109375" customWidth="1"/>
    <col min="34" max="34" style="11126" width="11.7109375" customWidth="1"/>
    <col min="35" max="35" style="11126" width="8.57421875" hidden="1" customWidth="1"/>
    <col min="36" max="36" style="11126" width="4.7109375" customWidth="1"/>
    <col min="37" max="37" style="11126" width="115.7109375" customWidth="1"/>
    <col min="38" max="39" style="10863" width="10.57421875"/>
    <col min="40" max="40" style="10863" width="11.140625" customWidth="1"/>
    <col min="41" max="42" style="10863" width="10.57421875"/>
  </cols>
  <sheetData>
    <row customHeight="1" ht="14.25" hidden="1">
      <c r="X1" s="548"/>
      <c r="Y1" s="548"/>
      <c r="AE1" s="548"/>
      <c r="AF1" s="548"/>
    </row>
    <row customHeight="1" ht="23.25" hidden="1">
      <c r="A2" s="1659"/>
      <c r="B2" s="1659"/>
      <c r="C2" s="1659"/>
      <c r="D2" s="1659"/>
      <c r="E2" s="2424">
        <v>1</v>
      </c>
      <c r="F2" s="1659"/>
      <c r="G2" s="1659"/>
      <c r="H2" s="1659"/>
      <c r="I2" s="1659"/>
      <c r="J2" s="1659"/>
      <c r="K2" s="1659"/>
      <c r="L2" s="1660"/>
      <c r="M2" s="1661"/>
      <c r="N2" s="1661"/>
      <c r="O2" s="1661"/>
      <c r="P2" s="582"/>
      <c r="Q2" s="581"/>
      <c r="R2" s="576"/>
      <c r="S2" s="1754">
        <f>INDEX(PT_DIFFERENTIATION_NUM_NTAR,MATCH(A2,PT_DIFFERENTIATION_NTAR_ID,0))</f>
      </c>
      <c r="T2" s="508" t="s">
        <v>200</v>
      </c>
      <c r="U2" s="510"/>
      <c r="V2" s="4037"/>
      <c r="W2" s="4038"/>
      <c r="X2" s="4038"/>
      <c r="Y2" s="4038"/>
      <c r="Z2" s="4038"/>
      <c r="AA2" s="4038"/>
      <c r="AB2" s="4039"/>
      <c r="AC2" s="4037">
        <f>INDEX(PT_DIFFERENTIATION_NTAR,MATCH(A2,PT_DIFFERENTIATION_NTAR_ID,0))</f>
      </c>
      <c r="AD2" s="4038"/>
      <c r="AE2" s="4038"/>
      <c r="AF2" s="4038"/>
      <c r="AG2" s="4038"/>
      <c r="AH2" s="4038"/>
      <c r="AI2" s="4038"/>
      <c r="AJ2" s="4039"/>
      <c r="AK2" s="1546"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737"/>
      <c r="AN2" s="737" t="str">
        <f>IF(T2="","",T2)</f>
        <v>Наименование тарифа</v>
      </c>
      <c r="AO2" s="737"/>
      <c r="AP2" s="737"/>
    </row>
    <row customHeight="1" ht="23.25" hidden="1">
      <c r="A3" s="1659"/>
      <c r="B3" s="1659"/>
      <c r="C3" s="1659"/>
      <c r="D3" s="1659"/>
      <c r="E3" s="2425"/>
      <c r="F3" s="2424">
        <v>1</v>
      </c>
      <c r="G3" s="1659"/>
      <c r="H3" s="1659"/>
      <c r="I3" s="1659"/>
      <c r="J3" s="1659"/>
      <c r="K3" s="1659"/>
      <c r="L3" s="1660"/>
      <c r="M3" s="1661"/>
      <c r="N3" s="1661"/>
      <c r="O3" s="1661"/>
      <c r="P3" s="1750"/>
      <c r="Q3" s="573"/>
      <c r="R3" s="574"/>
      <c r="S3" s="1754">
        <f>INDEX(PT_DIFFERENTIATION_NUM_TER,MATCH(B3,PT_DIFFERENTIATION_TER_ID,0))</f>
      </c>
      <c r="T3" s="520" t="s">
        <v>1517</v>
      </c>
      <c r="U3" s="510"/>
      <c r="V3" s="4037"/>
      <c r="W3" s="4038"/>
      <c r="X3" s="4038"/>
      <c r="Y3" s="4038"/>
      <c r="Z3" s="4038"/>
      <c r="AA3" s="4038"/>
      <c r="AB3" s="4039"/>
      <c r="AC3" s="4037">
        <f>INDEX(PT_DIFFERENTIATION_TER,MATCH(B3,PT_DIFFERENTIATION_TER_ID,0))</f>
      </c>
      <c r="AD3" s="4038"/>
      <c r="AE3" s="4038"/>
      <c r="AF3" s="4038"/>
      <c r="AG3" s="4038"/>
      <c r="AH3" s="4038"/>
      <c r="AI3" s="4038"/>
      <c r="AJ3" s="4039"/>
      <c r="AK3" s="1546" t="s">
        <v>1518</v>
      </c>
      <c r="AM3" s="737"/>
      <c r="AN3" s="737" t="str">
        <f>IF(T3="","",T3)</f>
        <v>Территория действия тарифа</v>
      </c>
      <c r="AO3" s="737"/>
      <c r="AP3" s="737"/>
    </row>
    <row customHeight="1" ht="23.25" hidden="1">
      <c r="A4" s="1659"/>
      <c r="B4" s="1659"/>
      <c r="C4" s="1659"/>
      <c r="D4" s="1659"/>
      <c r="E4" s="2425"/>
      <c r="F4" s="2425"/>
      <c r="G4" s="2424">
        <v>1</v>
      </c>
      <c r="H4" s="1659"/>
      <c r="I4" s="1659"/>
      <c r="J4" s="1659"/>
      <c r="K4" s="1659"/>
      <c r="L4" s="1660"/>
      <c r="M4" s="1661"/>
      <c r="N4" s="1661"/>
      <c r="O4" s="1661"/>
      <c r="P4" s="575"/>
      <c r="Q4" s="573"/>
      <c r="R4" s="574"/>
      <c r="S4" s="1754">
        <f>INDEX(PT_DIFFERENTIATION_NUM_CS,MATCH(C4,PT_DIFFERENTIATION_CS_ID,0))</f>
      </c>
      <c r="T4" s="521" t="s">
        <v>1732</v>
      </c>
      <c r="U4" s="510"/>
      <c r="V4" s="4037"/>
      <c r="W4" s="4038"/>
      <c r="X4" s="4038"/>
      <c r="Y4" s="4038"/>
      <c r="Z4" s="4038"/>
      <c r="AA4" s="4038"/>
      <c r="AB4" s="4039"/>
      <c r="AC4" s="4037">
        <f>INDEX(PT_DIFFERENTIATION_CS,MATCH(C4,PT_DIFFERENTIATION_CS_ID,0))</f>
      </c>
      <c r="AD4" s="4038"/>
      <c r="AE4" s="4038"/>
      <c r="AF4" s="4038"/>
      <c r="AG4" s="4038"/>
      <c r="AH4" s="4038"/>
      <c r="AI4" s="4038"/>
      <c r="AJ4" s="4039"/>
      <c r="AK4" s="1546" t="s">
        <v>1733</v>
      </c>
      <c r="AM4" s="737"/>
      <c r="AN4" s="737" t="str">
        <f>IF(T4="","",T4)</f>
        <v>Наименование централизованной системы холодного водоснабжения</v>
      </c>
      <c r="AO4" s="737"/>
      <c r="AP4" s="737"/>
    </row>
    <row customHeight="1" ht="23.25" hidden="1">
      <c r="A5" s="1659"/>
      <c r="B5" s="1659"/>
      <c r="C5" s="1659"/>
      <c r="D5" s="1659"/>
      <c r="E5" s="2425"/>
      <c r="F5" s="2425"/>
      <c r="G5" s="2425"/>
      <c r="H5" s="2425"/>
      <c r="I5" s="2453">
        <f>S4&amp;".1"</f>
      </c>
      <c r="J5" s="1659"/>
      <c r="K5" s="1659"/>
      <c r="L5" s="1660"/>
      <c r="P5" s="2423">
        <v>1</v>
      </c>
      <c r="Q5" s="1747"/>
      <c r="R5" s="577"/>
      <c r="S5" s="1754">
        <f>$I5</f>
      </c>
      <c r="T5" s="495" t="s">
        <v>1734</v>
      </c>
      <c r="U5" s="510"/>
      <c r="V5" s="2574"/>
      <c r="W5" s="2575"/>
      <c r="X5" s="2575"/>
      <c r="Y5" s="2575"/>
      <c r="Z5" s="2575"/>
      <c r="AA5" s="2575"/>
      <c r="AB5" s="2576"/>
      <c r="AC5" s="2577"/>
      <c r="AD5" s="2578"/>
      <c r="AE5" s="2578"/>
      <c r="AF5" s="2578"/>
      <c r="AG5" s="2578"/>
      <c r="AH5" s="2578"/>
      <c r="AI5" s="2578"/>
      <c r="AJ5" s="2579"/>
      <c r="AK5" s="1546" t="s">
        <v>1735</v>
      </c>
      <c r="AM5" s="737"/>
      <c r="AN5" s="737" t="str">
        <f>IF(T5="","",T5)</f>
        <v>Наименование признака дифференциации</v>
      </c>
      <c r="AO5" s="737"/>
      <c r="AP5" s="737"/>
    </row>
    <row customHeight="1" ht="23.25" hidden="1">
      <c r="A6" s="1659"/>
      <c r="B6" s="1659"/>
      <c r="C6" s="1659"/>
      <c r="D6" s="1659"/>
      <c r="E6" s="2425"/>
      <c r="F6" s="2425"/>
      <c r="G6" s="2425"/>
      <c r="H6" s="2425"/>
      <c r="I6" s="2454"/>
      <c r="J6" s="2422">
        <f>I5&amp;".1"</f>
      </c>
      <c r="K6" s="1659"/>
      <c r="L6" s="1660" t="s">
        <v>1526</v>
      </c>
      <c r="P6" s="2423"/>
      <c r="Q6" s="2423">
        <v>1</v>
      </c>
      <c r="R6" s="578"/>
      <c r="S6" s="1754">
        <f>$J6</f>
      </c>
      <c r="T6" s="496" t="s">
        <v>1527</v>
      </c>
      <c r="U6" s="510"/>
      <c r="V6" s="2411"/>
      <c r="W6" s="2412"/>
      <c r="X6" s="2412"/>
      <c r="Y6" s="2412"/>
      <c r="Z6" s="2412"/>
      <c r="AA6" s="2412"/>
      <c r="AB6" s="2413"/>
      <c r="AC6" s="2411"/>
      <c r="AD6" s="2412"/>
      <c r="AE6" s="2412"/>
      <c r="AF6" s="2412"/>
      <c r="AG6" s="2412"/>
      <c r="AH6" s="2412"/>
      <c r="AI6" s="2412"/>
      <c r="AJ6" s="2413"/>
      <c r="AK6" s="1602" t="s">
        <v>1736</v>
      </c>
      <c r="AM6" s="737"/>
      <c r="AN6" s="737" t="str">
        <f>IF(T6="","",T6)</f>
        <v>Группа потребителей</v>
      </c>
      <c r="AO6" s="737"/>
      <c r="AP6" s="737"/>
    </row>
    <row customHeight="1" ht="23.25" hidden="1">
      <c r="A7" s="1659"/>
      <c r="B7" s="1659"/>
      <c r="C7" s="1659"/>
      <c r="D7" s="1659"/>
      <c r="E7" s="2425"/>
      <c r="F7" s="2425"/>
      <c r="G7" s="2425"/>
      <c r="H7" s="2425"/>
      <c r="I7" s="2454"/>
      <c r="J7" s="2455"/>
      <c r="K7" s="2422">
        <f>J6&amp;".1"</f>
      </c>
      <c r="L7" s="1660"/>
      <c r="P7" s="2423"/>
      <c r="Q7" s="2423"/>
      <c r="R7" s="578">
        <v>1</v>
      </c>
      <c r="S7" s="1754">
        <f>$K7</f>
      </c>
      <c r="T7" s="1734"/>
      <c r="U7" s="510"/>
      <c r="V7" s="4065"/>
      <c r="W7" s="4065"/>
      <c r="X7" s="4067"/>
      <c r="Y7" s="2430"/>
      <c r="Z7" s="2142" t="s">
        <v>67</v>
      </c>
      <c r="AA7" s="2430"/>
      <c r="AB7" s="2142" t="s">
        <v>67</v>
      </c>
      <c r="AC7" s="4065"/>
      <c r="AD7" s="4065"/>
      <c r="AE7" s="4067"/>
      <c r="AF7" s="2430"/>
      <c r="AG7" s="2142" t="s">
        <v>67</v>
      </c>
      <c r="AH7" s="2456"/>
      <c r="AI7" s="2142" t="s">
        <v>67</v>
      </c>
      <c r="AJ7" s="4569"/>
      <c r="AK7" s="257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748">
        <f>STRCHECKDATE(V8:AJ8)</f>
      </c>
      <c r="AM7" s="737"/>
      <c r="AN7" s="737" t="str">
        <f>IF(T7="","",T7)</f>
        <v/>
      </c>
      <c r="AO7" s="737"/>
      <c r="AP7" s="737"/>
    </row>
    <row customHeight="1" ht="0.75" hidden="1">
      <c r="A8" s="1659"/>
      <c r="B8" s="1659"/>
      <c r="C8" s="1659"/>
      <c r="D8" s="1659"/>
      <c r="E8" s="2425"/>
      <c r="F8" s="2425"/>
      <c r="G8" s="2425"/>
      <c r="H8" s="2425"/>
      <c r="I8" s="2454"/>
      <c r="J8" s="2455"/>
      <c r="K8" s="2422"/>
      <c r="L8" s="1660"/>
      <c r="P8" s="2423"/>
      <c r="Q8" s="2423"/>
      <c r="R8" s="578"/>
      <c r="S8" s="1753"/>
      <c r="T8" s="510"/>
      <c r="U8" s="510"/>
      <c r="V8" s="4066"/>
      <c r="W8" s="4066"/>
      <c r="X8" s="4071" t="str">
        <f>Y7&amp;"-"&amp;AA7</f>
        <v>-</v>
      </c>
      <c r="Y8" s="2431"/>
      <c r="Z8" s="2142"/>
      <c r="AA8" s="2431"/>
      <c r="AB8" s="2142"/>
      <c r="AC8" s="4066"/>
      <c r="AD8" s="4066"/>
      <c r="AE8" s="4071" t="str">
        <f>AF7&amp;"-"&amp;AH7</f>
        <v>-</v>
      </c>
      <c r="AF8" s="2431"/>
      <c r="AG8" s="2142"/>
      <c r="AH8" s="2457"/>
      <c r="AI8" s="2142"/>
      <c r="AJ8" s="4572"/>
      <c r="AK8" s="2573"/>
      <c r="AM8" s="737"/>
      <c r="AN8" s="737" t="str">
        <f>IF(T8="","",T8)</f>
        <v/>
      </c>
      <c r="AO8" s="737"/>
      <c r="AP8" s="737"/>
    </row>
    <row customHeight="1" ht="21" hidden="1">
      <c r="A9" s="1659"/>
      <c r="B9" s="1659"/>
      <c r="C9" s="1659"/>
      <c r="D9" s="1659"/>
      <c r="E9" s="2425"/>
      <c r="F9" s="2425"/>
      <c r="G9" s="2425"/>
      <c r="H9" s="2425"/>
      <c r="I9" s="2454"/>
      <c r="J9" s="2422"/>
      <c r="K9" s="1659"/>
      <c r="L9" s="1660"/>
      <c r="P9" s="2423"/>
      <c r="Q9" s="2423"/>
      <c r="R9" s="577"/>
      <c r="S9" s="1568"/>
      <c r="T9" s="497" t="s">
        <v>1737</v>
      </c>
      <c r="U9" s="592"/>
      <c r="V9" s="592"/>
      <c r="W9" s="592"/>
      <c r="X9" s="592"/>
      <c r="Y9" s="592"/>
      <c r="Z9" s="592"/>
      <c r="AA9" s="592"/>
      <c r="AB9" s="592"/>
      <c r="AC9" s="592"/>
      <c r="AD9" s="592"/>
      <c r="AE9" s="592"/>
      <c r="AF9" s="592"/>
      <c r="AG9" s="592"/>
      <c r="AH9" s="592"/>
      <c r="AI9" s="592"/>
      <c r="AJ9" s="592"/>
      <c r="AK9" s="1546" t="s">
        <v>1738</v>
      </c>
      <c r="AM9" s="737"/>
      <c r="AN9" s="737" t="str">
        <f>IF(T9="","",T9)</f>
        <v>Добавить значение признака дифференциации</v>
      </c>
      <c r="AO9" s="737"/>
      <c r="AP9" s="737"/>
    </row>
    <row customHeight="1" ht="21" hidden="1">
      <c r="A10" s="1659"/>
      <c r="B10" s="1659"/>
      <c r="C10" s="1659"/>
      <c r="D10" s="1659"/>
      <c r="E10" s="2425"/>
      <c r="F10" s="2425"/>
      <c r="G10" s="2425"/>
      <c r="H10" s="2425"/>
      <c r="I10" s="2453"/>
      <c r="J10" s="1659"/>
      <c r="K10" s="1659"/>
      <c r="L10" s="1660"/>
      <c r="P10" s="2423"/>
      <c r="Q10" s="1747"/>
      <c r="R10" s="577"/>
      <c r="S10" s="1568"/>
      <c r="T10" s="589" t="s">
        <v>1532</v>
      </c>
      <c r="U10" s="592"/>
      <c r="V10" s="592"/>
      <c r="W10" s="592"/>
      <c r="X10" s="592"/>
      <c r="Y10" s="592"/>
      <c r="Z10" s="592"/>
      <c r="AA10" s="592"/>
      <c r="AB10" s="591"/>
      <c r="AC10" s="592"/>
      <c r="AD10" s="592"/>
      <c r="AE10" s="592"/>
      <c r="AF10" s="592"/>
      <c r="AG10" s="592"/>
      <c r="AH10" s="592"/>
      <c r="AI10" s="591"/>
      <c r="AJ10" s="592"/>
      <c r="AK10" s="1737"/>
      <c r="AM10" s="737"/>
      <c r="AN10" s="737" t="str">
        <f>IF(T10="","",T10)</f>
        <v>Добавить группу потребителей</v>
      </c>
      <c r="AO10" s="737"/>
      <c r="AP10" s="737"/>
    </row>
    <row customHeight="1" ht="21" hidden="1">
      <c r="A11" s="1659"/>
      <c r="B11" s="1659"/>
      <c r="C11" s="1659"/>
      <c r="D11" s="1659"/>
      <c r="E11" s="2425"/>
      <c r="F11" s="2425"/>
      <c r="G11" s="2425"/>
      <c r="H11" s="2424"/>
      <c r="I11" s="1659"/>
      <c r="J11" s="1659"/>
      <c r="K11" s="1659"/>
      <c r="L11" s="1660"/>
      <c r="M11" s="1661"/>
      <c r="N11" s="1661"/>
      <c r="O11" s="774"/>
      <c r="P11" s="581"/>
      <c r="Q11" s="601"/>
      <c r="R11" s="576"/>
      <c r="S11" s="1568"/>
      <c r="T11" s="597" t="s">
        <v>1739</v>
      </c>
      <c r="U11" s="592"/>
      <c r="V11" s="592"/>
      <c r="W11" s="592"/>
      <c r="X11" s="592"/>
      <c r="Y11" s="592"/>
      <c r="Z11" s="592"/>
      <c r="AA11" s="592"/>
      <c r="AB11" s="591"/>
      <c r="AC11" s="592"/>
      <c r="AD11" s="592"/>
      <c r="AE11" s="592"/>
      <c r="AF11" s="592"/>
      <c r="AG11" s="592"/>
      <c r="AH11" s="592"/>
      <c r="AI11" s="591"/>
      <c r="AJ11" s="592"/>
      <c r="AK11" s="513"/>
      <c r="AM11" s="737"/>
      <c r="AN11" s="737" t="str">
        <f>IF(T11="","",T11)</f>
        <v>Добавить наименование признака дифференциации</v>
      </c>
      <c r="AO11" s="737"/>
      <c r="AP11" s="737"/>
    </row>
    <row s="10863" customFormat="1" customHeight="1" ht="0.75" hidden="1">
      <c r="A12" s="1638"/>
      <c r="B12" s="1638"/>
      <c r="C12" s="1609"/>
      <c r="D12" s="1609"/>
      <c r="E12" s="2425"/>
      <c r="F12" s="2424"/>
      <c r="G12" s="1609"/>
      <c r="H12" s="1609"/>
      <c r="I12" s="1609"/>
      <c r="J12" s="1609"/>
      <c r="K12" s="1609"/>
      <c r="L12" s="1755"/>
      <c r="M12" s="1616"/>
      <c r="N12" s="1616"/>
      <c r="P12" s="1611"/>
      <c r="Q12" s="1612"/>
      <c r="R12" s="1611"/>
      <c r="S12" s="1617"/>
      <c r="T12" s="1620" t="s">
        <v>1493</v>
      </c>
      <c r="U12" s="1619"/>
      <c r="V12" s="1619"/>
      <c r="W12" s="1619"/>
      <c r="X12" s="1619"/>
      <c r="Y12" s="1619"/>
      <c r="Z12" s="1619"/>
      <c r="AA12" s="1619"/>
      <c r="AB12" s="1619"/>
      <c r="AC12" s="1619"/>
      <c r="AD12" s="1619"/>
      <c r="AE12" s="1619"/>
      <c r="AF12" s="1619"/>
      <c r="AG12" s="1619"/>
      <c r="AH12" s="1619"/>
      <c r="AI12" s="1619"/>
      <c r="AJ12" s="1619"/>
      <c r="AK12" s="1619"/>
      <c r="AM12" s="1029"/>
      <c r="AN12" s="1029" t="str">
        <f>IF(T12="","",T12)</f>
        <v>Добавить централизованную систему для дифференциации</v>
      </c>
      <c r="AO12" s="1029"/>
      <c r="AP12" s="1029"/>
    </row>
    <row s="10863" customFormat="1" customHeight="1" ht="0.75" hidden="1">
      <c r="A13" s="1638"/>
      <c r="B13" s="1638"/>
      <c r="C13" s="1638"/>
      <c r="D13" s="1638"/>
      <c r="E13" s="2424"/>
      <c r="F13" s="1638"/>
      <c r="G13" s="1638"/>
      <c r="H13" s="1638"/>
      <c r="I13" s="1638"/>
      <c r="J13" s="1638"/>
      <c r="K13" s="1638"/>
      <c r="L13" s="1641"/>
      <c r="M13" s="1616"/>
      <c r="N13" s="1616"/>
      <c r="O13" s="755"/>
      <c r="P13" s="610"/>
      <c r="Q13" s="1639"/>
      <c r="R13" s="610"/>
      <c r="S13" s="1617"/>
      <c r="T13" s="1620" t="s">
        <v>1494</v>
      </c>
      <c r="U13" s="1619"/>
      <c r="V13" s="1619"/>
      <c r="W13" s="1619"/>
      <c r="X13" s="1619"/>
      <c r="Y13" s="1619"/>
      <c r="Z13" s="1619"/>
      <c r="AA13" s="1619"/>
      <c r="AB13" s="1619"/>
      <c r="AC13" s="1619"/>
      <c r="AD13" s="1619"/>
      <c r="AE13" s="1619"/>
      <c r="AF13" s="1619"/>
      <c r="AG13" s="1619"/>
      <c r="AH13" s="1619"/>
      <c r="AI13" s="1619"/>
      <c r="AJ13" s="1619"/>
      <c r="AK13" s="1619"/>
      <c r="AM13" s="737"/>
      <c r="AN13" s="737" t="str">
        <f>IF(T13="","",T13)</f>
        <v>Добавить территорию для дифференциации</v>
      </c>
      <c r="AO13" s="737"/>
      <c r="AP13" s="737"/>
    </row>
    <row customHeight="1" ht="14.25" hidden="1">
      <c r="AB14" s="548"/>
      <c r="AI14" s="548"/>
    </row>
    <row customHeight="1" ht="14.25" hidden="1">
      <c r="AC15" s="4098"/>
      <c r="AD15" s="4098"/>
      <c r="AE15" s="4099"/>
      <c r="AF15" s="2432"/>
      <c r="AG15" s="2433" t="s">
        <v>67</v>
      </c>
      <c r="AH15" s="2432"/>
      <c r="AI15" s="2433" t="s">
        <v>67</v>
      </c>
    </row>
    <row customHeight="1" ht="14.25" hidden="1">
      <c r="AC16" s="4098"/>
      <c r="AD16" s="4098"/>
      <c r="AE16" s="4071" t="str">
        <f>AF15&amp;"-"&amp;AH15</f>
        <v>-</v>
      </c>
      <c r="AF16" s="2433"/>
      <c r="AG16" s="2433"/>
      <c r="AH16" s="2433"/>
      <c r="AI16" s="2433"/>
    </row>
    <row customHeight="1" ht="14.25" hidden="1">
      <c r="AI17" s="548"/>
    </row>
    <row s="11074" customFormat="1" customHeight="1" ht="22.5" hidden="1">
      <c r="L18" s="1744"/>
      <c r="M18" s="1658"/>
      <c r="N18" s="1658"/>
      <c r="O18" s="1663" t="s">
        <v>1534</v>
      </c>
      <c r="P18" s="1658"/>
      <c r="Q18" s="1667"/>
      <c r="R18" s="1667"/>
      <c r="S18" s="967"/>
      <c r="Y18" s="1663"/>
      <c r="AA18" s="1663"/>
      <c r="AB18" s="1662"/>
      <c r="AF18" s="1663"/>
      <c r="AH18" s="1663"/>
      <c r="AI18" s="1662"/>
      <c r="AL18" s="748"/>
      <c r="AM18" s="748"/>
      <c r="AN18" s="748"/>
      <c r="AO18" s="748"/>
      <c r="AP18" s="748"/>
    </row>
    <row s="11074" customFormat="1" customHeight="1" ht="14.25" hidden="1">
      <c r="L19" s="1744"/>
      <c r="M19" s="1658"/>
      <c r="N19" s="1658"/>
      <c r="O19" s="1658"/>
      <c r="P19" s="1658"/>
      <c r="Q19" s="1667"/>
      <c r="R19" s="1667"/>
      <c r="S19" s="967"/>
      <c r="AB19" s="1662"/>
      <c r="AI19" s="1662"/>
      <c r="AL19" s="748"/>
      <c r="AM19" s="748"/>
      <c r="AN19" s="748"/>
      <c r="AO19" s="748"/>
      <c r="AP19" s="748"/>
    </row>
    <row s="11074" customFormat="1" customHeight="1" ht="12" hidden="1">
      <c r="L20" s="1744"/>
      <c r="M20" s="1658"/>
      <c r="N20" s="1658"/>
      <c r="O20" s="1660" t="s">
        <v>1535</v>
      </c>
      <c r="P20" s="1658"/>
      <c r="Q20" s="1739"/>
      <c r="R20" s="1739"/>
      <c r="S20" s="967"/>
      <c r="T20" s="1421" t="s">
        <v>1536</v>
      </c>
      <c r="Z20" s="393" t="s">
        <v>1537</v>
      </c>
      <c r="AB20" s="393" t="s">
        <v>1538</v>
      </c>
      <c r="AC20" s="1421" t="s">
        <v>1536</v>
      </c>
      <c r="AG20" s="393" t="s">
        <v>1539</v>
      </c>
      <c r="AI20" s="393" t="s">
        <v>1538</v>
      </c>
    </row>
    <row customHeight="1" ht="14.25" hidden="1">
      <c r="O21" s="1660"/>
    </row>
    <row customHeight="1" ht="14.25" hidden="1">
      <c r="O22" s="1660"/>
    </row>
    <row customHeight="1" ht="14.25">
      <c r="Q23" s="602"/>
      <c r="R23" s="602"/>
      <c r="S23" s="1565"/>
      <c r="T23" s="586"/>
      <c r="U23" s="586"/>
      <c r="V23" s="746"/>
      <c r="W23" s="746"/>
      <c r="X23" s="746"/>
      <c r="Y23" s="746"/>
      <c r="Z23" s="746"/>
      <c r="AA23" s="746"/>
      <c r="AB23" s="746"/>
      <c r="AC23" s="746"/>
      <c r="AD23" s="746"/>
      <c r="AE23" s="746"/>
      <c r="AF23" s="746"/>
      <c r="AG23" s="746"/>
      <c r="AH23" s="746"/>
      <c r="AI23" s="746"/>
    </row>
    <row customHeight="1" ht="32.25">
      <c r="Q24" s="602"/>
      <c r="R24" s="602"/>
      <c r="S24" s="2414" t="str">
        <f>IF(TEMPLATE_GROUP="P",PT_P_FORM_COLDVSNA_4_NAME_FORM,PT_R_FORM_COLDVSNA_16_NAME_FORM)</f>
        <v>Форма 15. Информация о предложении расчетной величины тарифов организации холодного водоснабжения об установлении тарифов в сфере холодного водоснабжения на очередной период регулирования &lt;1&gt;</v>
      </c>
      <c r="T24" s="2414"/>
      <c r="U24" s="2414"/>
      <c r="V24" s="2414"/>
      <c r="W24" s="2414"/>
      <c r="X24" s="2414"/>
      <c r="Y24" s="2414"/>
      <c r="Z24" s="2414"/>
      <c r="AA24" s="2414"/>
      <c r="AB24" s="2414"/>
      <c r="AC24" s="2414"/>
      <c r="AD24" s="2414"/>
      <c r="AE24" s="2414"/>
      <c r="AF24" s="2414"/>
      <c r="AG24" s="2414"/>
      <c r="AH24" s="2414"/>
      <c r="AI24" s="1521"/>
    </row>
    <row customHeight="1" ht="14.25">
      <c r="Q25" s="602"/>
      <c r="R25" s="602"/>
      <c r="S25" s="2415" t="str">
        <f>IF(org=0,"Не определено",org)</f>
        <v>ООО "СамРЭК-Тепло Жигулевск"</v>
      </c>
      <c r="T25" s="2415"/>
      <c r="U25" s="2415"/>
      <c r="V25" s="2415"/>
      <c r="W25" s="2415"/>
      <c r="X25" s="2415"/>
      <c r="Y25" s="2415"/>
      <c r="Z25" s="2415"/>
      <c r="AA25" s="2415"/>
      <c r="AB25" s="2415"/>
      <c r="AC25" s="2415"/>
      <c r="AD25" s="2415"/>
      <c r="AE25" s="2415"/>
      <c r="AF25" s="2415"/>
      <c r="AG25" s="2415"/>
      <c r="AH25" s="2415"/>
      <c r="AI25" s="1521"/>
    </row>
    <row customHeight="1" ht="14.25" hidden="1">
      <c r="Q26" s="602"/>
      <c r="R26" s="602"/>
      <c r="S26" s="1565"/>
      <c r="T26" s="586"/>
      <c r="U26" s="586"/>
      <c r="V26" s="541"/>
      <c r="W26" s="541"/>
      <c r="X26" s="541"/>
      <c r="Y26" s="541"/>
      <c r="Z26" s="541"/>
      <c r="AA26" s="541"/>
      <c r="AB26" s="541"/>
      <c r="AC26" s="541"/>
      <c r="AD26" s="541"/>
      <c r="AE26" s="541"/>
      <c r="AF26" s="541"/>
      <c r="AG26" s="541"/>
      <c r="AH26" s="541"/>
      <c r="AI26" s="541"/>
      <c r="AJ26" s="746"/>
    </row>
    <row s="10859" customFormat="1" customHeight="1" ht="25.5" hidden="1">
      <c r="A27" s="1664"/>
      <c r="B27" s="1664"/>
      <c r="C27" s="1664"/>
      <c r="D27" s="1664"/>
      <c r="E27" s="1664"/>
      <c r="F27" s="1664"/>
      <c r="G27" s="1664"/>
      <c r="H27" s="1664"/>
      <c r="I27" s="1664"/>
      <c r="J27" s="1664"/>
      <c r="K27" s="1664"/>
      <c r="L27" s="1665"/>
      <c r="M27" s="1664"/>
      <c r="N27" s="1664"/>
      <c r="O27" s="1664"/>
      <c r="S27" s="2416" t="s">
        <v>39</v>
      </c>
      <c r="T27" s="2416"/>
      <c r="U27" s="1668"/>
      <c r="V27" s="2417" t="str">
        <f>IF(TITLE_NAME_OR_PR_CHANGE="",IF(TITLE_NAME_OR_PR="","",TITLE_NAME_OR_PR),TITLE_NAME_OR_PR_CHANGE)</f>
        <v/>
      </c>
      <c r="W27" s="2417"/>
      <c r="X27" s="2417"/>
      <c r="Y27" s="2417"/>
      <c r="Z27" s="2417"/>
      <c r="AA27" s="2417"/>
      <c r="AB27" s="547"/>
      <c r="AC27" s="2417" t="str">
        <f>IF(TITLE_NAME_OR_PR_CHANGE="",IF(TITLE_NAME_OR_PR="","",TITLE_NAME_OR_PR),TITLE_NAME_OR_PR_CHANGE)</f>
        <v/>
      </c>
      <c r="AD27" s="2417"/>
      <c r="AE27" s="2417"/>
      <c r="AF27" s="2417"/>
      <c r="AG27" s="2417"/>
      <c r="AH27" s="2417"/>
      <c r="AI27" s="547"/>
      <c r="AJ27" s="547"/>
      <c r="AK27" s="490"/>
      <c r="AL27" s="593"/>
      <c r="AM27" s="593"/>
      <c r="AN27" s="593"/>
      <c r="AO27" s="593"/>
      <c r="AP27" s="593"/>
    </row>
    <row s="10859" customFormat="1" customHeight="1" ht="18.75" hidden="1">
      <c r="A28" s="1664"/>
      <c r="B28" s="1664"/>
      <c r="C28" s="1664"/>
      <c r="D28" s="1664"/>
      <c r="E28" s="1664"/>
      <c r="F28" s="1664"/>
      <c r="G28" s="1664"/>
      <c r="H28" s="1664"/>
      <c r="I28" s="1664"/>
      <c r="J28" s="1664"/>
      <c r="K28" s="1664"/>
      <c r="L28" s="1665"/>
      <c r="M28" s="1664"/>
      <c r="N28" s="1664"/>
      <c r="O28" s="1664"/>
      <c r="S28" s="2416" t="s">
        <v>1540</v>
      </c>
      <c r="T28" s="2416"/>
      <c r="U28" s="1668"/>
      <c r="V28" s="2417" t="str">
        <f>IF(TITLE_DATE_CHANGE_PERIOD="",IF(TITLE_DATE_PR="","",TITLE_DATE_PR),TITLE_DATE_CHANGE_PERIOD)</f>
        <v/>
      </c>
      <c r="W28" s="2417"/>
      <c r="X28" s="2417"/>
      <c r="Y28" s="2417"/>
      <c r="Z28" s="2417"/>
      <c r="AA28" s="2417"/>
      <c r="AB28" s="547"/>
      <c r="AC28" s="2417" t="str">
        <f>IF(TITLE_DATE_CHANGE_PERIOD="",IF(TITLE_DATE_PR="","",TITLE_DATE_PR),TITLE_DATE_CHANGE_PERIOD)</f>
        <v/>
      </c>
      <c r="AD28" s="2417"/>
      <c r="AE28" s="2417"/>
      <c r="AF28" s="2417"/>
      <c r="AG28" s="2417"/>
      <c r="AH28" s="2417"/>
      <c r="AI28" s="547"/>
      <c r="AJ28" s="547"/>
      <c r="AK28" s="490"/>
      <c r="AL28" s="593"/>
      <c r="AM28" s="593"/>
      <c r="AN28" s="593"/>
      <c r="AO28" s="593"/>
      <c r="AP28" s="593"/>
    </row>
    <row s="10859" customFormat="1" customHeight="1" ht="18.75" hidden="1">
      <c r="A29" s="1664"/>
      <c r="B29" s="1664"/>
      <c r="C29" s="1664"/>
      <c r="D29" s="1664"/>
      <c r="E29" s="1664"/>
      <c r="F29" s="1664"/>
      <c r="G29" s="1664"/>
      <c r="H29" s="1664"/>
      <c r="I29" s="1664"/>
      <c r="J29" s="1664"/>
      <c r="K29" s="1664"/>
      <c r="L29" s="1665"/>
      <c r="M29" s="1664"/>
      <c r="N29" s="1664"/>
      <c r="O29" s="1664"/>
      <c r="S29" s="2416" t="s">
        <v>1541</v>
      </c>
      <c r="T29" s="2416"/>
      <c r="U29" s="1668"/>
      <c r="V29" s="2417" t="str">
        <f>IF(TITLE_NUMBER_PR_CHANGE="",IF(TITLE_NUMBER_PR="","",TITLE_NUMBER_PR),TITLE_NUMBER_PR_CHANGE)</f>
        <v/>
      </c>
      <c r="W29" s="2417"/>
      <c r="X29" s="2417"/>
      <c r="Y29" s="2417"/>
      <c r="Z29" s="2417"/>
      <c r="AA29" s="2417"/>
      <c r="AB29" s="547"/>
      <c r="AC29" s="2417" t="str">
        <f>IF(TITLE_NUMBER_PR_CHANGE="",IF(TITLE_NUMBER_PR="","",TITLE_NUMBER_PR),TITLE_NUMBER_PR_CHANGE)</f>
        <v/>
      </c>
      <c r="AD29" s="2417"/>
      <c r="AE29" s="2417"/>
      <c r="AF29" s="2417"/>
      <c r="AG29" s="2417"/>
      <c r="AH29" s="2417"/>
      <c r="AI29" s="547"/>
      <c r="AJ29" s="547"/>
      <c r="AK29" s="490"/>
      <c r="AL29" s="593"/>
      <c r="AM29" s="593"/>
      <c r="AN29" s="593"/>
      <c r="AO29" s="593"/>
      <c r="AP29" s="593"/>
    </row>
    <row s="10859" customFormat="1" customHeight="1" ht="18.75" hidden="1">
      <c r="A30" s="1664"/>
      <c r="B30" s="1664"/>
      <c r="C30" s="1664"/>
      <c r="D30" s="1664"/>
      <c r="E30" s="1664"/>
      <c r="F30" s="1664"/>
      <c r="G30" s="1664"/>
      <c r="H30" s="1664"/>
      <c r="I30" s="1664"/>
      <c r="J30" s="1664"/>
      <c r="K30" s="1664"/>
      <c r="L30" s="1665"/>
      <c r="M30" s="1664"/>
      <c r="N30" s="1664"/>
      <c r="O30" s="1664"/>
      <c r="S30" s="2416" t="s">
        <v>40</v>
      </c>
      <c r="T30" s="2416"/>
      <c r="U30" s="1668"/>
      <c r="V30" s="2417" t="str">
        <f>IF(TITLE_IST_PUB_CHANGE="",IF(TITLE_IST_PUB="","",TITLE_IST_PUB),TITLE_IST_PUB_CHANGE)</f>
        <v/>
      </c>
      <c r="W30" s="2417"/>
      <c r="X30" s="2417"/>
      <c r="Y30" s="2417"/>
      <c r="Z30" s="2417"/>
      <c r="AA30" s="2417"/>
      <c r="AB30" s="547"/>
      <c r="AC30" s="2417" t="str">
        <f>IF(TITLE_IST_PUB_CHANGE="",IF(TITLE_IST_PUB="","",TITLE_IST_PUB),TITLE_IST_PUB_CHANGE)</f>
        <v/>
      </c>
      <c r="AD30" s="2417"/>
      <c r="AE30" s="2417"/>
      <c r="AF30" s="2417"/>
      <c r="AG30" s="2417"/>
      <c r="AH30" s="2417"/>
      <c r="AI30" s="547"/>
      <c r="AJ30" s="547"/>
      <c r="AK30" s="490"/>
      <c r="AL30" s="593"/>
      <c r="AM30" s="593"/>
      <c r="AN30" s="593"/>
      <c r="AO30" s="593"/>
      <c r="AP30" s="593"/>
    </row>
    <row customHeight="1" ht="14.25" hidden="1">
      <c r="Q31" s="602"/>
      <c r="R31" s="602"/>
      <c r="S31" s="1565"/>
      <c r="T31" s="586"/>
      <c r="U31" s="586"/>
      <c r="V31" s="541"/>
      <c r="W31" s="541"/>
      <c r="X31" s="541"/>
      <c r="Y31" s="541"/>
      <c r="Z31" s="541"/>
      <c r="AA31" s="541"/>
      <c r="AB31" s="541"/>
      <c r="AC31" s="541"/>
      <c r="AD31" s="541"/>
      <c r="AE31" s="541"/>
      <c r="AF31" s="541"/>
      <c r="AG31" s="541"/>
      <c r="AH31" s="541"/>
      <c r="AI31" s="541"/>
      <c r="AJ31" s="746"/>
    </row>
    <row s="10859" customFormat="1" customHeight="1" ht="18.75" hidden="1">
      <c r="A32" s="1664"/>
      <c r="B32" s="1664"/>
      <c r="C32" s="1664"/>
      <c r="D32" s="1664"/>
      <c r="E32" s="1664"/>
      <c r="F32" s="1664"/>
      <c r="G32" s="1664"/>
      <c r="H32" s="1664"/>
      <c r="I32" s="1664"/>
      <c r="J32" s="1664"/>
      <c r="K32" s="1664"/>
      <c r="L32" s="1665"/>
      <c r="M32" s="1664"/>
      <c r="N32" s="1664"/>
      <c r="O32" s="1664"/>
      <c r="S32" s="2416" t="s">
        <v>1542</v>
      </c>
      <c r="T32" s="2416"/>
      <c r="U32" s="1668"/>
      <c r="V32" s="2417" t="str">
        <f>IF(TITLE_DATE_CHANGE_PERIOD="",IF(TITLE_DATE_PR="","",TITLE_DATE_PR),TITLE_DATE_CHANGE_PERIOD)</f>
        <v/>
      </c>
      <c r="W32" s="2417"/>
      <c r="X32" s="2417"/>
      <c r="Y32" s="2417"/>
      <c r="Z32" s="2417"/>
      <c r="AA32" s="2417"/>
      <c r="AB32" s="547"/>
      <c r="AC32" s="2417" t="str">
        <f>IF(TITLE_DATE_CHANGE_PERIOD="",IF(TITLE_DATE_PR="","",TITLE_DATE_PR),TITLE_DATE_CHANGE_PERIOD)</f>
        <v/>
      </c>
      <c r="AD32" s="2417"/>
      <c r="AE32" s="2417"/>
      <c r="AF32" s="2417"/>
      <c r="AG32" s="2417"/>
      <c r="AH32" s="2417"/>
      <c r="AI32" s="547"/>
      <c r="AJ32" s="547"/>
      <c r="AK32" s="490"/>
      <c r="AL32" s="593"/>
      <c r="AM32" s="593"/>
      <c r="AN32" s="593"/>
      <c r="AO32" s="593"/>
      <c r="AP32" s="593"/>
    </row>
    <row s="10859" customFormat="1" customHeight="1" ht="18.75" hidden="1">
      <c r="A33" s="1664"/>
      <c r="B33" s="1664"/>
      <c r="C33" s="1664"/>
      <c r="D33" s="1664"/>
      <c r="E33" s="1664"/>
      <c r="F33" s="1664"/>
      <c r="G33" s="1664"/>
      <c r="H33" s="1664"/>
      <c r="I33" s="1664"/>
      <c r="J33" s="1664"/>
      <c r="K33" s="1664"/>
      <c r="L33" s="1665"/>
      <c r="M33" s="1664"/>
      <c r="N33" s="1664"/>
      <c r="O33" s="1664"/>
      <c r="S33" s="2416" t="s">
        <v>1543</v>
      </c>
      <c r="T33" s="2416"/>
      <c r="U33" s="1668"/>
      <c r="V33" s="2417" t="str">
        <f>IF(TITLE_NUMBER_PR_CHANGE="",IF(TITLE_NUMBER_PR="","",TITLE_NUMBER_PR),TITLE_NUMBER_PR_CHANGE)</f>
        <v/>
      </c>
      <c r="W33" s="2417"/>
      <c r="X33" s="2417"/>
      <c r="Y33" s="2417"/>
      <c r="Z33" s="2417"/>
      <c r="AA33" s="2417"/>
      <c r="AB33" s="547"/>
      <c r="AC33" s="2417" t="str">
        <f>IF(TITLE_NUMBER_PR_CHANGE="",IF(TITLE_NUMBER_PR="","",TITLE_NUMBER_PR),TITLE_NUMBER_PR_CHANGE)</f>
        <v/>
      </c>
      <c r="AD33" s="2417"/>
      <c r="AE33" s="2417"/>
      <c r="AF33" s="2417"/>
      <c r="AG33" s="2417"/>
      <c r="AH33" s="2417"/>
      <c r="AI33" s="547"/>
      <c r="AJ33" s="547"/>
      <c r="AK33" s="490"/>
      <c r="AL33" s="593"/>
      <c r="AM33" s="593"/>
      <c r="AN33" s="593"/>
      <c r="AO33" s="593"/>
      <c r="AP33" s="593"/>
    </row>
    <row s="10859" customFormat="1" customHeight="1" ht="0.75">
      <c r="A34" s="1664"/>
      <c r="B34" s="1664"/>
      <c r="C34" s="1664"/>
      <c r="D34" s="1664"/>
      <c r="E34" s="1664"/>
      <c r="F34" s="1664"/>
      <c r="G34" s="1664"/>
      <c r="H34" s="1664"/>
      <c r="I34" s="1664"/>
      <c r="J34" s="1664"/>
      <c r="K34" s="1664"/>
      <c r="L34" s="1665"/>
      <c r="M34" s="1664"/>
      <c r="N34" s="1664"/>
      <c r="O34" s="1664"/>
      <c r="S34" s="543"/>
      <c r="T34" s="543"/>
      <c r="U34" s="1751"/>
      <c r="V34" s="547"/>
      <c r="W34" s="547"/>
      <c r="X34" s="547"/>
      <c r="Y34" s="547"/>
      <c r="Z34" s="547"/>
      <c r="AA34" s="547"/>
      <c r="AB34" s="488" t="s">
        <v>1544</v>
      </c>
      <c r="AC34" s="547"/>
      <c r="AD34" s="547"/>
      <c r="AE34" s="547"/>
      <c r="AF34" s="547"/>
      <c r="AG34" s="547"/>
      <c r="AH34" s="547"/>
      <c r="AI34" s="488" t="s">
        <v>1544</v>
      </c>
      <c r="AL34" s="593"/>
      <c r="AM34" s="593"/>
      <c r="AN34" s="593"/>
      <c r="AO34" s="593"/>
      <c r="AP34" s="593"/>
    </row>
    <row customHeight="1" ht="14.25">
      <c r="Q35" s="602"/>
      <c r="R35" s="602"/>
      <c r="S35" s="1565"/>
      <c r="T35" s="586"/>
      <c r="U35" s="1522"/>
      <c r="V35" s="2418"/>
      <c r="W35" s="2418"/>
      <c r="X35" s="2418"/>
      <c r="Y35" s="2418"/>
      <c r="Z35" s="2418"/>
      <c r="AA35" s="2418"/>
      <c r="AB35" s="2418"/>
      <c r="AC35" s="2418"/>
      <c r="AD35" s="2418"/>
      <c r="AE35" s="2418"/>
      <c r="AF35" s="2418"/>
      <c r="AG35" s="2418"/>
      <c r="AH35" s="2418"/>
      <c r="AI35" s="2418"/>
    </row>
    <row customHeight="1" ht="14.25">
      <c r="Q36" s="602"/>
      <c r="R36" s="602"/>
      <c r="S36" s="2277" t="s">
        <v>362</v>
      </c>
      <c r="T36" s="2277"/>
      <c r="U36" s="2277"/>
      <c r="V36" s="2277"/>
      <c r="W36" s="2277"/>
      <c r="X36" s="2277"/>
      <c r="Y36" s="2277"/>
      <c r="Z36" s="2277"/>
      <c r="AA36" s="2277"/>
      <c r="AB36" s="2277"/>
      <c r="AC36" s="2277"/>
      <c r="AD36" s="2277"/>
      <c r="AE36" s="2277"/>
      <c r="AF36" s="2277"/>
      <c r="AG36" s="2277"/>
      <c r="AH36" s="2277"/>
      <c r="AI36" s="2277"/>
      <c r="AJ36" s="2277"/>
      <c r="AK36" s="2277" t="s">
        <v>363</v>
      </c>
    </row>
    <row customHeight="1" ht="14.25">
      <c r="Q37" s="602"/>
      <c r="R37" s="602"/>
      <c r="S37" s="2440" t="s">
        <v>88</v>
      </c>
      <c r="T37" s="2301" t="s">
        <v>1545</v>
      </c>
      <c r="U37" s="511"/>
      <c r="V37" s="2441" t="s">
        <v>1546</v>
      </c>
      <c r="W37" s="2442"/>
      <c r="X37" s="2442"/>
      <c r="Y37" s="2442"/>
      <c r="Z37" s="2442"/>
      <c r="AA37" s="2443"/>
      <c r="AB37" s="2444" t="s">
        <v>1547</v>
      </c>
      <c r="AC37" s="2441" t="s">
        <v>1546</v>
      </c>
      <c r="AD37" s="2442"/>
      <c r="AE37" s="2442"/>
      <c r="AF37" s="2442"/>
      <c r="AG37" s="2442"/>
      <c r="AH37" s="2443"/>
      <c r="AI37" s="2444" t="s">
        <v>1548</v>
      </c>
      <c r="AJ37" s="2447" t="s">
        <v>1549</v>
      </c>
      <c r="AK37" s="2277"/>
    </row>
    <row customHeight="1" ht="33.75">
      <c r="Q38" s="602"/>
      <c r="R38" s="602"/>
      <c r="S38" s="2440"/>
      <c r="T38" s="2301"/>
      <c r="U38" s="1289"/>
      <c r="V38" s="1749" t="s">
        <v>1740</v>
      </c>
      <c r="W38" s="2428" t="s">
        <v>1552</v>
      </c>
      <c r="X38" s="2429"/>
      <c r="Y38" s="2434" t="s">
        <v>1553</v>
      </c>
      <c r="Z38" s="2435"/>
      <c r="AA38" s="2436"/>
      <c r="AB38" s="2445"/>
      <c r="AC38" s="1749" t="s">
        <v>1740</v>
      </c>
      <c r="AD38" s="2428" t="s">
        <v>1552</v>
      </c>
      <c r="AE38" s="2429"/>
      <c r="AF38" s="2434" t="s">
        <v>1553</v>
      </c>
      <c r="AG38" s="2435"/>
      <c r="AH38" s="2436"/>
      <c r="AI38" s="2445"/>
      <c r="AJ38" s="2448"/>
      <c r="AK38" s="2277"/>
    </row>
    <row customHeight="1" ht="33.75">
      <c r="A39" s="1666"/>
      <c r="B39" s="1666" t="s">
        <v>212</v>
      </c>
      <c r="C39" s="1666" t="s">
        <v>213</v>
      </c>
      <c r="D39" s="1666" t="s">
        <v>214</v>
      </c>
      <c r="E39" s="1660" t="s">
        <v>1554</v>
      </c>
      <c r="F39" s="1660" t="s">
        <v>1555</v>
      </c>
      <c r="G39" s="1660" t="s">
        <v>1556</v>
      </c>
      <c r="H39" s="1660"/>
      <c r="I39" s="1660" t="s">
        <v>1741</v>
      </c>
      <c r="J39" s="1660" t="s">
        <v>1559</v>
      </c>
      <c r="K39" s="1660" t="s">
        <v>1742</v>
      </c>
      <c r="L39" s="1660" t="s">
        <v>1535</v>
      </c>
      <c r="Q39" s="602"/>
      <c r="R39" s="602"/>
      <c r="S39" s="2440"/>
      <c r="T39" s="2301"/>
      <c r="U39" s="512"/>
      <c r="V39" s="1749" t="s">
        <v>1743</v>
      </c>
      <c r="W39" s="1497" t="s">
        <v>1744</v>
      </c>
      <c r="X39" s="1497" t="s">
        <v>1745</v>
      </c>
      <c r="Y39" s="1752" t="s">
        <v>1563</v>
      </c>
      <c r="Z39" s="2437" t="s">
        <v>1564</v>
      </c>
      <c r="AA39" s="2438"/>
      <c r="AB39" s="2446"/>
      <c r="AC39" s="1749" t="s">
        <v>1743</v>
      </c>
      <c r="AD39" s="1497" t="s">
        <v>1744</v>
      </c>
      <c r="AE39" s="1497" t="s">
        <v>1745</v>
      </c>
      <c r="AF39" s="1752" t="s">
        <v>1563</v>
      </c>
      <c r="AG39" s="2437" t="s">
        <v>1564</v>
      </c>
      <c r="AH39" s="2438"/>
      <c r="AI39" s="2446"/>
      <c r="AJ39" s="2449"/>
      <c r="AK39" s="2277"/>
    </row>
    <row s="10822" customFormat="1" customHeight="1" ht="11.25" hidden="1">
      <c r="A40" s="1666"/>
      <c r="B40" s="1666"/>
      <c r="C40" s="1666"/>
      <c r="D40" s="1666"/>
      <c r="E40" s="1666"/>
      <c r="F40" s="1666"/>
      <c r="G40" s="1666"/>
      <c r="H40" s="1666"/>
      <c r="I40" s="1666"/>
      <c r="J40" s="1666"/>
      <c r="K40" s="1666"/>
      <c r="L40" s="1660"/>
      <c r="M40" s="1658"/>
      <c r="N40" s="1658"/>
      <c r="O40" s="1658"/>
      <c r="P40" s="1524"/>
      <c r="Q40" s="1525"/>
      <c r="R40" s="1540">
        <v>1</v>
      </c>
      <c r="S40" s="1567" t="s">
        <v>109</v>
      </c>
      <c r="T40" s="1541" t="s">
        <v>110</v>
      </c>
      <c r="U40" s="1523" t="str">
        <f>OFFSET(U40,0,-1)</f>
        <v>2</v>
      </c>
      <c r="V40" s="1748">
        <f>OFFSET(V40,0,-1)+1</f>
        <v>3</v>
      </c>
      <c r="W40" s="1748">
        <f>OFFSET(W40,0,-1)+1</f>
        <v>4</v>
      </c>
      <c r="X40" s="1748">
        <f>OFFSET(X40,0,-1)+1</f>
        <v>5</v>
      </c>
      <c r="Y40" s="1748">
        <f>OFFSET(Y40,0,-1)+1</f>
        <v>6</v>
      </c>
      <c r="Z40" s="2439">
        <f>OFFSET(Z40,0,-1)+1</f>
        <v>7</v>
      </c>
      <c r="AA40" s="2439"/>
      <c r="AB40" s="1748">
        <f>OFFSET(AB40,0,-2)+1</f>
        <v>8</v>
      </c>
      <c r="AC40" s="1748">
        <f>OFFSET(AC40,0,-1)+1</f>
        <v>9</v>
      </c>
      <c r="AD40" s="1748">
        <f>OFFSET(AD40,0,-1)+1</f>
        <v>10</v>
      </c>
      <c r="AE40" s="1748">
        <f>OFFSET(AE40,0,-1)+1</f>
        <v>11</v>
      </c>
      <c r="AF40" s="1748">
        <f>OFFSET(AF40,0,-1)+1</f>
        <v>12</v>
      </c>
      <c r="AG40" s="2439">
        <f>OFFSET(AG40,0,-1)+1</f>
        <v>13</v>
      </c>
      <c r="AH40" s="2439"/>
      <c r="AI40" s="1748">
        <f>OFFSET(AI40,0,-2)+1</f>
        <v>14</v>
      </c>
      <c r="AJ40" s="1523">
        <f>OFFSET(AJ40,0,-1)</f>
        <v>14</v>
      </c>
      <c r="AK40" s="1748">
        <f>OFFSET(AK40,0,-1)+1</f>
        <v>15</v>
      </c>
      <c r="AL40" s="748"/>
      <c r="AM40" s="748"/>
      <c r="AN40" s="748"/>
      <c r="AO40" s="748"/>
      <c r="AP40" s="748"/>
    </row>
    <row customHeight="1" ht="23.25">
      <c r="A41" s="1659" t="s">
        <v>298</v>
      </c>
      <c r="B41" s="1659"/>
      <c r="C41" s="1659"/>
      <c r="D41" s="1659"/>
      <c r="E41" s="2424">
        <v>1</v>
      </c>
      <c r="F41" s="1659"/>
      <c r="G41" s="1659"/>
      <c r="H41" s="1659"/>
      <c r="I41" s="1659"/>
      <c r="J41" s="1659"/>
      <c r="K41" s="1659"/>
      <c r="L41" s="1660"/>
      <c r="M41" s="1661"/>
      <c r="N41" s="1661"/>
      <c r="O41" s="1661"/>
      <c r="P41" s="582"/>
      <c r="Q41" s="581"/>
      <c r="R41" s="576"/>
      <c r="S41" s="1754">
        <f>INDEX(PT_DIFFERENTIATION_NUM_NTAR,MATCH(A41,PT_DIFFERENTIATION_NTAR_ID,0))</f>
        <v>0</v>
      </c>
      <c r="T41" s="508" t="s">
        <v>200</v>
      </c>
      <c r="U41" s="510"/>
      <c r="V41" s="4037"/>
      <c r="W41" s="4038"/>
      <c r="X41" s="4038"/>
      <c r="Y41" s="4038"/>
      <c r="Z41" s="4038"/>
      <c r="AA41" s="4038"/>
      <c r="AB41" s="4039"/>
      <c r="AC41" s="4037" t="str">
        <f>INDEX(PT_DIFFERENTIATION_NTAR,MATCH(A41,PT_DIFFERENTIATION_NTAR_ID,0))</f>
        <v/>
      </c>
      <c r="AD41" s="4038"/>
      <c r="AE41" s="4038"/>
      <c r="AF41" s="4038"/>
      <c r="AG41" s="4038"/>
      <c r="AH41" s="4038"/>
      <c r="AI41" s="4038"/>
      <c r="AJ41" s="4039"/>
      <c r="AK41" s="1546"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737"/>
      <c r="AN41" s="737" t="str">
        <f>IF(T41="","",T41)</f>
        <v>Наименование тарифа</v>
      </c>
      <c r="AO41" s="737"/>
      <c r="AP41" s="737"/>
    </row>
    <row customHeight="1" ht="23.25">
      <c r="A42" s="1659" t="s">
        <v>298</v>
      </c>
      <c r="B42" s="1659" t="s">
        <v>299</v>
      </c>
      <c r="C42" s="1659"/>
      <c r="D42" s="1659"/>
      <c r="E42" s="2425"/>
      <c r="F42" s="2424">
        <v>1</v>
      </c>
      <c r="G42" s="1659"/>
      <c r="H42" s="1659"/>
      <c r="I42" s="1659"/>
      <c r="J42" s="1659"/>
      <c r="K42" s="1659"/>
      <c r="L42" s="1660"/>
      <c r="M42" s="1661"/>
      <c r="N42" s="1661"/>
      <c r="O42" s="1661"/>
      <c r="P42" s="1750"/>
      <c r="Q42" s="573"/>
      <c r="R42" s="574"/>
      <c r="S42" s="1754" t="str">
        <f>INDEX(PT_DIFFERENTIATION_NUM_TER,MATCH(B42,PT_DIFFERENTIATION_TER_ID,0))</f>
        <v>.</v>
      </c>
      <c r="T42" s="520" t="s">
        <v>1517</v>
      </c>
      <c r="U42" s="510"/>
      <c r="V42" s="4037"/>
      <c r="W42" s="4038"/>
      <c r="X42" s="4038"/>
      <c r="Y42" s="4038"/>
      <c r="Z42" s="4038"/>
      <c r="AA42" s="4038"/>
      <c r="AB42" s="4039"/>
      <c r="AC42" s="4037" t="str">
        <f>INDEX(PT_DIFFERENTIATION_TER,MATCH(B42,PT_DIFFERENTIATION_TER_ID,0))</f>
        <v/>
      </c>
      <c r="AD42" s="4038"/>
      <c r="AE42" s="4038"/>
      <c r="AF42" s="4038"/>
      <c r="AG42" s="4038"/>
      <c r="AH42" s="4038"/>
      <c r="AI42" s="4038"/>
      <c r="AJ42" s="4039"/>
      <c r="AK42" s="1546" t="s">
        <v>1518</v>
      </c>
      <c r="AM42" s="737"/>
      <c r="AN42" s="737" t="str">
        <f>IF(T42="","",T42)</f>
        <v>Территория действия тарифа</v>
      </c>
      <c r="AO42" s="737"/>
      <c r="AP42" s="737"/>
    </row>
    <row customHeight="1" ht="23.25">
      <c r="A43" s="1659" t="s">
        <v>298</v>
      </c>
      <c r="B43" s="1659" t="s">
        <v>299</v>
      </c>
      <c r="C43" s="1659" t="s">
        <v>300</v>
      </c>
      <c r="D43" s="1659"/>
      <c r="E43" s="2425"/>
      <c r="F43" s="2425"/>
      <c r="G43" s="2424">
        <v>1</v>
      </c>
      <c r="H43" s="1659"/>
      <c r="I43" s="1659"/>
      <c r="J43" s="1659"/>
      <c r="K43" s="1659"/>
      <c r="L43" s="1660"/>
      <c r="M43" s="1661"/>
      <c r="N43" s="1661"/>
      <c r="O43" s="1661"/>
      <c r="P43" s="575"/>
      <c r="Q43" s="573"/>
      <c r="R43" s="574"/>
      <c r="S43" s="1754" t="str">
        <f>INDEX(PT_DIFFERENTIATION_NUM_CS,MATCH(C43,PT_DIFFERENTIATION_CS_ID,0))</f>
        <v>..</v>
      </c>
      <c r="T43" s="521" t="s">
        <v>1732</v>
      </c>
      <c r="U43" s="510"/>
      <c r="V43" s="4037"/>
      <c r="W43" s="4038"/>
      <c r="X43" s="4038"/>
      <c r="Y43" s="4038"/>
      <c r="Z43" s="4038"/>
      <c r="AA43" s="4038"/>
      <c r="AB43" s="4039"/>
      <c r="AC43" s="4037" t="str">
        <f>INDEX(PT_DIFFERENTIATION_CS,MATCH(C43,PT_DIFFERENTIATION_CS_ID,0))</f>
        <v/>
      </c>
      <c r="AD43" s="4038"/>
      <c r="AE43" s="4038"/>
      <c r="AF43" s="4038"/>
      <c r="AG43" s="4038"/>
      <c r="AH43" s="4038"/>
      <c r="AI43" s="4038"/>
      <c r="AJ43" s="4039"/>
      <c r="AK43" s="1546" t="s">
        <v>1733</v>
      </c>
      <c r="AM43" s="737"/>
      <c r="AN43" s="737" t="str">
        <f>IF(T43="","",T43)</f>
        <v>Наименование централизованной системы холодного водоснабжения</v>
      </c>
      <c r="AO43" s="737"/>
      <c r="AP43" s="737"/>
    </row>
    <row customHeight="1" ht="23.25">
      <c r="A44" s="1659" t="s">
        <v>298</v>
      </c>
      <c r="B44" s="1659" t="s">
        <v>299</v>
      </c>
      <c r="C44" s="1659" t="s">
        <v>300</v>
      </c>
      <c r="D44" s="1659" t="s">
        <v>1750</v>
      </c>
      <c r="E44" s="2425"/>
      <c r="F44" s="2425"/>
      <c r="G44" s="2425"/>
      <c r="H44" s="2425"/>
      <c r="I44" s="2453" t="str">
        <f>S43&amp;".1"</f>
        <v>...1</v>
      </c>
      <c r="J44" s="1659"/>
      <c r="K44" s="1659"/>
      <c r="L44" s="1660"/>
      <c r="P44" s="2423">
        <v>1</v>
      </c>
      <c r="Q44" s="1747"/>
      <c r="R44" s="577"/>
      <c r="S44" s="1754" t="str">
        <f>$I44</f>
        <v>...1</v>
      </c>
      <c r="T44" s="495" t="s">
        <v>1734</v>
      </c>
      <c r="U44" s="510"/>
      <c r="V44" s="2574"/>
      <c r="W44" s="2575"/>
      <c r="X44" s="2575"/>
      <c r="Y44" s="2575"/>
      <c r="Z44" s="2575"/>
      <c r="AA44" s="2575"/>
      <c r="AB44" s="2576"/>
      <c r="AC44" s="2577"/>
      <c r="AD44" s="2578"/>
      <c r="AE44" s="2578"/>
      <c r="AF44" s="2578"/>
      <c r="AG44" s="2578"/>
      <c r="AH44" s="2578"/>
      <c r="AI44" s="2578"/>
      <c r="AJ44" s="2579"/>
      <c r="AK44" s="1546" t="s">
        <v>1735</v>
      </c>
      <c r="AM44" s="737"/>
      <c r="AN44" s="737" t="str">
        <f>IF(T44="","",T44)</f>
        <v>Наименование признака дифференциации</v>
      </c>
      <c r="AO44" s="737"/>
      <c r="AP44" s="737"/>
    </row>
    <row customHeight="1" ht="23.25">
      <c r="A45" s="1659" t="s">
        <v>298</v>
      </c>
      <c r="B45" s="1659" t="s">
        <v>299</v>
      </c>
      <c r="C45" s="1659" t="s">
        <v>300</v>
      </c>
      <c r="D45" s="1659" t="s">
        <v>1750</v>
      </c>
      <c r="E45" s="2425"/>
      <c r="F45" s="2425"/>
      <c r="G45" s="2425"/>
      <c r="H45" s="2425"/>
      <c r="I45" s="2454"/>
      <c r="J45" s="2422" t="str">
        <f>I44&amp;".1"</f>
        <v>...1.1</v>
      </c>
      <c r="K45" s="1659"/>
      <c r="L45" s="1660" t="s">
        <v>1526</v>
      </c>
      <c r="P45" s="2423"/>
      <c r="Q45" s="2423">
        <v>1</v>
      </c>
      <c r="R45" s="578"/>
      <c r="S45" s="1754" t="str">
        <f>$J45</f>
        <v>...1.1</v>
      </c>
      <c r="T45" s="496" t="s">
        <v>1527</v>
      </c>
      <c r="U45" s="510"/>
      <c r="V45" s="2411"/>
      <c r="W45" s="2412"/>
      <c r="X45" s="2412"/>
      <c r="Y45" s="2412"/>
      <c r="Z45" s="2412"/>
      <c r="AA45" s="2412"/>
      <c r="AB45" s="2413"/>
      <c r="AC45" s="2411"/>
      <c r="AD45" s="2412"/>
      <c r="AE45" s="2412"/>
      <c r="AF45" s="2412"/>
      <c r="AG45" s="2412"/>
      <c r="AH45" s="2412"/>
      <c r="AI45" s="2412"/>
      <c r="AJ45" s="2413"/>
      <c r="AK45" s="1602" t="s">
        <v>1736</v>
      </c>
      <c r="AM45" s="737"/>
      <c r="AN45" s="737" t="str">
        <f>IF(T45="","",T45)</f>
        <v>Группа потребителей</v>
      </c>
      <c r="AO45" s="737"/>
      <c r="AP45" s="737"/>
    </row>
    <row customHeight="1" ht="23.25">
      <c r="A46" s="1659" t="s">
        <v>298</v>
      </c>
      <c r="B46" s="1659" t="s">
        <v>299</v>
      </c>
      <c r="C46" s="1659" t="s">
        <v>300</v>
      </c>
      <c r="D46" s="1659" t="s">
        <v>1750</v>
      </c>
      <c r="E46" s="2425"/>
      <c r="F46" s="2425"/>
      <c r="G46" s="2425"/>
      <c r="H46" s="2425"/>
      <c r="I46" s="2454"/>
      <c r="J46" s="2455"/>
      <c r="K46" s="2422" t="str">
        <f>J45&amp;".1"</f>
        <v>...1.1.1</v>
      </c>
      <c r="L46" s="1660"/>
      <c r="P46" s="2423"/>
      <c r="Q46" s="2423"/>
      <c r="R46" s="578">
        <v>1</v>
      </c>
      <c r="S46" s="1754" t="str">
        <f>$K46</f>
        <v>...1.1.1</v>
      </c>
      <c r="T46" s="1734"/>
      <c r="U46" s="510"/>
      <c r="V46" s="4065"/>
      <c r="W46" s="4065"/>
      <c r="X46" s="4067"/>
      <c r="Y46" s="2430"/>
      <c r="Z46" s="2142" t="s">
        <v>67</v>
      </c>
      <c r="AA46" s="2430"/>
      <c r="AB46" s="2142" t="s">
        <v>67</v>
      </c>
      <c r="AC46" s="4065"/>
      <c r="AD46" s="4065"/>
      <c r="AE46" s="4067"/>
      <c r="AF46" s="2430"/>
      <c r="AG46" s="2142" t="s">
        <v>67</v>
      </c>
      <c r="AH46" s="2456"/>
      <c r="AI46" s="2142" t="s">
        <v>67</v>
      </c>
      <c r="AJ46" s="4569"/>
      <c r="AK46" s="257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748">
        <f>STRCHECKDATE(V47:AJ47)</f>
      </c>
      <c r="AM46" s="737"/>
      <c r="AN46" s="737" t="str">
        <f>IF(T46="","",T46)</f>
        <v/>
      </c>
      <c r="AO46" s="737"/>
      <c r="AP46" s="737"/>
    </row>
    <row customHeight="1" ht="0">
      <c r="A47" s="1659" t="s">
        <v>298</v>
      </c>
      <c r="B47" s="1659" t="s">
        <v>299</v>
      </c>
      <c r="C47" s="1659" t="s">
        <v>300</v>
      </c>
      <c r="D47" s="1659" t="s">
        <v>1750</v>
      </c>
      <c r="E47" s="2425"/>
      <c r="F47" s="2425"/>
      <c r="G47" s="2425"/>
      <c r="H47" s="2425"/>
      <c r="I47" s="2454"/>
      <c r="J47" s="2455"/>
      <c r="K47" s="2422"/>
      <c r="L47" s="1660"/>
      <c r="P47" s="2423"/>
      <c r="Q47" s="2423"/>
      <c r="R47" s="578"/>
      <c r="S47" s="1753"/>
      <c r="T47" s="510"/>
      <c r="U47" s="510"/>
      <c r="V47" s="4066"/>
      <c r="W47" s="4066"/>
      <c r="X47" s="4071" t="str">
        <f>Y46&amp;"-"&amp;AA46</f>
        <v>-</v>
      </c>
      <c r="Y47" s="2431"/>
      <c r="Z47" s="2142"/>
      <c r="AA47" s="2431"/>
      <c r="AB47" s="2142"/>
      <c r="AC47" s="4066"/>
      <c r="AD47" s="4066"/>
      <c r="AE47" s="4071" t="str">
        <f>AF46&amp;"-"&amp;AH46</f>
        <v>-</v>
      </c>
      <c r="AF47" s="2431"/>
      <c r="AG47" s="2142"/>
      <c r="AH47" s="2457"/>
      <c r="AI47" s="2142"/>
      <c r="AJ47" s="4572"/>
      <c r="AK47" s="2573"/>
      <c r="AM47" s="737"/>
      <c r="AN47" s="737" t="str">
        <f>IF(T47="","",T47)</f>
        <v/>
      </c>
      <c r="AO47" s="737"/>
      <c r="AP47" s="737"/>
    </row>
    <row customHeight="1" ht="21">
      <c r="A48" s="1659" t="s">
        <v>298</v>
      </c>
      <c r="B48" s="1659" t="s">
        <v>299</v>
      </c>
      <c r="C48" s="1659" t="s">
        <v>300</v>
      </c>
      <c r="D48" s="1659" t="s">
        <v>1750</v>
      </c>
      <c r="E48" s="2425"/>
      <c r="F48" s="2425"/>
      <c r="G48" s="2425"/>
      <c r="H48" s="2425"/>
      <c r="I48" s="2454"/>
      <c r="J48" s="2422"/>
      <c r="K48" s="1659"/>
      <c r="L48" s="1660"/>
      <c r="P48" s="2423"/>
      <c r="Q48" s="2423"/>
      <c r="R48" s="577"/>
      <c r="S48" s="1568"/>
      <c r="T48" s="497" t="s">
        <v>1737</v>
      </c>
      <c r="U48" s="592"/>
      <c r="V48" s="592"/>
      <c r="W48" s="592"/>
      <c r="X48" s="592"/>
      <c r="Y48" s="592"/>
      <c r="Z48" s="592"/>
      <c r="AA48" s="592"/>
      <c r="AB48" s="592"/>
      <c r="AC48" s="592"/>
      <c r="AD48" s="592"/>
      <c r="AE48" s="592"/>
      <c r="AF48" s="592"/>
      <c r="AG48" s="592"/>
      <c r="AH48" s="592"/>
      <c r="AI48" s="592"/>
      <c r="AJ48" s="592"/>
      <c r="AK48" s="1546" t="s">
        <v>1738</v>
      </c>
      <c r="AM48" s="737"/>
      <c r="AN48" s="737" t="str">
        <f>IF(T48="","",T48)</f>
        <v>Добавить значение признака дифференциации</v>
      </c>
      <c r="AO48" s="737"/>
      <c r="AP48" s="737"/>
    </row>
    <row customHeight="1" ht="21">
      <c r="A49" s="1659" t="s">
        <v>298</v>
      </c>
      <c r="B49" s="1659" t="s">
        <v>299</v>
      </c>
      <c r="C49" s="1659" t="s">
        <v>300</v>
      </c>
      <c r="D49" s="1659" t="s">
        <v>1750</v>
      </c>
      <c r="E49" s="2425"/>
      <c r="F49" s="2425"/>
      <c r="G49" s="2425"/>
      <c r="H49" s="2425"/>
      <c r="I49" s="2453"/>
      <c r="J49" s="1659"/>
      <c r="K49" s="1659"/>
      <c r="L49" s="1660"/>
      <c r="P49" s="2423"/>
      <c r="Q49" s="1747"/>
      <c r="R49" s="577"/>
      <c r="S49" s="1568"/>
      <c r="T49" s="589" t="s">
        <v>1532</v>
      </c>
      <c r="U49" s="592"/>
      <c r="V49" s="592"/>
      <c r="W49" s="592"/>
      <c r="X49" s="592"/>
      <c r="Y49" s="592"/>
      <c r="Z49" s="592"/>
      <c r="AA49" s="592"/>
      <c r="AB49" s="591"/>
      <c r="AC49" s="592"/>
      <c r="AD49" s="592"/>
      <c r="AE49" s="592"/>
      <c r="AF49" s="592"/>
      <c r="AG49" s="592"/>
      <c r="AH49" s="592"/>
      <c r="AI49" s="591"/>
      <c r="AJ49" s="592"/>
      <c r="AK49" s="1737"/>
      <c r="AM49" s="737"/>
      <c r="AN49" s="737" t="str">
        <f>IF(T49="","",T49)</f>
        <v>Добавить группу потребителей</v>
      </c>
      <c r="AO49" s="737"/>
      <c r="AP49" s="737"/>
    </row>
    <row customHeight="1" ht="21">
      <c r="A50" s="1659" t="s">
        <v>298</v>
      </c>
      <c r="B50" s="1659" t="s">
        <v>299</v>
      </c>
      <c r="C50" s="1659" t="s">
        <v>300</v>
      </c>
      <c r="D50" s="1659" t="s">
        <v>1750</v>
      </c>
      <c r="E50" s="2425"/>
      <c r="F50" s="2425"/>
      <c r="G50" s="2425"/>
      <c r="H50" s="2424"/>
      <c r="I50" s="1659"/>
      <c r="J50" s="1659"/>
      <c r="K50" s="1659"/>
      <c r="L50" s="1660"/>
      <c r="M50" s="1661"/>
      <c r="N50" s="1661"/>
      <c r="O50" s="774"/>
      <c r="P50" s="581"/>
      <c r="Q50" s="601"/>
      <c r="R50" s="576"/>
      <c r="S50" s="1568"/>
      <c r="T50" s="597" t="s">
        <v>1739</v>
      </c>
      <c r="U50" s="592"/>
      <c r="V50" s="592"/>
      <c r="W50" s="592"/>
      <c r="X50" s="592"/>
      <c r="Y50" s="592"/>
      <c r="Z50" s="592"/>
      <c r="AA50" s="592"/>
      <c r="AB50" s="591"/>
      <c r="AC50" s="592"/>
      <c r="AD50" s="592"/>
      <c r="AE50" s="592"/>
      <c r="AF50" s="592"/>
      <c r="AG50" s="592"/>
      <c r="AH50" s="592"/>
      <c r="AI50" s="591"/>
      <c r="AJ50" s="592"/>
      <c r="AK50" s="513"/>
      <c r="AM50" s="737"/>
      <c r="AN50" s="737" t="str">
        <f>IF(T50="","",T50)</f>
        <v>Добавить наименование признака дифференциации</v>
      </c>
      <c r="AO50" s="737"/>
      <c r="AP50" s="737"/>
    </row>
    <row s="10863" customFormat="1" customHeight="1" ht="0.75">
      <c r="A51" s="1638" t="s">
        <v>298</v>
      </c>
      <c r="B51" s="1638" t="s">
        <v>299</v>
      </c>
      <c r="C51" s="1609"/>
      <c r="D51" s="1609"/>
      <c r="E51" s="2425"/>
      <c r="F51" s="2424"/>
      <c r="G51" s="1609"/>
      <c r="H51" s="1609"/>
      <c r="I51" s="1609"/>
      <c r="J51" s="1609"/>
      <c r="K51" s="1609"/>
      <c r="L51" s="1755"/>
      <c r="M51" s="1616"/>
      <c r="N51" s="1616"/>
      <c r="P51" s="1611"/>
      <c r="Q51" s="1612"/>
      <c r="R51" s="1611"/>
      <c r="S51" s="1617"/>
      <c r="T51" s="1620" t="s">
        <v>1493</v>
      </c>
      <c r="U51" s="1619"/>
      <c r="V51" s="1619"/>
      <c r="W51" s="1619"/>
      <c r="X51" s="1619"/>
      <c r="Y51" s="1619"/>
      <c r="Z51" s="1619"/>
      <c r="AA51" s="1619"/>
      <c r="AB51" s="1619"/>
      <c r="AC51" s="1619"/>
      <c r="AD51" s="1619"/>
      <c r="AE51" s="1619"/>
      <c r="AF51" s="1619"/>
      <c r="AG51" s="1619"/>
      <c r="AH51" s="1619"/>
      <c r="AI51" s="1619"/>
      <c r="AJ51" s="1619"/>
      <c r="AK51" s="1619"/>
      <c r="AM51" s="1029"/>
      <c r="AN51" s="1029" t="str">
        <f>IF(T51="","",T51)</f>
        <v>Добавить централизованную систему для дифференциации</v>
      </c>
      <c r="AO51" s="1029"/>
      <c r="AP51" s="1029"/>
    </row>
    <row s="10863" customFormat="1" customHeight="1" ht="0.75">
      <c r="A52" s="1638" t="s">
        <v>298</v>
      </c>
      <c r="B52" s="1638"/>
      <c r="C52" s="1638"/>
      <c r="D52" s="1638"/>
      <c r="E52" s="2424"/>
      <c r="F52" s="1638"/>
      <c r="G52" s="1638"/>
      <c r="H52" s="1638"/>
      <c r="I52" s="1638"/>
      <c r="J52" s="1638"/>
      <c r="K52" s="1638"/>
      <c r="L52" s="1641"/>
      <c r="M52" s="1616"/>
      <c r="N52" s="1616"/>
      <c r="O52" s="755"/>
      <c r="P52" s="610"/>
      <c r="Q52" s="1639"/>
      <c r="R52" s="610"/>
      <c r="S52" s="1617"/>
      <c r="T52" s="1620" t="s">
        <v>1494</v>
      </c>
      <c r="U52" s="1619"/>
      <c r="V52" s="1619"/>
      <c r="W52" s="1619"/>
      <c r="X52" s="1619"/>
      <c r="Y52" s="1619"/>
      <c r="Z52" s="1619"/>
      <c r="AA52" s="1619"/>
      <c r="AB52" s="1619"/>
      <c r="AC52" s="1619"/>
      <c r="AD52" s="1619"/>
      <c r="AE52" s="1619"/>
      <c r="AF52" s="1619"/>
      <c r="AG52" s="1619"/>
      <c r="AH52" s="1619"/>
      <c r="AI52" s="1619"/>
      <c r="AJ52" s="1619"/>
      <c r="AK52" s="1619"/>
      <c r="AM52" s="737"/>
      <c r="AN52" s="737" t="str">
        <f>IF(T52="","",T52)</f>
        <v>Добавить территорию для дифференциации</v>
      </c>
      <c r="AO52" s="737"/>
      <c r="AP52" s="737"/>
    </row>
    <row s="10863" customFormat="1" customHeight="1" ht="0.75">
      <c r="A53" s="1609"/>
      <c r="B53" s="1609"/>
      <c r="C53" s="1609"/>
      <c r="D53" s="1609"/>
      <c r="E53" s="1638"/>
      <c r="F53" s="1609"/>
      <c r="G53" s="1609"/>
      <c r="H53" s="1609"/>
      <c r="I53" s="1609"/>
      <c r="J53" s="1609"/>
      <c r="K53" s="1609"/>
      <c r="L53" s="1755"/>
      <c r="M53" s="1616"/>
      <c r="N53" s="1616"/>
      <c r="P53" s="1611"/>
      <c r="Q53" s="1612"/>
      <c r="R53" s="1611"/>
      <c r="S53" s="1617"/>
      <c r="T53" s="1620" t="s">
        <v>1495</v>
      </c>
      <c r="U53" s="1619"/>
      <c r="V53" s="1619"/>
      <c r="W53" s="1619"/>
      <c r="X53" s="1619"/>
      <c r="Y53" s="1619"/>
      <c r="Z53" s="1619"/>
      <c r="AA53" s="1619"/>
      <c r="AB53" s="1619"/>
      <c r="AC53" s="1619"/>
      <c r="AD53" s="1619"/>
      <c r="AE53" s="1619"/>
      <c r="AF53" s="1619"/>
      <c r="AG53" s="1619"/>
      <c r="AH53" s="1619"/>
      <c r="AI53" s="1619"/>
      <c r="AJ53" s="1619"/>
      <c r="AK53" s="1619"/>
      <c r="AM53" s="1029"/>
      <c r="AN53" s="1029" t="str">
        <f>IF(T53="","",T53)</f>
        <v>Добавить наименование тарифа</v>
      </c>
      <c r="AO53" s="1029"/>
      <c r="AP53" s="1029"/>
    </row>
    <row customHeight="1" ht="11.25" hidden="1">
      <c r="M54" s="1421"/>
      <c r="N54" s="1421"/>
      <c r="O54" s="774"/>
      <c r="P54" s="1416"/>
      <c r="Q54" s="1416"/>
      <c r="R54" s="1416"/>
      <c r="S54" s="1416"/>
      <c r="AL54" s="1416"/>
      <c r="AM54" s="1416"/>
      <c r="AN54" s="1416"/>
      <c r="AO54" s="1416"/>
      <c r="AP54" s="1416"/>
    </row>
    <row customHeight="1" ht="14.25" hidden="1">
      <c r="O55" s="774"/>
      <c r="S55" s="1533" t="s">
        <v>1565</v>
      </c>
      <c r="T55" s="2452" t="s">
        <v>1747</v>
      </c>
      <c r="U55" s="2452"/>
      <c r="V55" s="2452"/>
      <c r="W55" s="2452"/>
      <c r="X55" s="2452"/>
      <c r="Y55" s="2452"/>
      <c r="Z55" s="2452"/>
      <c r="AA55" s="2452"/>
      <c r="AB55" s="2452"/>
      <c r="AC55" s="2452"/>
      <c r="AD55" s="2452"/>
      <c r="AE55" s="2452"/>
      <c r="AF55" s="2452"/>
      <c r="AG55" s="2452"/>
      <c r="AH55" s="2452"/>
      <c r="AI55" s="2452"/>
      <c r="AJ55" s="2452"/>
      <c r="AK55" s="2452"/>
    </row>
    <row customHeight="1" ht="14.25" hidden="1">
      <c r="O56" s="774"/>
    </row>
    <row customHeight="1" ht="14.25" hidden="1">
      <c r="O57" s="774"/>
      <c r="S57" s="1533" t="s">
        <v>1565</v>
      </c>
      <c r="T57" s="2452" t="s">
        <v>1748</v>
      </c>
      <c r="U57" s="2452"/>
      <c r="V57" s="2452"/>
      <c r="W57" s="2452"/>
      <c r="X57" s="2452"/>
      <c r="Y57" s="2452"/>
      <c r="Z57" s="2452"/>
      <c r="AA57" s="2452"/>
      <c r="AB57" s="2452"/>
      <c r="AC57" s="2452"/>
      <c r="AD57" s="2452"/>
      <c r="AE57" s="2452"/>
      <c r="AF57" s="2452"/>
      <c r="AG57" s="2452"/>
      <c r="AH57" s="2452"/>
      <c r="AI57" s="2452"/>
      <c r="AJ57" s="2452"/>
      <c r="AK57" s="2452"/>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D1F063B-E9BC-0B6E-D9A7-DB86B900EA19}" mc:Ignorable="x14ac xr xr2 xr3">
  <sheetPr>
    <tabColor theme="6" tint="0.4"/>
  </sheetPr>
  <dimension ref="A1:AP57"/>
  <sheetViews>
    <sheetView topLeftCell="P23" showGridLines="0" zoomScale="90" workbookViewId="0">
      <selection activeCell="A1" sqref="A1"/>
    </sheetView>
  </sheetViews>
  <sheetFormatPr defaultColWidth="10.57421875" customHeight="1" defaultRowHeight="14.25"/>
  <cols>
    <col min="1" max="1" style="11074" width="10.57421875" hidden="1"/>
    <col min="2" max="2" style="11074" width="11.00390625" hidden="1" customWidth="1"/>
    <col min="3" max="3" style="11074" width="10.57421875" hidden="1"/>
    <col min="4" max="4" style="11074" width="11.8515625" hidden="1" customWidth="1"/>
    <col min="5" max="5" style="11074" width="10.00390625" hidden="1" customWidth="1"/>
    <col min="6" max="6" style="11074" width="8.7109375" hidden="1" customWidth="1"/>
    <col min="7" max="7" style="11074" width="7.57421875" hidden="1" customWidth="1"/>
    <col min="8" max="8" style="11074" width="11.421875" hidden="1" customWidth="1"/>
    <col min="9" max="9" style="11074" width="14.140625" hidden="1" customWidth="1"/>
    <col min="10" max="10" style="11074" width="9.8515625" hidden="1" customWidth="1"/>
    <col min="11" max="11" style="11074" width="14.7109375" hidden="1" customWidth="1"/>
    <col min="12" max="12" style="11240" width="19.140625" hidden="1" customWidth="1"/>
    <col min="13" max="14" style="9887" width="12.28125" hidden="1" customWidth="1"/>
    <col min="15" max="15" style="9887" width="23.421875" hidden="1" customWidth="1"/>
    <col min="16" max="16" style="11241" width="3.7109375" customWidth="1"/>
    <col min="17" max="18" style="10046" width="3.7109375" customWidth="1"/>
    <col min="19" max="19" style="11124" width="12.7109375" customWidth="1"/>
    <col min="20" max="20" style="11126" width="35.7109375" customWidth="1"/>
    <col min="21" max="21" style="11126" width="0.140625" customWidth="1"/>
    <col min="22" max="24" style="11126" width="24.7109375" hidden="1" customWidth="1"/>
    <col min="25" max="25" style="11126" width="11.7109375" hidden="1" customWidth="1"/>
    <col min="26" max="26" style="11126" width="3.7109375" hidden="1" customWidth="1"/>
    <col min="27" max="27" style="11126" width="11.7109375" hidden="1" customWidth="1"/>
    <col min="28" max="28" style="11126" width="8.57421875" hidden="1" customWidth="1"/>
    <col min="29" max="31" style="11126" width="24.7109375" customWidth="1"/>
    <col min="32" max="32" style="11126" width="11.7109375" customWidth="1"/>
    <col min="33" max="33" style="11126" width="3.7109375" customWidth="1"/>
    <col min="34" max="34" style="11126" width="11.7109375" customWidth="1"/>
    <col min="35" max="35" style="11126" width="8.57421875" hidden="1" customWidth="1"/>
    <col min="36" max="36" style="11126" width="4.7109375" customWidth="1"/>
    <col min="37" max="37" style="11126" width="115.7109375" customWidth="1"/>
    <col min="38" max="39" style="10863" width="10.57421875"/>
    <col min="40" max="40" style="10863" width="11.140625" customWidth="1"/>
    <col min="41" max="42" style="10863" width="10.57421875"/>
  </cols>
  <sheetData>
    <row customHeight="1" ht="14.25" hidden="1">
      <c r="X1" s="548"/>
      <c r="Y1" s="548"/>
      <c r="AE1" s="548"/>
      <c r="AF1" s="548"/>
    </row>
    <row customHeight="1" ht="23.25" hidden="1">
      <c r="A2" s="1659"/>
      <c r="B2" s="1659"/>
      <c r="C2" s="1659"/>
      <c r="D2" s="1659"/>
      <c r="E2" s="2424">
        <v>1</v>
      </c>
      <c r="F2" s="1659"/>
      <c r="G2" s="1659"/>
      <c r="H2" s="1659"/>
      <c r="I2" s="1659"/>
      <c r="J2" s="1659"/>
      <c r="K2" s="1659"/>
      <c r="L2" s="1660"/>
      <c r="M2" s="1661"/>
      <c r="N2" s="1661"/>
      <c r="O2" s="1661"/>
      <c r="P2" s="582"/>
      <c r="Q2" s="581"/>
      <c r="R2" s="576"/>
      <c r="S2" s="1754">
        <f>INDEX(PT_DIFFERENTIATION_NUM_NTAR,MATCH(A2,PT_DIFFERENTIATION_NTAR_ID,0))</f>
      </c>
      <c r="T2" s="508" t="s">
        <v>200</v>
      </c>
      <c r="U2" s="510"/>
      <c r="V2" s="4037"/>
      <c r="W2" s="4038"/>
      <c r="X2" s="4038"/>
      <c r="Y2" s="4038"/>
      <c r="Z2" s="4038"/>
      <c r="AA2" s="4038"/>
      <c r="AB2" s="4039"/>
      <c r="AC2" s="4037">
        <f>INDEX(PT_DIFFERENTIATION_NTAR,MATCH(A2,PT_DIFFERENTIATION_NTAR_ID,0))</f>
      </c>
      <c r="AD2" s="4038"/>
      <c r="AE2" s="4038"/>
      <c r="AF2" s="4038"/>
      <c r="AG2" s="4038"/>
      <c r="AH2" s="4038"/>
      <c r="AI2" s="4038"/>
      <c r="AJ2" s="4039"/>
      <c r="AK2" s="1546"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737"/>
      <c r="AN2" s="737" t="str">
        <f>IF(T2="","",T2)</f>
        <v>Наименование тарифа</v>
      </c>
      <c r="AO2" s="737"/>
      <c r="AP2" s="737"/>
    </row>
    <row customHeight="1" ht="23.25" hidden="1">
      <c r="A3" s="1659"/>
      <c r="B3" s="1659"/>
      <c r="C3" s="1659"/>
      <c r="D3" s="1659"/>
      <c r="E3" s="2425"/>
      <c r="F3" s="2424">
        <v>1</v>
      </c>
      <c r="G3" s="1659"/>
      <c r="H3" s="1659"/>
      <c r="I3" s="1659"/>
      <c r="J3" s="1659"/>
      <c r="K3" s="1659"/>
      <c r="L3" s="1660"/>
      <c r="M3" s="1661"/>
      <c r="N3" s="1661"/>
      <c r="O3" s="1661"/>
      <c r="P3" s="1750"/>
      <c r="Q3" s="573"/>
      <c r="R3" s="574"/>
      <c r="S3" s="1754">
        <f>INDEX(PT_DIFFERENTIATION_NUM_TER,MATCH(B3,PT_DIFFERENTIATION_TER_ID,0))</f>
      </c>
      <c r="T3" s="520" t="s">
        <v>1517</v>
      </c>
      <c r="U3" s="510"/>
      <c r="V3" s="4037"/>
      <c r="W3" s="4038"/>
      <c r="X3" s="4038"/>
      <c r="Y3" s="4038"/>
      <c r="Z3" s="4038"/>
      <c r="AA3" s="4038"/>
      <c r="AB3" s="4039"/>
      <c r="AC3" s="4037">
        <f>INDEX(PT_DIFFERENTIATION_TER,MATCH(B3,PT_DIFFERENTIATION_TER_ID,0))</f>
      </c>
      <c r="AD3" s="4038"/>
      <c r="AE3" s="4038"/>
      <c r="AF3" s="4038"/>
      <c r="AG3" s="4038"/>
      <c r="AH3" s="4038"/>
      <c r="AI3" s="4038"/>
      <c r="AJ3" s="4039"/>
      <c r="AK3" s="1546" t="s">
        <v>1518</v>
      </c>
      <c r="AM3" s="737"/>
      <c r="AN3" s="737" t="str">
        <f>IF(T3="","",T3)</f>
        <v>Территория действия тарифа</v>
      </c>
      <c r="AO3" s="737"/>
      <c r="AP3" s="737"/>
    </row>
    <row customHeight="1" ht="23.25" hidden="1">
      <c r="A4" s="1659"/>
      <c r="B4" s="1659"/>
      <c r="C4" s="1659"/>
      <c r="D4" s="1659"/>
      <c r="E4" s="2425"/>
      <c r="F4" s="2425"/>
      <c r="G4" s="2424">
        <v>1</v>
      </c>
      <c r="H4" s="1659"/>
      <c r="I4" s="1659"/>
      <c r="J4" s="1659"/>
      <c r="K4" s="1659"/>
      <c r="L4" s="1660"/>
      <c r="M4" s="1661"/>
      <c r="N4" s="1661"/>
      <c r="O4" s="1661"/>
      <c r="P4" s="575"/>
      <c r="Q4" s="573"/>
      <c r="R4" s="574"/>
      <c r="S4" s="1754">
        <f>INDEX(PT_DIFFERENTIATION_NUM_CS,MATCH(C4,PT_DIFFERENTIATION_CS_ID,0))</f>
      </c>
      <c r="T4" s="521" t="s">
        <v>1732</v>
      </c>
      <c r="U4" s="510"/>
      <c r="V4" s="4037"/>
      <c r="W4" s="4038"/>
      <c r="X4" s="4038"/>
      <c r="Y4" s="4038"/>
      <c r="Z4" s="4038"/>
      <c r="AA4" s="4038"/>
      <c r="AB4" s="4039"/>
      <c r="AC4" s="4037">
        <f>INDEX(PT_DIFFERENTIATION_CS,MATCH(C4,PT_DIFFERENTIATION_CS_ID,0))</f>
      </c>
      <c r="AD4" s="4038"/>
      <c r="AE4" s="4038"/>
      <c r="AF4" s="4038"/>
      <c r="AG4" s="4038"/>
      <c r="AH4" s="4038"/>
      <c r="AI4" s="4038"/>
      <c r="AJ4" s="4039"/>
      <c r="AK4" s="1546" t="s">
        <v>1733</v>
      </c>
      <c r="AM4" s="737"/>
      <c r="AN4" s="737" t="str">
        <f>IF(T4="","",T4)</f>
        <v>Наименование централизованной системы холодного водоснабжения</v>
      </c>
      <c r="AO4" s="737"/>
      <c r="AP4" s="737"/>
    </row>
    <row customHeight="1" ht="23.25" hidden="1">
      <c r="A5" s="1659"/>
      <c r="B5" s="1659"/>
      <c r="C5" s="1659"/>
      <c r="D5" s="1659"/>
      <c r="E5" s="2425"/>
      <c r="F5" s="2425"/>
      <c r="G5" s="2425"/>
      <c r="H5" s="2425"/>
      <c r="I5" s="2453">
        <f>S4&amp;".1"</f>
      </c>
      <c r="J5" s="1659"/>
      <c r="K5" s="1659"/>
      <c r="L5" s="1660"/>
      <c r="P5" s="2423">
        <v>1</v>
      </c>
      <c r="Q5" s="1747"/>
      <c r="R5" s="577"/>
      <c r="S5" s="1754">
        <f>$I5</f>
      </c>
      <c r="T5" s="495" t="s">
        <v>1734</v>
      </c>
      <c r="U5" s="510"/>
      <c r="V5" s="2574"/>
      <c r="W5" s="2575"/>
      <c r="X5" s="2575"/>
      <c r="Y5" s="2575"/>
      <c r="Z5" s="2575"/>
      <c r="AA5" s="2575"/>
      <c r="AB5" s="2576"/>
      <c r="AC5" s="2577"/>
      <c r="AD5" s="2578"/>
      <c r="AE5" s="2578"/>
      <c r="AF5" s="2578"/>
      <c r="AG5" s="2578"/>
      <c r="AH5" s="2578"/>
      <c r="AI5" s="2578"/>
      <c r="AJ5" s="2579"/>
      <c r="AK5" s="1546" t="s">
        <v>1735</v>
      </c>
      <c r="AM5" s="737"/>
      <c r="AN5" s="737" t="str">
        <f>IF(T5="","",T5)</f>
        <v>Наименование признака дифференциации</v>
      </c>
      <c r="AO5" s="737"/>
      <c r="AP5" s="737"/>
    </row>
    <row customHeight="1" ht="23.25" hidden="1">
      <c r="A6" s="1659"/>
      <c r="B6" s="1659"/>
      <c r="C6" s="1659"/>
      <c r="D6" s="1659"/>
      <c r="E6" s="2425"/>
      <c r="F6" s="2425"/>
      <c r="G6" s="2425"/>
      <c r="H6" s="2425"/>
      <c r="I6" s="2454"/>
      <c r="J6" s="2422">
        <f>I5&amp;".1"</f>
      </c>
      <c r="K6" s="1659"/>
      <c r="L6" s="1660" t="s">
        <v>1526</v>
      </c>
      <c r="P6" s="2423"/>
      <c r="Q6" s="2423">
        <v>1</v>
      </c>
      <c r="R6" s="578"/>
      <c r="S6" s="1754">
        <f>$J6</f>
      </c>
      <c r="T6" s="496" t="s">
        <v>1527</v>
      </c>
      <c r="U6" s="510"/>
      <c r="V6" s="2411"/>
      <c r="W6" s="2412"/>
      <c r="X6" s="2412"/>
      <c r="Y6" s="2412"/>
      <c r="Z6" s="2412"/>
      <c r="AA6" s="2412"/>
      <c r="AB6" s="2413"/>
      <c r="AC6" s="2411"/>
      <c r="AD6" s="2412"/>
      <c r="AE6" s="2412"/>
      <c r="AF6" s="2412"/>
      <c r="AG6" s="2412"/>
      <c r="AH6" s="2412"/>
      <c r="AI6" s="2412"/>
      <c r="AJ6" s="2413"/>
      <c r="AK6" s="1602" t="s">
        <v>1736</v>
      </c>
      <c r="AM6" s="737"/>
      <c r="AN6" s="737" t="str">
        <f>IF(T6="","",T6)</f>
        <v>Группа потребителей</v>
      </c>
      <c r="AO6" s="737"/>
      <c r="AP6" s="737"/>
    </row>
    <row customHeight="1" ht="23.25" hidden="1">
      <c r="A7" s="1659"/>
      <c r="B7" s="1659"/>
      <c r="C7" s="1659"/>
      <c r="D7" s="1659"/>
      <c r="E7" s="2425"/>
      <c r="F7" s="2425"/>
      <c r="G7" s="2425"/>
      <c r="H7" s="2425"/>
      <c r="I7" s="2454"/>
      <c r="J7" s="2455"/>
      <c r="K7" s="2422">
        <f>J6&amp;".1"</f>
      </c>
      <c r="L7" s="1660"/>
      <c r="P7" s="2423"/>
      <c r="Q7" s="2423"/>
      <c r="R7" s="578">
        <v>1</v>
      </c>
      <c r="S7" s="1754">
        <f>$K7</f>
      </c>
      <c r="T7" s="1734"/>
      <c r="U7" s="510"/>
      <c r="V7" s="4065"/>
      <c r="W7" s="4065"/>
      <c r="X7" s="4067"/>
      <c r="Y7" s="2430"/>
      <c r="Z7" s="2142" t="s">
        <v>67</v>
      </c>
      <c r="AA7" s="2430"/>
      <c r="AB7" s="2142" t="s">
        <v>67</v>
      </c>
      <c r="AC7" s="4065"/>
      <c r="AD7" s="4065"/>
      <c r="AE7" s="4067"/>
      <c r="AF7" s="2430"/>
      <c r="AG7" s="2142" t="s">
        <v>67</v>
      </c>
      <c r="AH7" s="2456"/>
      <c r="AI7" s="2142" t="s">
        <v>67</v>
      </c>
      <c r="AJ7" s="4569"/>
      <c r="AK7" s="257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748">
        <f>STRCHECKDATE(V8:AJ8)</f>
      </c>
      <c r="AM7" s="737"/>
      <c r="AN7" s="737" t="str">
        <f>IF(T7="","",T7)</f>
        <v/>
      </c>
      <c r="AO7" s="737"/>
      <c r="AP7" s="737"/>
    </row>
    <row customHeight="1" ht="0.75" hidden="1">
      <c r="A8" s="1659"/>
      <c r="B8" s="1659"/>
      <c r="C8" s="1659"/>
      <c r="D8" s="1659"/>
      <c r="E8" s="2425"/>
      <c r="F8" s="2425"/>
      <c r="G8" s="2425"/>
      <c r="H8" s="2425"/>
      <c r="I8" s="2454"/>
      <c r="J8" s="2455"/>
      <c r="K8" s="2422"/>
      <c r="L8" s="1660"/>
      <c r="P8" s="2423"/>
      <c r="Q8" s="2423"/>
      <c r="R8" s="578"/>
      <c r="S8" s="1753"/>
      <c r="T8" s="510"/>
      <c r="U8" s="510"/>
      <c r="V8" s="4066"/>
      <c r="W8" s="4066"/>
      <c r="X8" s="4071" t="str">
        <f>Y7&amp;"-"&amp;AA7</f>
        <v>-</v>
      </c>
      <c r="Y8" s="2431"/>
      <c r="Z8" s="2142"/>
      <c r="AA8" s="2431"/>
      <c r="AB8" s="2142"/>
      <c r="AC8" s="4066"/>
      <c r="AD8" s="4066"/>
      <c r="AE8" s="4071" t="str">
        <f>AF7&amp;"-"&amp;AH7</f>
        <v>-</v>
      </c>
      <c r="AF8" s="2431"/>
      <c r="AG8" s="2142"/>
      <c r="AH8" s="2457"/>
      <c r="AI8" s="2142"/>
      <c r="AJ8" s="4572"/>
      <c r="AK8" s="2573"/>
      <c r="AM8" s="737"/>
      <c r="AN8" s="737" t="str">
        <f>IF(T8="","",T8)</f>
        <v/>
      </c>
      <c r="AO8" s="737"/>
      <c r="AP8" s="737"/>
    </row>
    <row customHeight="1" ht="21" hidden="1">
      <c r="A9" s="1659"/>
      <c r="B9" s="1659"/>
      <c r="C9" s="1659"/>
      <c r="D9" s="1659"/>
      <c r="E9" s="2425"/>
      <c r="F9" s="2425"/>
      <c r="G9" s="2425"/>
      <c r="H9" s="2425"/>
      <c r="I9" s="2454"/>
      <c r="J9" s="2422"/>
      <c r="K9" s="1659"/>
      <c r="L9" s="1660"/>
      <c r="P9" s="2423"/>
      <c r="Q9" s="2423"/>
      <c r="R9" s="577"/>
      <c r="S9" s="1568"/>
      <c r="T9" s="497" t="s">
        <v>1737</v>
      </c>
      <c r="U9" s="592"/>
      <c r="V9" s="592"/>
      <c r="W9" s="592"/>
      <c r="X9" s="592"/>
      <c r="Y9" s="592"/>
      <c r="Z9" s="592"/>
      <c r="AA9" s="592"/>
      <c r="AB9" s="592"/>
      <c r="AC9" s="592"/>
      <c r="AD9" s="592"/>
      <c r="AE9" s="592"/>
      <c r="AF9" s="592"/>
      <c r="AG9" s="592"/>
      <c r="AH9" s="592"/>
      <c r="AI9" s="592"/>
      <c r="AJ9" s="592"/>
      <c r="AK9" s="1546" t="s">
        <v>1738</v>
      </c>
      <c r="AM9" s="737"/>
      <c r="AN9" s="737" t="str">
        <f>IF(T9="","",T9)</f>
        <v>Добавить значение признака дифференциации</v>
      </c>
      <c r="AO9" s="737"/>
      <c r="AP9" s="737"/>
    </row>
    <row customHeight="1" ht="21" hidden="1">
      <c r="A10" s="1659"/>
      <c r="B10" s="1659"/>
      <c r="C10" s="1659"/>
      <c r="D10" s="1659"/>
      <c r="E10" s="2425"/>
      <c r="F10" s="2425"/>
      <c r="G10" s="2425"/>
      <c r="H10" s="2425"/>
      <c r="I10" s="2453"/>
      <c r="J10" s="1659"/>
      <c r="K10" s="1659"/>
      <c r="L10" s="1660"/>
      <c r="P10" s="2423"/>
      <c r="Q10" s="1747"/>
      <c r="R10" s="577"/>
      <c r="S10" s="1568"/>
      <c r="T10" s="589" t="s">
        <v>1532</v>
      </c>
      <c r="U10" s="592"/>
      <c r="V10" s="592"/>
      <c r="W10" s="592"/>
      <c r="X10" s="592"/>
      <c r="Y10" s="592"/>
      <c r="Z10" s="592"/>
      <c r="AA10" s="592"/>
      <c r="AB10" s="591"/>
      <c r="AC10" s="592"/>
      <c r="AD10" s="592"/>
      <c r="AE10" s="592"/>
      <c r="AF10" s="592"/>
      <c r="AG10" s="592"/>
      <c r="AH10" s="592"/>
      <c r="AI10" s="591"/>
      <c r="AJ10" s="592"/>
      <c r="AK10" s="1737"/>
      <c r="AM10" s="737"/>
      <c r="AN10" s="737" t="str">
        <f>IF(T10="","",T10)</f>
        <v>Добавить группу потребителей</v>
      </c>
      <c r="AO10" s="737"/>
      <c r="AP10" s="737"/>
    </row>
    <row customHeight="1" ht="21" hidden="1">
      <c r="A11" s="1659"/>
      <c r="B11" s="1659"/>
      <c r="C11" s="1659"/>
      <c r="D11" s="1659"/>
      <c r="E11" s="2425"/>
      <c r="F11" s="2425"/>
      <c r="G11" s="2425"/>
      <c r="H11" s="2424"/>
      <c r="I11" s="1659"/>
      <c r="J11" s="1659"/>
      <c r="K11" s="1659"/>
      <c r="L11" s="1660"/>
      <c r="M11" s="1661"/>
      <c r="N11" s="1661"/>
      <c r="O11" s="774"/>
      <c r="P11" s="581"/>
      <c r="Q11" s="601"/>
      <c r="R11" s="576"/>
      <c r="S11" s="1568"/>
      <c r="T11" s="597" t="s">
        <v>1739</v>
      </c>
      <c r="U11" s="592"/>
      <c r="V11" s="592"/>
      <c r="W11" s="592"/>
      <c r="X11" s="592"/>
      <c r="Y11" s="592"/>
      <c r="Z11" s="592"/>
      <c r="AA11" s="592"/>
      <c r="AB11" s="591"/>
      <c r="AC11" s="592"/>
      <c r="AD11" s="592"/>
      <c r="AE11" s="592"/>
      <c r="AF11" s="592"/>
      <c r="AG11" s="592"/>
      <c r="AH11" s="592"/>
      <c r="AI11" s="591"/>
      <c r="AJ11" s="592"/>
      <c r="AK11" s="513"/>
      <c r="AM11" s="737"/>
      <c r="AN11" s="737" t="str">
        <f>IF(T11="","",T11)</f>
        <v>Добавить наименование признака дифференциации</v>
      </c>
      <c r="AO11" s="737"/>
      <c r="AP11" s="737"/>
    </row>
    <row s="10863" customFormat="1" customHeight="1" ht="0.75" hidden="1">
      <c r="A12" s="1638"/>
      <c r="B12" s="1638"/>
      <c r="C12" s="1609"/>
      <c r="D12" s="1609"/>
      <c r="E12" s="2425"/>
      <c r="F12" s="2424"/>
      <c r="G12" s="1609"/>
      <c r="H12" s="1609"/>
      <c r="I12" s="1609"/>
      <c r="J12" s="1609"/>
      <c r="K12" s="1609"/>
      <c r="L12" s="1755"/>
      <c r="M12" s="1616"/>
      <c r="N12" s="1616"/>
      <c r="P12" s="1611"/>
      <c r="Q12" s="1612"/>
      <c r="R12" s="1611"/>
      <c r="S12" s="1617"/>
      <c r="T12" s="1620" t="s">
        <v>1493</v>
      </c>
      <c r="U12" s="1619"/>
      <c r="V12" s="1619"/>
      <c r="W12" s="1619"/>
      <c r="X12" s="1619"/>
      <c r="Y12" s="1619"/>
      <c r="Z12" s="1619"/>
      <c r="AA12" s="1619"/>
      <c r="AB12" s="1619"/>
      <c r="AC12" s="1619"/>
      <c r="AD12" s="1619"/>
      <c r="AE12" s="1619"/>
      <c r="AF12" s="1619"/>
      <c r="AG12" s="1619"/>
      <c r="AH12" s="1619"/>
      <c r="AI12" s="1619"/>
      <c r="AJ12" s="1619"/>
      <c r="AK12" s="1619"/>
      <c r="AM12" s="1029"/>
      <c r="AN12" s="1029" t="str">
        <f>IF(T12="","",T12)</f>
        <v>Добавить централизованную систему для дифференциации</v>
      </c>
      <c r="AO12" s="1029"/>
      <c r="AP12" s="1029"/>
    </row>
    <row s="10863" customFormat="1" customHeight="1" ht="0.75" hidden="1">
      <c r="A13" s="1638"/>
      <c r="B13" s="1638"/>
      <c r="C13" s="1638"/>
      <c r="D13" s="1638"/>
      <c r="E13" s="2424"/>
      <c r="F13" s="1638"/>
      <c r="G13" s="1638"/>
      <c r="H13" s="1638"/>
      <c r="I13" s="1638"/>
      <c r="J13" s="1638"/>
      <c r="K13" s="1638"/>
      <c r="L13" s="1641"/>
      <c r="M13" s="1616"/>
      <c r="N13" s="1616"/>
      <c r="O13" s="755"/>
      <c r="P13" s="610"/>
      <c r="Q13" s="1639"/>
      <c r="R13" s="610"/>
      <c r="S13" s="1617"/>
      <c r="T13" s="1620" t="s">
        <v>1494</v>
      </c>
      <c r="U13" s="1619"/>
      <c r="V13" s="1619"/>
      <c r="W13" s="1619"/>
      <c r="X13" s="1619"/>
      <c r="Y13" s="1619"/>
      <c r="Z13" s="1619"/>
      <c r="AA13" s="1619"/>
      <c r="AB13" s="1619"/>
      <c r="AC13" s="1619"/>
      <c r="AD13" s="1619"/>
      <c r="AE13" s="1619"/>
      <c r="AF13" s="1619"/>
      <c r="AG13" s="1619"/>
      <c r="AH13" s="1619"/>
      <c r="AI13" s="1619"/>
      <c r="AJ13" s="1619"/>
      <c r="AK13" s="1619"/>
      <c r="AM13" s="737"/>
      <c r="AN13" s="737" t="str">
        <f>IF(T13="","",T13)</f>
        <v>Добавить территорию для дифференциации</v>
      </c>
      <c r="AO13" s="737"/>
      <c r="AP13" s="737"/>
    </row>
    <row customHeight="1" ht="14.25" hidden="1">
      <c r="AB14" s="548"/>
      <c r="AI14" s="548"/>
    </row>
    <row customHeight="1" ht="14.25" hidden="1">
      <c r="AC15" s="4098"/>
      <c r="AD15" s="4098"/>
      <c r="AE15" s="4099"/>
      <c r="AF15" s="2432"/>
      <c r="AG15" s="2433" t="s">
        <v>67</v>
      </c>
      <c r="AH15" s="2432"/>
      <c r="AI15" s="2433" t="s">
        <v>67</v>
      </c>
    </row>
    <row customHeight="1" ht="14.25" hidden="1">
      <c r="AC16" s="4098"/>
      <c r="AD16" s="4098"/>
      <c r="AE16" s="4071" t="str">
        <f>AF15&amp;"-"&amp;AH15</f>
        <v>-</v>
      </c>
      <c r="AF16" s="2433"/>
      <c r="AG16" s="2433"/>
      <c r="AH16" s="2433"/>
      <c r="AI16" s="2433"/>
    </row>
    <row customHeight="1" ht="14.25" hidden="1">
      <c r="AI17" s="548"/>
    </row>
    <row s="11074" customFormat="1" customHeight="1" ht="22.5" hidden="1">
      <c r="L18" s="1744"/>
      <c r="M18" s="1658"/>
      <c r="N18" s="1658"/>
      <c r="O18" s="1663" t="s">
        <v>1534</v>
      </c>
      <c r="P18" s="1658"/>
      <c r="Q18" s="1667"/>
      <c r="R18" s="1667"/>
      <c r="S18" s="967"/>
      <c r="Y18" s="1663"/>
      <c r="AA18" s="1663"/>
      <c r="AB18" s="1662"/>
      <c r="AF18" s="1663"/>
      <c r="AH18" s="1663"/>
      <c r="AI18" s="1662"/>
      <c r="AL18" s="748"/>
      <c r="AM18" s="748"/>
      <c r="AN18" s="748"/>
      <c r="AO18" s="748"/>
      <c r="AP18" s="748"/>
    </row>
    <row s="11074" customFormat="1" customHeight="1" ht="14.25" hidden="1">
      <c r="L19" s="1744"/>
      <c r="M19" s="1658"/>
      <c r="N19" s="1658"/>
      <c r="O19" s="1658"/>
      <c r="P19" s="1658"/>
      <c r="Q19" s="1667"/>
      <c r="R19" s="1667"/>
      <c r="S19" s="967"/>
      <c r="AB19" s="1662"/>
      <c r="AI19" s="1662"/>
      <c r="AL19" s="748"/>
      <c r="AM19" s="748"/>
      <c r="AN19" s="748"/>
      <c r="AO19" s="748"/>
      <c r="AP19" s="748"/>
    </row>
    <row s="11074" customFormat="1" customHeight="1" ht="12" hidden="1">
      <c r="L20" s="1744"/>
      <c r="M20" s="1658"/>
      <c r="N20" s="1658"/>
      <c r="O20" s="1660" t="s">
        <v>1535</v>
      </c>
      <c r="P20" s="1658"/>
      <c r="Q20" s="1739"/>
      <c r="R20" s="1739"/>
      <c r="S20" s="967"/>
      <c r="T20" s="1421" t="s">
        <v>1536</v>
      </c>
      <c r="Z20" s="393" t="s">
        <v>1537</v>
      </c>
      <c r="AB20" s="393" t="s">
        <v>1538</v>
      </c>
      <c r="AC20" s="1421" t="s">
        <v>1536</v>
      </c>
      <c r="AG20" s="393" t="s">
        <v>1539</v>
      </c>
      <c r="AI20" s="393" t="s">
        <v>1538</v>
      </c>
    </row>
    <row customHeight="1" ht="14.25" hidden="1">
      <c r="O21" s="1660"/>
    </row>
    <row customHeight="1" ht="14.25" hidden="1">
      <c r="O22" s="1660"/>
    </row>
    <row customHeight="1" ht="14.25">
      <c r="Q23" s="602"/>
      <c r="R23" s="602"/>
      <c r="S23" s="1565"/>
      <c r="T23" s="586"/>
      <c r="U23" s="586"/>
      <c r="V23" s="746"/>
      <c r="W23" s="746"/>
      <c r="X23" s="746"/>
      <c r="Y23" s="746"/>
      <c r="Z23" s="746"/>
      <c r="AA23" s="746"/>
      <c r="AB23" s="746"/>
      <c r="AC23" s="746"/>
      <c r="AD23" s="746"/>
      <c r="AE23" s="746"/>
      <c r="AF23" s="746"/>
      <c r="AG23" s="746"/>
      <c r="AH23" s="746"/>
      <c r="AI23" s="746"/>
    </row>
    <row customHeight="1" ht="32.25">
      <c r="Q24" s="602"/>
      <c r="R24" s="602"/>
      <c r="S24" s="2414" t="str">
        <f>IF(TEMPLATE_GROUP="P",PT_P_FORM_COLDVSNA_4_NAME_FORM,PT_R_FORM_COLDVSNA_16_NAME_FORM)</f>
        <v>Форма 15. Информация о предложении расчетной величины тарифов организации холодного водоснабжения об установлении тарифов в сфере холодного водоснабжения на очередной период регулирования &lt;1&gt;</v>
      </c>
      <c r="T24" s="2414"/>
      <c r="U24" s="2414"/>
      <c r="V24" s="2414"/>
      <c r="W24" s="2414"/>
      <c r="X24" s="2414"/>
      <c r="Y24" s="2414"/>
      <c r="Z24" s="2414"/>
      <c r="AA24" s="2414"/>
      <c r="AB24" s="2414"/>
      <c r="AC24" s="2414"/>
      <c r="AD24" s="2414"/>
      <c r="AE24" s="2414"/>
      <c r="AF24" s="2414"/>
      <c r="AG24" s="2414"/>
      <c r="AH24" s="2414"/>
      <c r="AI24" s="1521"/>
    </row>
    <row customHeight="1" ht="14.25">
      <c r="Q25" s="602"/>
      <c r="R25" s="602"/>
      <c r="S25" s="2415" t="str">
        <f>IF(org=0,"Не определено",org)</f>
        <v>ООО "СамРЭК-Тепло Жигулевск"</v>
      </c>
      <c r="T25" s="2415"/>
      <c r="U25" s="2415"/>
      <c r="V25" s="2415"/>
      <c r="W25" s="2415"/>
      <c r="X25" s="2415"/>
      <c r="Y25" s="2415"/>
      <c r="Z25" s="2415"/>
      <c r="AA25" s="2415"/>
      <c r="AB25" s="2415"/>
      <c r="AC25" s="2415"/>
      <c r="AD25" s="2415"/>
      <c r="AE25" s="2415"/>
      <c r="AF25" s="2415"/>
      <c r="AG25" s="2415"/>
      <c r="AH25" s="2415"/>
      <c r="AI25" s="1521"/>
    </row>
    <row customHeight="1" ht="14.25" hidden="1">
      <c r="Q26" s="602"/>
      <c r="R26" s="602"/>
      <c r="S26" s="1565"/>
      <c r="T26" s="586"/>
      <c r="U26" s="586"/>
      <c r="V26" s="541"/>
      <c r="W26" s="541"/>
      <c r="X26" s="541"/>
      <c r="Y26" s="541"/>
      <c r="Z26" s="541"/>
      <c r="AA26" s="541"/>
      <c r="AB26" s="541"/>
      <c r="AC26" s="541"/>
      <c r="AD26" s="541"/>
      <c r="AE26" s="541"/>
      <c r="AF26" s="541"/>
      <c r="AG26" s="541"/>
      <c r="AH26" s="541"/>
      <c r="AI26" s="541"/>
      <c r="AJ26" s="746"/>
    </row>
    <row s="10859" customFormat="1" customHeight="1" ht="25.5" hidden="1">
      <c r="A27" s="1664"/>
      <c r="B27" s="1664"/>
      <c r="C27" s="1664"/>
      <c r="D27" s="1664"/>
      <c r="E27" s="1664"/>
      <c r="F27" s="1664"/>
      <c r="G27" s="1664"/>
      <c r="H27" s="1664"/>
      <c r="I27" s="1664"/>
      <c r="J27" s="1664"/>
      <c r="K27" s="1664"/>
      <c r="L27" s="1665"/>
      <c r="M27" s="1664"/>
      <c r="N27" s="1664"/>
      <c r="O27" s="1664"/>
      <c r="S27" s="2416" t="s">
        <v>39</v>
      </c>
      <c r="T27" s="2416"/>
      <c r="U27" s="1668"/>
      <c r="V27" s="2417" t="str">
        <f>IF(TITLE_NAME_OR_PR_CHANGE="",IF(TITLE_NAME_OR_PR="","",TITLE_NAME_OR_PR),TITLE_NAME_OR_PR_CHANGE)</f>
        <v/>
      </c>
      <c r="W27" s="2417"/>
      <c r="X27" s="2417"/>
      <c r="Y27" s="2417"/>
      <c r="Z27" s="2417"/>
      <c r="AA27" s="2417"/>
      <c r="AB27" s="547"/>
      <c r="AC27" s="2417" t="str">
        <f>IF(TITLE_NAME_OR_PR_CHANGE="",IF(TITLE_NAME_OR_PR="","",TITLE_NAME_OR_PR),TITLE_NAME_OR_PR_CHANGE)</f>
        <v/>
      </c>
      <c r="AD27" s="2417"/>
      <c r="AE27" s="2417"/>
      <c r="AF27" s="2417"/>
      <c r="AG27" s="2417"/>
      <c r="AH27" s="2417"/>
      <c r="AI27" s="547"/>
      <c r="AJ27" s="547"/>
      <c r="AK27" s="490"/>
      <c r="AL27" s="593"/>
      <c r="AM27" s="593"/>
      <c r="AN27" s="593"/>
      <c r="AO27" s="593"/>
      <c r="AP27" s="593"/>
    </row>
    <row s="10859" customFormat="1" customHeight="1" ht="18.75" hidden="1">
      <c r="A28" s="1664"/>
      <c r="B28" s="1664"/>
      <c r="C28" s="1664"/>
      <c r="D28" s="1664"/>
      <c r="E28" s="1664"/>
      <c r="F28" s="1664"/>
      <c r="G28" s="1664"/>
      <c r="H28" s="1664"/>
      <c r="I28" s="1664"/>
      <c r="J28" s="1664"/>
      <c r="K28" s="1664"/>
      <c r="L28" s="1665"/>
      <c r="M28" s="1664"/>
      <c r="N28" s="1664"/>
      <c r="O28" s="1664"/>
      <c r="S28" s="2416" t="s">
        <v>1540</v>
      </c>
      <c r="T28" s="2416"/>
      <c r="U28" s="1668"/>
      <c r="V28" s="2417" t="str">
        <f>IF(TITLE_DATE_CHANGE_PERIOD="",IF(TITLE_DATE_PR="","",TITLE_DATE_PR),TITLE_DATE_CHANGE_PERIOD)</f>
        <v/>
      </c>
      <c r="W28" s="2417"/>
      <c r="X28" s="2417"/>
      <c r="Y28" s="2417"/>
      <c r="Z28" s="2417"/>
      <c r="AA28" s="2417"/>
      <c r="AB28" s="547"/>
      <c r="AC28" s="2417" t="str">
        <f>IF(TITLE_DATE_CHANGE_PERIOD="",IF(TITLE_DATE_PR="","",TITLE_DATE_PR),TITLE_DATE_CHANGE_PERIOD)</f>
        <v/>
      </c>
      <c r="AD28" s="2417"/>
      <c r="AE28" s="2417"/>
      <c r="AF28" s="2417"/>
      <c r="AG28" s="2417"/>
      <c r="AH28" s="2417"/>
      <c r="AI28" s="547"/>
      <c r="AJ28" s="547"/>
      <c r="AK28" s="490"/>
      <c r="AL28" s="593"/>
      <c r="AM28" s="593"/>
      <c r="AN28" s="593"/>
      <c r="AO28" s="593"/>
      <c r="AP28" s="593"/>
    </row>
    <row s="10859" customFormat="1" customHeight="1" ht="18.75" hidden="1">
      <c r="A29" s="1664"/>
      <c r="B29" s="1664"/>
      <c r="C29" s="1664"/>
      <c r="D29" s="1664"/>
      <c r="E29" s="1664"/>
      <c r="F29" s="1664"/>
      <c r="G29" s="1664"/>
      <c r="H29" s="1664"/>
      <c r="I29" s="1664"/>
      <c r="J29" s="1664"/>
      <c r="K29" s="1664"/>
      <c r="L29" s="1665"/>
      <c r="M29" s="1664"/>
      <c r="N29" s="1664"/>
      <c r="O29" s="1664"/>
      <c r="S29" s="2416" t="s">
        <v>1541</v>
      </c>
      <c r="T29" s="2416"/>
      <c r="U29" s="1668"/>
      <c r="V29" s="2417" t="str">
        <f>IF(TITLE_NUMBER_PR_CHANGE="",IF(TITLE_NUMBER_PR="","",TITLE_NUMBER_PR),TITLE_NUMBER_PR_CHANGE)</f>
        <v/>
      </c>
      <c r="W29" s="2417"/>
      <c r="X29" s="2417"/>
      <c r="Y29" s="2417"/>
      <c r="Z29" s="2417"/>
      <c r="AA29" s="2417"/>
      <c r="AB29" s="547"/>
      <c r="AC29" s="2417" t="str">
        <f>IF(TITLE_NUMBER_PR_CHANGE="",IF(TITLE_NUMBER_PR="","",TITLE_NUMBER_PR),TITLE_NUMBER_PR_CHANGE)</f>
        <v/>
      </c>
      <c r="AD29" s="2417"/>
      <c r="AE29" s="2417"/>
      <c r="AF29" s="2417"/>
      <c r="AG29" s="2417"/>
      <c r="AH29" s="2417"/>
      <c r="AI29" s="547"/>
      <c r="AJ29" s="547"/>
      <c r="AK29" s="490"/>
      <c r="AL29" s="593"/>
      <c r="AM29" s="593"/>
      <c r="AN29" s="593"/>
      <c r="AO29" s="593"/>
      <c r="AP29" s="593"/>
    </row>
    <row s="10859" customFormat="1" customHeight="1" ht="18.75" hidden="1">
      <c r="A30" s="1664"/>
      <c r="B30" s="1664"/>
      <c r="C30" s="1664"/>
      <c r="D30" s="1664"/>
      <c r="E30" s="1664"/>
      <c r="F30" s="1664"/>
      <c r="G30" s="1664"/>
      <c r="H30" s="1664"/>
      <c r="I30" s="1664"/>
      <c r="J30" s="1664"/>
      <c r="K30" s="1664"/>
      <c r="L30" s="1665"/>
      <c r="M30" s="1664"/>
      <c r="N30" s="1664"/>
      <c r="O30" s="1664"/>
      <c r="S30" s="2416" t="s">
        <v>40</v>
      </c>
      <c r="T30" s="2416"/>
      <c r="U30" s="1668"/>
      <c r="V30" s="2417" t="str">
        <f>IF(TITLE_IST_PUB_CHANGE="",IF(TITLE_IST_PUB="","",TITLE_IST_PUB),TITLE_IST_PUB_CHANGE)</f>
        <v/>
      </c>
      <c r="W30" s="2417"/>
      <c r="X30" s="2417"/>
      <c r="Y30" s="2417"/>
      <c r="Z30" s="2417"/>
      <c r="AA30" s="2417"/>
      <c r="AB30" s="547"/>
      <c r="AC30" s="2417" t="str">
        <f>IF(TITLE_IST_PUB_CHANGE="",IF(TITLE_IST_PUB="","",TITLE_IST_PUB),TITLE_IST_PUB_CHANGE)</f>
        <v/>
      </c>
      <c r="AD30" s="2417"/>
      <c r="AE30" s="2417"/>
      <c r="AF30" s="2417"/>
      <c r="AG30" s="2417"/>
      <c r="AH30" s="2417"/>
      <c r="AI30" s="547"/>
      <c r="AJ30" s="547"/>
      <c r="AK30" s="490"/>
      <c r="AL30" s="593"/>
      <c r="AM30" s="593"/>
      <c r="AN30" s="593"/>
      <c r="AO30" s="593"/>
      <c r="AP30" s="593"/>
    </row>
    <row customHeight="1" ht="14.25" hidden="1">
      <c r="Q31" s="602"/>
      <c r="R31" s="602"/>
      <c r="S31" s="1565"/>
      <c r="T31" s="586"/>
      <c r="U31" s="586"/>
      <c r="V31" s="541"/>
      <c r="W31" s="541"/>
      <c r="X31" s="541"/>
      <c r="Y31" s="541"/>
      <c r="Z31" s="541"/>
      <c r="AA31" s="541"/>
      <c r="AB31" s="541"/>
      <c r="AC31" s="541"/>
      <c r="AD31" s="541"/>
      <c r="AE31" s="541"/>
      <c r="AF31" s="541"/>
      <c r="AG31" s="541"/>
      <c r="AH31" s="541"/>
      <c r="AI31" s="541"/>
      <c r="AJ31" s="746"/>
    </row>
    <row s="10859" customFormat="1" customHeight="1" ht="18.75" hidden="1">
      <c r="A32" s="1664"/>
      <c r="B32" s="1664"/>
      <c r="C32" s="1664"/>
      <c r="D32" s="1664"/>
      <c r="E32" s="1664"/>
      <c r="F32" s="1664"/>
      <c r="G32" s="1664"/>
      <c r="H32" s="1664"/>
      <c r="I32" s="1664"/>
      <c r="J32" s="1664"/>
      <c r="K32" s="1664"/>
      <c r="L32" s="1665"/>
      <c r="M32" s="1664"/>
      <c r="N32" s="1664"/>
      <c r="O32" s="1664"/>
      <c r="S32" s="2416" t="s">
        <v>1542</v>
      </c>
      <c r="T32" s="2416"/>
      <c r="U32" s="1668"/>
      <c r="V32" s="2417" t="str">
        <f>IF(TITLE_DATE_CHANGE_PERIOD="",IF(TITLE_DATE_PR="","",TITLE_DATE_PR),TITLE_DATE_CHANGE_PERIOD)</f>
        <v/>
      </c>
      <c r="W32" s="2417"/>
      <c r="X32" s="2417"/>
      <c r="Y32" s="2417"/>
      <c r="Z32" s="2417"/>
      <c r="AA32" s="2417"/>
      <c r="AB32" s="547"/>
      <c r="AC32" s="2417" t="str">
        <f>IF(TITLE_DATE_CHANGE_PERIOD="",IF(TITLE_DATE_PR="","",TITLE_DATE_PR),TITLE_DATE_CHANGE_PERIOD)</f>
        <v/>
      </c>
      <c r="AD32" s="2417"/>
      <c r="AE32" s="2417"/>
      <c r="AF32" s="2417"/>
      <c r="AG32" s="2417"/>
      <c r="AH32" s="2417"/>
      <c r="AI32" s="547"/>
      <c r="AJ32" s="547"/>
      <c r="AK32" s="490"/>
      <c r="AL32" s="593"/>
      <c r="AM32" s="593"/>
      <c r="AN32" s="593"/>
      <c r="AO32" s="593"/>
      <c r="AP32" s="593"/>
    </row>
    <row s="10859" customFormat="1" customHeight="1" ht="18.75" hidden="1">
      <c r="A33" s="1664"/>
      <c r="B33" s="1664"/>
      <c r="C33" s="1664"/>
      <c r="D33" s="1664"/>
      <c r="E33" s="1664"/>
      <c r="F33" s="1664"/>
      <c r="G33" s="1664"/>
      <c r="H33" s="1664"/>
      <c r="I33" s="1664"/>
      <c r="J33" s="1664"/>
      <c r="K33" s="1664"/>
      <c r="L33" s="1665"/>
      <c r="M33" s="1664"/>
      <c r="N33" s="1664"/>
      <c r="O33" s="1664"/>
      <c r="S33" s="2416" t="s">
        <v>1543</v>
      </c>
      <c r="T33" s="2416"/>
      <c r="U33" s="1668"/>
      <c r="V33" s="2417" t="str">
        <f>IF(TITLE_NUMBER_PR_CHANGE="",IF(TITLE_NUMBER_PR="","",TITLE_NUMBER_PR),TITLE_NUMBER_PR_CHANGE)</f>
        <v/>
      </c>
      <c r="W33" s="2417"/>
      <c r="X33" s="2417"/>
      <c r="Y33" s="2417"/>
      <c r="Z33" s="2417"/>
      <c r="AA33" s="2417"/>
      <c r="AB33" s="547"/>
      <c r="AC33" s="2417" t="str">
        <f>IF(TITLE_NUMBER_PR_CHANGE="",IF(TITLE_NUMBER_PR="","",TITLE_NUMBER_PR),TITLE_NUMBER_PR_CHANGE)</f>
        <v/>
      </c>
      <c r="AD33" s="2417"/>
      <c r="AE33" s="2417"/>
      <c r="AF33" s="2417"/>
      <c r="AG33" s="2417"/>
      <c r="AH33" s="2417"/>
      <c r="AI33" s="547"/>
      <c r="AJ33" s="547"/>
      <c r="AK33" s="490"/>
      <c r="AL33" s="593"/>
      <c r="AM33" s="593"/>
      <c r="AN33" s="593"/>
      <c r="AO33" s="593"/>
      <c r="AP33" s="593"/>
    </row>
    <row s="10859" customFormat="1" customHeight="1" ht="0.75">
      <c r="A34" s="1664"/>
      <c r="B34" s="1664"/>
      <c r="C34" s="1664"/>
      <c r="D34" s="1664"/>
      <c r="E34" s="1664"/>
      <c r="F34" s="1664"/>
      <c r="G34" s="1664"/>
      <c r="H34" s="1664"/>
      <c r="I34" s="1664"/>
      <c r="J34" s="1664"/>
      <c r="K34" s="1664"/>
      <c r="L34" s="1665"/>
      <c r="M34" s="1664"/>
      <c r="N34" s="1664"/>
      <c r="O34" s="1664"/>
      <c r="S34" s="543"/>
      <c r="T34" s="543"/>
      <c r="U34" s="1751"/>
      <c r="V34" s="547"/>
      <c r="W34" s="547"/>
      <c r="X34" s="547"/>
      <c r="Y34" s="547"/>
      <c r="Z34" s="547"/>
      <c r="AA34" s="547"/>
      <c r="AB34" s="488" t="s">
        <v>1544</v>
      </c>
      <c r="AC34" s="547"/>
      <c r="AD34" s="547"/>
      <c r="AE34" s="547"/>
      <c r="AF34" s="547"/>
      <c r="AG34" s="547"/>
      <c r="AH34" s="547"/>
      <c r="AI34" s="488" t="s">
        <v>1544</v>
      </c>
      <c r="AL34" s="593"/>
      <c r="AM34" s="593"/>
      <c r="AN34" s="593"/>
      <c r="AO34" s="593"/>
      <c r="AP34" s="593"/>
    </row>
    <row customHeight="1" ht="14.25">
      <c r="Q35" s="602"/>
      <c r="R35" s="602"/>
      <c r="S35" s="1565"/>
      <c r="T35" s="586"/>
      <c r="U35" s="1522"/>
      <c r="V35" s="2418"/>
      <c r="W35" s="2418"/>
      <c r="X35" s="2418"/>
      <c r="Y35" s="2418"/>
      <c r="Z35" s="2418"/>
      <c r="AA35" s="2418"/>
      <c r="AB35" s="2418"/>
      <c r="AC35" s="2418"/>
      <c r="AD35" s="2418"/>
      <c r="AE35" s="2418"/>
      <c r="AF35" s="2418"/>
      <c r="AG35" s="2418"/>
      <c r="AH35" s="2418"/>
      <c r="AI35" s="2418"/>
    </row>
    <row customHeight="1" ht="14.25">
      <c r="Q36" s="602"/>
      <c r="R36" s="602"/>
      <c r="S36" s="2277" t="s">
        <v>362</v>
      </c>
      <c r="T36" s="2277"/>
      <c r="U36" s="2277"/>
      <c r="V36" s="2277"/>
      <c r="W36" s="2277"/>
      <c r="X36" s="2277"/>
      <c r="Y36" s="2277"/>
      <c r="Z36" s="2277"/>
      <c r="AA36" s="2277"/>
      <c r="AB36" s="2277"/>
      <c r="AC36" s="2277"/>
      <c r="AD36" s="2277"/>
      <c r="AE36" s="2277"/>
      <c r="AF36" s="2277"/>
      <c r="AG36" s="2277"/>
      <c r="AH36" s="2277"/>
      <c r="AI36" s="2277"/>
      <c r="AJ36" s="2277"/>
      <c r="AK36" s="2277" t="s">
        <v>363</v>
      </c>
    </row>
    <row customHeight="1" ht="14.25">
      <c r="Q37" s="602"/>
      <c r="R37" s="602"/>
      <c r="S37" s="2440" t="s">
        <v>88</v>
      </c>
      <c r="T37" s="2301" t="s">
        <v>1545</v>
      </c>
      <c r="U37" s="511"/>
      <c r="V37" s="2441" t="s">
        <v>1546</v>
      </c>
      <c r="W37" s="2442"/>
      <c r="X37" s="2442"/>
      <c r="Y37" s="2442"/>
      <c r="Z37" s="2442"/>
      <c r="AA37" s="2443"/>
      <c r="AB37" s="2444" t="s">
        <v>1547</v>
      </c>
      <c r="AC37" s="2441" t="s">
        <v>1546</v>
      </c>
      <c r="AD37" s="2442"/>
      <c r="AE37" s="2442"/>
      <c r="AF37" s="2442"/>
      <c r="AG37" s="2442"/>
      <c r="AH37" s="2443"/>
      <c r="AI37" s="2444" t="s">
        <v>1548</v>
      </c>
      <c r="AJ37" s="2447" t="s">
        <v>1549</v>
      </c>
      <c r="AK37" s="2277"/>
    </row>
    <row customHeight="1" ht="33.75">
      <c r="Q38" s="602"/>
      <c r="R38" s="602"/>
      <c r="S38" s="2440"/>
      <c r="T38" s="2301"/>
      <c r="U38" s="1289"/>
      <c r="V38" s="1749" t="s">
        <v>1740</v>
      </c>
      <c r="W38" s="2428" t="s">
        <v>1552</v>
      </c>
      <c r="X38" s="2429"/>
      <c r="Y38" s="2434" t="s">
        <v>1553</v>
      </c>
      <c r="Z38" s="2435"/>
      <c r="AA38" s="2436"/>
      <c r="AB38" s="2445"/>
      <c r="AC38" s="1749" t="s">
        <v>1740</v>
      </c>
      <c r="AD38" s="2428" t="s">
        <v>1552</v>
      </c>
      <c r="AE38" s="2429"/>
      <c r="AF38" s="2434" t="s">
        <v>1553</v>
      </c>
      <c r="AG38" s="2435"/>
      <c r="AH38" s="2436"/>
      <c r="AI38" s="2445"/>
      <c r="AJ38" s="2448"/>
      <c r="AK38" s="2277"/>
    </row>
    <row customHeight="1" ht="33.75">
      <c r="A39" s="1666"/>
      <c r="B39" s="1666" t="s">
        <v>212</v>
      </c>
      <c r="C39" s="1666" t="s">
        <v>213</v>
      </c>
      <c r="D39" s="1666" t="s">
        <v>214</v>
      </c>
      <c r="E39" s="1660" t="s">
        <v>1554</v>
      </c>
      <c r="F39" s="1660" t="s">
        <v>1555</v>
      </c>
      <c r="G39" s="1660" t="s">
        <v>1556</v>
      </c>
      <c r="H39" s="1660"/>
      <c r="I39" s="1660" t="s">
        <v>1741</v>
      </c>
      <c r="J39" s="1660" t="s">
        <v>1559</v>
      </c>
      <c r="K39" s="1660" t="s">
        <v>1742</v>
      </c>
      <c r="L39" s="1660" t="s">
        <v>1535</v>
      </c>
      <c r="Q39" s="602"/>
      <c r="R39" s="602"/>
      <c r="S39" s="2440"/>
      <c r="T39" s="2301"/>
      <c r="U39" s="512"/>
      <c r="V39" s="1749" t="s">
        <v>1743</v>
      </c>
      <c r="W39" s="1497" t="s">
        <v>1744</v>
      </c>
      <c r="X39" s="1497" t="s">
        <v>1745</v>
      </c>
      <c r="Y39" s="1752" t="s">
        <v>1563</v>
      </c>
      <c r="Z39" s="2437" t="s">
        <v>1564</v>
      </c>
      <c r="AA39" s="2438"/>
      <c r="AB39" s="2446"/>
      <c r="AC39" s="1749" t="s">
        <v>1743</v>
      </c>
      <c r="AD39" s="1497" t="s">
        <v>1744</v>
      </c>
      <c r="AE39" s="1497" t="s">
        <v>1745</v>
      </c>
      <c r="AF39" s="1752" t="s">
        <v>1563</v>
      </c>
      <c r="AG39" s="2437" t="s">
        <v>1564</v>
      </c>
      <c r="AH39" s="2438"/>
      <c r="AI39" s="2446"/>
      <c r="AJ39" s="2449"/>
      <c r="AK39" s="2277"/>
    </row>
    <row s="10822" customFormat="1" customHeight="1" ht="11.25" hidden="1">
      <c r="A40" s="1666"/>
      <c r="B40" s="1666"/>
      <c r="C40" s="1666"/>
      <c r="D40" s="1666"/>
      <c r="E40" s="1666"/>
      <c r="F40" s="1666"/>
      <c r="G40" s="1666"/>
      <c r="H40" s="1666"/>
      <c r="I40" s="1666"/>
      <c r="J40" s="1666"/>
      <c r="K40" s="1666"/>
      <c r="L40" s="1660"/>
      <c r="M40" s="1658"/>
      <c r="N40" s="1658"/>
      <c r="O40" s="1658"/>
      <c r="P40" s="1524"/>
      <c r="Q40" s="1525"/>
      <c r="R40" s="1540">
        <v>1</v>
      </c>
      <c r="S40" s="1567" t="s">
        <v>109</v>
      </c>
      <c r="T40" s="1541" t="s">
        <v>110</v>
      </c>
      <c r="U40" s="1523" t="str">
        <f>OFFSET(U40,0,-1)</f>
        <v>2</v>
      </c>
      <c r="V40" s="1748">
        <f>OFFSET(V40,0,-1)+1</f>
        <v>3</v>
      </c>
      <c r="W40" s="1748">
        <f>OFFSET(W40,0,-1)+1</f>
        <v>4</v>
      </c>
      <c r="X40" s="1748">
        <f>OFFSET(X40,0,-1)+1</f>
        <v>5</v>
      </c>
      <c r="Y40" s="1748">
        <f>OFFSET(Y40,0,-1)+1</f>
        <v>6</v>
      </c>
      <c r="Z40" s="2439">
        <f>OFFSET(Z40,0,-1)+1</f>
        <v>7</v>
      </c>
      <c r="AA40" s="2439"/>
      <c r="AB40" s="1748">
        <f>OFFSET(AB40,0,-2)+1</f>
        <v>8</v>
      </c>
      <c r="AC40" s="1748">
        <f>OFFSET(AC40,0,-1)+1</f>
        <v>9</v>
      </c>
      <c r="AD40" s="1748">
        <f>OFFSET(AD40,0,-1)+1</f>
        <v>10</v>
      </c>
      <c r="AE40" s="1748">
        <f>OFFSET(AE40,0,-1)+1</f>
        <v>11</v>
      </c>
      <c r="AF40" s="1748">
        <f>OFFSET(AF40,0,-1)+1</f>
        <v>12</v>
      </c>
      <c r="AG40" s="2439">
        <f>OFFSET(AG40,0,-1)+1</f>
        <v>13</v>
      </c>
      <c r="AH40" s="2439"/>
      <c r="AI40" s="1748">
        <f>OFFSET(AI40,0,-2)+1</f>
        <v>14</v>
      </c>
      <c r="AJ40" s="1523">
        <f>OFFSET(AJ40,0,-1)</f>
        <v>14</v>
      </c>
      <c r="AK40" s="1748">
        <f>OFFSET(AK40,0,-1)+1</f>
        <v>15</v>
      </c>
      <c r="AL40" s="748"/>
      <c r="AM40" s="748"/>
      <c r="AN40" s="748"/>
      <c r="AO40" s="748"/>
      <c r="AP40" s="748"/>
    </row>
    <row customHeight="1" ht="23.25">
      <c r="A41" s="1659" t="s">
        <v>303</v>
      </c>
      <c r="B41" s="1659"/>
      <c r="C41" s="1659"/>
      <c r="D41" s="1659"/>
      <c r="E41" s="2424">
        <v>1</v>
      </c>
      <c r="F41" s="1659"/>
      <c r="G41" s="1659"/>
      <c r="H41" s="1659"/>
      <c r="I41" s="1659"/>
      <c r="J41" s="1659"/>
      <c r="K41" s="1659"/>
      <c r="L41" s="1660"/>
      <c r="M41" s="1661"/>
      <c r="N41" s="1661"/>
      <c r="O41" s="1661"/>
      <c r="P41" s="582"/>
      <c r="Q41" s="581"/>
      <c r="R41" s="576"/>
      <c r="S41" s="1754">
        <f>INDEX(PT_DIFFERENTIATION_NUM_NTAR,MATCH(A41,PT_DIFFERENTIATION_NTAR_ID,0))</f>
        <v>0</v>
      </c>
      <c r="T41" s="508" t="s">
        <v>200</v>
      </c>
      <c r="U41" s="510"/>
      <c r="V41" s="4037"/>
      <c r="W41" s="4038"/>
      <c r="X41" s="4038"/>
      <c r="Y41" s="4038"/>
      <c r="Z41" s="4038"/>
      <c r="AA41" s="4038"/>
      <c r="AB41" s="4039"/>
      <c r="AC41" s="4037" t="str">
        <f>INDEX(PT_DIFFERENTIATION_NTAR,MATCH(A41,PT_DIFFERENTIATION_NTAR_ID,0))</f>
        <v/>
      </c>
      <c r="AD41" s="4038"/>
      <c r="AE41" s="4038"/>
      <c r="AF41" s="4038"/>
      <c r="AG41" s="4038"/>
      <c r="AH41" s="4038"/>
      <c r="AI41" s="4038"/>
      <c r="AJ41" s="4039"/>
      <c r="AK41" s="1546"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737"/>
      <c r="AN41" s="737" t="str">
        <f>IF(T41="","",T41)</f>
        <v>Наименование тарифа</v>
      </c>
      <c r="AO41" s="737"/>
      <c r="AP41" s="737"/>
    </row>
    <row customHeight="1" ht="23.25">
      <c r="A42" s="1659" t="s">
        <v>303</v>
      </c>
      <c r="B42" s="1659" t="s">
        <v>304</v>
      </c>
      <c r="C42" s="1659"/>
      <c r="D42" s="1659"/>
      <c r="E42" s="2425"/>
      <c r="F42" s="2424">
        <v>1</v>
      </c>
      <c r="G42" s="1659"/>
      <c r="H42" s="1659"/>
      <c r="I42" s="1659"/>
      <c r="J42" s="1659"/>
      <c r="K42" s="1659"/>
      <c r="L42" s="1660"/>
      <c r="M42" s="1661"/>
      <c r="N42" s="1661"/>
      <c r="O42" s="1661"/>
      <c r="P42" s="1750"/>
      <c r="Q42" s="573"/>
      <c r="R42" s="574"/>
      <c r="S42" s="1754" t="str">
        <f>INDEX(PT_DIFFERENTIATION_NUM_TER,MATCH(B42,PT_DIFFERENTIATION_TER_ID,0))</f>
        <v>.</v>
      </c>
      <c r="T42" s="520" t="s">
        <v>1517</v>
      </c>
      <c r="U42" s="510"/>
      <c r="V42" s="4037"/>
      <c r="W42" s="4038"/>
      <c r="X42" s="4038"/>
      <c r="Y42" s="4038"/>
      <c r="Z42" s="4038"/>
      <c r="AA42" s="4038"/>
      <c r="AB42" s="4039"/>
      <c r="AC42" s="4037" t="str">
        <f>INDEX(PT_DIFFERENTIATION_TER,MATCH(B42,PT_DIFFERENTIATION_TER_ID,0))</f>
        <v/>
      </c>
      <c r="AD42" s="4038"/>
      <c r="AE42" s="4038"/>
      <c r="AF42" s="4038"/>
      <c r="AG42" s="4038"/>
      <c r="AH42" s="4038"/>
      <c r="AI42" s="4038"/>
      <c r="AJ42" s="4039"/>
      <c r="AK42" s="1546" t="s">
        <v>1518</v>
      </c>
      <c r="AM42" s="737"/>
      <c r="AN42" s="737" t="str">
        <f>IF(T42="","",T42)</f>
        <v>Территория действия тарифа</v>
      </c>
      <c r="AO42" s="737"/>
      <c r="AP42" s="737"/>
    </row>
    <row customHeight="1" ht="23.25">
      <c r="A43" s="1659" t="s">
        <v>303</v>
      </c>
      <c r="B43" s="1659" t="s">
        <v>304</v>
      </c>
      <c r="C43" s="1659" t="s">
        <v>305</v>
      </c>
      <c r="D43" s="1659"/>
      <c r="E43" s="2425"/>
      <c r="F43" s="2425"/>
      <c r="G43" s="2424">
        <v>1</v>
      </c>
      <c r="H43" s="1659"/>
      <c r="I43" s="1659"/>
      <c r="J43" s="1659"/>
      <c r="K43" s="1659"/>
      <c r="L43" s="1660"/>
      <c r="M43" s="1661"/>
      <c r="N43" s="1661"/>
      <c r="O43" s="1661"/>
      <c r="P43" s="575"/>
      <c r="Q43" s="573"/>
      <c r="R43" s="574"/>
      <c r="S43" s="1754" t="str">
        <f>INDEX(PT_DIFFERENTIATION_NUM_CS,MATCH(C43,PT_DIFFERENTIATION_CS_ID,0))</f>
        <v>..</v>
      </c>
      <c r="T43" s="521" t="s">
        <v>1732</v>
      </c>
      <c r="U43" s="510"/>
      <c r="V43" s="4037"/>
      <c r="W43" s="4038"/>
      <c r="X43" s="4038"/>
      <c r="Y43" s="4038"/>
      <c r="Z43" s="4038"/>
      <c r="AA43" s="4038"/>
      <c r="AB43" s="4039"/>
      <c r="AC43" s="4037" t="str">
        <f>INDEX(PT_DIFFERENTIATION_CS,MATCH(C43,PT_DIFFERENTIATION_CS_ID,0))</f>
        <v/>
      </c>
      <c r="AD43" s="4038"/>
      <c r="AE43" s="4038"/>
      <c r="AF43" s="4038"/>
      <c r="AG43" s="4038"/>
      <c r="AH43" s="4038"/>
      <c r="AI43" s="4038"/>
      <c r="AJ43" s="4039"/>
      <c r="AK43" s="1546" t="s">
        <v>1733</v>
      </c>
      <c r="AM43" s="737"/>
      <c r="AN43" s="737" t="str">
        <f>IF(T43="","",T43)</f>
        <v>Наименование централизованной системы холодного водоснабжения</v>
      </c>
      <c r="AO43" s="737"/>
      <c r="AP43" s="737"/>
    </row>
    <row customHeight="1" ht="23.25">
      <c r="A44" s="1659" t="s">
        <v>303</v>
      </c>
      <c r="B44" s="1659" t="s">
        <v>304</v>
      </c>
      <c r="C44" s="1659" t="s">
        <v>305</v>
      </c>
      <c r="D44" s="1659" t="s">
        <v>1751</v>
      </c>
      <c r="E44" s="2425"/>
      <c r="F44" s="2425"/>
      <c r="G44" s="2425"/>
      <c r="H44" s="2425"/>
      <c r="I44" s="2453" t="str">
        <f>S43&amp;".1"</f>
        <v>...1</v>
      </c>
      <c r="J44" s="1659"/>
      <c r="K44" s="1659"/>
      <c r="L44" s="1660"/>
      <c r="P44" s="2423">
        <v>1</v>
      </c>
      <c r="Q44" s="1747"/>
      <c r="R44" s="577"/>
      <c r="S44" s="1754" t="str">
        <f>$I44</f>
        <v>...1</v>
      </c>
      <c r="T44" s="495" t="s">
        <v>1734</v>
      </c>
      <c r="U44" s="510"/>
      <c r="V44" s="2574"/>
      <c r="W44" s="2575"/>
      <c r="X44" s="2575"/>
      <c r="Y44" s="2575"/>
      <c r="Z44" s="2575"/>
      <c r="AA44" s="2575"/>
      <c r="AB44" s="2576"/>
      <c r="AC44" s="2577"/>
      <c r="AD44" s="2578"/>
      <c r="AE44" s="2578"/>
      <c r="AF44" s="2578"/>
      <c r="AG44" s="2578"/>
      <c r="AH44" s="2578"/>
      <c r="AI44" s="2578"/>
      <c r="AJ44" s="2579"/>
      <c r="AK44" s="1546" t="s">
        <v>1735</v>
      </c>
      <c r="AM44" s="737"/>
      <c r="AN44" s="737" t="str">
        <f>IF(T44="","",T44)</f>
        <v>Наименование признака дифференциации</v>
      </c>
      <c r="AO44" s="737"/>
      <c r="AP44" s="737"/>
    </row>
    <row customHeight="1" ht="23.25">
      <c r="A45" s="1659" t="s">
        <v>303</v>
      </c>
      <c r="B45" s="1659" t="s">
        <v>304</v>
      </c>
      <c r="C45" s="1659" t="s">
        <v>305</v>
      </c>
      <c r="D45" s="1659" t="s">
        <v>1751</v>
      </c>
      <c r="E45" s="2425"/>
      <c r="F45" s="2425"/>
      <c r="G45" s="2425"/>
      <c r="H45" s="2425"/>
      <c r="I45" s="2454"/>
      <c r="J45" s="2422" t="str">
        <f>I44&amp;".1"</f>
        <v>...1.1</v>
      </c>
      <c r="K45" s="1659"/>
      <c r="L45" s="1660" t="s">
        <v>1526</v>
      </c>
      <c r="P45" s="2423"/>
      <c r="Q45" s="2423">
        <v>1</v>
      </c>
      <c r="R45" s="578"/>
      <c r="S45" s="1754" t="str">
        <f>$J45</f>
        <v>...1.1</v>
      </c>
      <c r="T45" s="496" t="s">
        <v>1527</v>
      </c>
      <c r="U45" s="510"/>
      <c r="V45" s="2411"/>
      <c r="W45" s="2412"/>
      <c r="X45" s="2412"/>
      <c r="Y45" s="2412"/>
      <c r="Z45" s="2412"/>
      <c r="AA45" s="2412"/>
      <c r="AB45" s="2413"/>
      <c r="AC45" s="2411"/>
      <c r="AD45" s="2412"/>
      <c r="AE45" s="2412"/>
      <c r="AF45" s="2412"/>
      <c r="AG45" s="2412"/>
      <c r="AH45" s="2412"/>
      <c r="AI45" s="2412"/>
      <c r="AJ45" s="2413"/>
      <c r="AK45" s="1602" t="s">
        <v>1736</v>
      </c>
      <c r="AM45" s="737"/>
      <c r="AN45" s="737" t="str">
        <f>IF(T45="","",T45)</f>
        <v>Группа потребителей</v>
      </c>
      <c r="AO45" s="737"/>
      <c r="AP45" s="737"/>
    </row>
    <row customHeight="1" ht="23.25">
      <c r="A46" s="1659" t="s">
        <v>303</v>
      </c>
      <c r="B46" s="1659" t="s">
        <v>304</v>
      </c>
      <c r="C46" s="1659" t="s">
        <v>305</v>
      </c>
      <c r="D46" s="1659" t="s">
        <v>1751</v>
      </c>
      <c r="E46" s="2425"/>
      <c r="F46" s="2425"/>
      <c r="G46" s="2425"/>
      <c r="H46" s="2425"/>
      <c r="I46" s="2454"/>
      <c r="J46" s="2455"/>
      <c r="K46" s="2422" t="str">
        <f>J45&amp;".1"</f>
        <v>...1.1.1</v>
      </c>
      <c r="L46" s="1660"/>
      <c r="P46" s="2423"/>
      <c r="Q46" s="2423"/>
      <c r="R46" s="578">
        <v>1</v>
      </c>
      <c r="S46" s="1754" t="str">
        <f>$K46</f>
        <v>...1.1.1</v>
      </c>
      <c r="T46" s="1734"/>
      <c r="U46" s="510"/>
      <c r="V46" s="4065"/>
      <c r="W46" s="4065"/>
      <c r="X46" s="4067"/>
      <c r="Y46" s="2430"/>
      <c r="Z46" s="2142" t="s">
        <v>67</v>
      </c>
      <c r="AA46" s="2430"/>
      <c r="AB46" s="2142" t="s">
        <v>67</v>
      </c>
      <c r="AC46" s="4065"/>
      <c r="AD46" s="4065"/>
      <c r="AE46" s="4067"/>
      <c r="AF46" s="2430"/>
      <c r="AG46" s="2142" t="s">
        <v>67</v>
      </c>
      <c r="AH46" s="2456"/>
      <c r="AI46" s="2142" t="s">
        <v>67</v>
      </c>
      <c r="AJ46" s="4569"/>
      <c r="AK46" s="257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748">
        <f>STRCHECKDATE(V47:AJ47)</f>
      </c>
      <c r="AM46" s="737"/>
      <c r="AN46" s="737" t="str">
        <f>IF(T46="","",T46)</f>
        <v/>
      </c>
      <c r="AO46" s="737"/>
      <c r="AP46" s="737"/>
    </row>
    <row customHeight="1" ht="0">
      <c r="A47" s="1659" t="s">
        <v>303</v>
      </c>
      <c r="B47" s="1659" t="s">
        <v>304</v>
      </c>
      <c r="C47" s="1659" t="s">
        <v>305</v>
      </c>
      <c r="D47" s="1659" t="s">
        <v>1751</v>
      </c>
      <c r="E47" s="2425"/>
      <c r="F47" s="2425"/>
      <c r="G47" s="2425"/>
      <c r="H47" s="2425"/>
      <c r="I47" s="2454"/>
      <c r="J47" s="2455"/>
      <c r="K47" s="2422"/>
      <c r="L47" s="1660"/>
      <c r="P47" s="2423"/>
      <c r="Q47" s="2423"/>
      <c r="R47" s="578"/>
      <c r="S47" s="1753"/>
      <c r="T47" s="510"/>
      <c r="U47" s="510"/>
      <c r="V47" s="4066"/>
      <c r="W47" s="4066"/>
      <c r="X47" s="4071" t="str">
        <f>Y46&amp;"-"&amp;AA46</f>
        <v>-</v>
      </c>
      <c r="Y47" s="2431"/>
      <c r="Z47" s="2142"/>
      <c r="AA47" s="2431"/>
      <c r="AB47" s="2142"/>
      <c r="AC47" s="4066"/>
      <c r="AD47" s="4066"/>
      <c r="AE47" s="4071" t="str">
        <f>AF46&amp;"-"&amp;AH46</f>
        <v>-</v>
      </c>
      <c r="AF47" s="2431"/>
      <c r="AG47" s="2142"/>
      <c r="AH47" s="2457"/>
      <c r="AI47" s="2142"/>
      <c r="AJ47" s="4572"/>
      <c r="AK47" s="2573"/>
      <c r="AM47" s="737"/>
      <c r="AN47" s="737" t="str">
        <f>IF(T47="","",T47)</f>
        <v/>
      </c>
      <c r="AO47" s="737"/>
      <c r="AP47" s="737"/>
    </row>
    <row customHeight="1" ht="21">
      <c r="A48" s="1659" t="s">
        <v>303</v>
      </c>
      <c r="B48" s="1659" t="s">
        <v>304</v>
      </c>
      <c r="C48" s="1659" t="s">
        <v>305</v>
      </c>
      <c r="D48" s="1659" t="s">
        <v>1751</v>
      </c>
      <c r="E48" s="2425"/>
      <c r="F48" s="2425"/>
      <c r="G48" s="2425"/>
      <c r="H48" s="2425"/>
      <c r="I48" s="2454"/>
      <c r="J48" s="2422"/>
      <c r="K48" s="1659"/>
      <c r="L48" s="1660"/>
      <c r="P48" s="2423"/>
      <c r="Q48" s="2423"/>
      <c r="R48" s="577"/>
      <c r="S48" s="1568"/>
      <c r="T48" s="497" t="s">
        <v>1737</v>
      </c>
      <c r="U48" s="592"/>
      <c r="V48" s="592"/>
      <c r="W48" s="592"/>
      <c r="X48" s="592"/>
      <c r="Y48" s="592"/>
      <c r="Z48" s="592"/>
      <c r="AA48" s="592"/>
      <c r="AB48" s="592"/>
      <c r="AC48" s="592"/>
      <c r="AD48" s="592"/>
      <c r="AE48" s="592"/>
      <c r="AF48" s="592"/>
      <c r="AG48" s="592"/>
      <c r="AH48" s="592"/>
      <c r="AI48" s="592"/>
      <c r="AJ48" s="592"/>
      <c r="AK48" s="1546" t="s">
        <v>1738</v>
      </c>
      <c r="AM48" s="737"/>
      <c r="AN48" s="737" t="str">
        <f>IF(T48="","",T48)</f>
        <v>Добавить значение признака дифференциации</v>
      </c>
      <c r="AO48" s="737"/>
      <c r="AP48" s="737"/>
    </row>
    <row customHeight="1" ht="21">
      <c r="A49" s="1659" t="s">
        <v>303</v>
      </c>
      <c r="B49" s="1659" t="s">
        <v>304</v>
      </c>
      <c r="C49" s="1659" t="s">
        <v>305</v>
      </c>
      <c r="D49" s="1659" t="s">
        <v>1751</v>
      </c>
      <c r="E49" s="2425"/>
      <c r="F49" s="2425"/>
      <c r="G49" s="2425"/>
      <c r="H49" s="2425"/>
      <c r="I49" s="2453"/>
      <c r="J49" s="1659"/>
      <c r="K49" s="1659"/>
      <c r="L49" s="1660"/>
      <c r="P49" s="2423"/>
      <c r="Q49" s="1747"/>
      <c r="R49" s="577"/>
      <c r="S49" s="1568"/>
      <c r="T49" s="589" t="s">
        <v>1532</v>
      </c>
      <c r="U49" s="592"/>
      <c r="V49" s="592"/>
      <c r="W49" s="592"/>
      <c r="X49" s="592"/>
      <c r="Y49" s="592"/>
      <c r="Z49" s="592"/>
      <c r="AA49" s="592"/>
      <c r="AB49" s="591"/>
      <c r="AC49" s="592"/>
      <c r="AD49" s="592"/>
      <c r="AE49" s="592"/>
      <c r="AF49" s="592"/>
      <c r="AG49" s="592"/>
      <c r="AH49" s="592"/>
      <c r="AI49" s="591"/>
      <c r="AJ49" s="592"/>
      <c r="AK49" s="1737"/>
      <c r="AM49" s="737"/>
      <c r="AN49" s="737" t="str">
        <f>IF(T49="","",T49)</f>
        <v>Добавить группу потребителей</v>
      </c>
      <c r="AO49" s="737"/>
      <c r="AP49" s="737"/>
    </row>
    <row customHeight="1" ht="21">
      <c r="A50" s="1659" t="s">
        <v>303</v>
      </c>
      <c r="B50" s="1659" t="s">
        <v>304</v>
      </c>
      <c r="C50" s="1659" t="s">
        <v>305</v>
      </c>
      <c r="D50" s="1659" t="s">
        <v>1751</v>
      </c>
      <c r="E50" s="2425"/>
      <c r="F50" s="2425"/>
      <c r="G50" s="2425"/>
      <c r="H50" s="2424"/>
      <c r="I50" s="1659"/>
      <c r="J50" s="1659"/>
      <c r="K50" s="1659"/>
      <c r="L50" s="1660"/>
      <c r="M50" s="1661"/>
      <c r="N50" s="1661"/>
      <c r="O50" s="774"/>
      <c r="P50" s="581"/>
      <c r="Q50" s="601"/>
      <c r="R50" s="576"/>
      <c r="S50" s="1568"/>
      <c r="T50" s="597" t="s">
        <v>1739</v>
      </c>
      <c r="U50" s="592"/>
      <c r="V50" s="592"/>
      <c r="W50" s="592"/>
      <c r="X50" s="592"/>
      <c r="Y50" s="592"/>
      <c r="Z50" s="592"/>
      <c r="AA50" s="592"/>
      <c r="AB50" s="591"/>
      <c r="AC50" s="592"/>
      <c r="AD50" s="592"/>
      <c r="AE50" s="592"/>
      <c r="AF50" s="592"/>
      <c r="AG50" s="592"/>
      <c r="AH50" s="592"/>
      <c r="AI50" s="591"/>
      <c r="AJ50" s="592"/>
      <c r="AK50" s="513"/>
      <c r="AM50" s="737"/>
      <c r="AN50" s="737" t="str">
        <f>IF(T50="","",T50)</f>
        <v>Добавить наименование признака дифференциации</v>
      </c>
      <c r="AO50" s="737"/>
      <c r="AP50" s="737"/>
    </row>
    <row s="10863" customFormat="1" customHeight="1" ht="0.75">
      <c r="A51" s="1638" t="s">
        <v>303</v>
      </c>
      <c r="B51" s="1638" t="s">
        <v>304</v>
      </c>
      <c r="C51" s="1609"/>
      <c r="D51" s="1609"/>
      <c r="E51" s="2425"/>
      <c r="F51" s="2424"/>
      <c r="G51" s="1609"/>
      <c r="H51" s="1609"/>
      <c r="I51" s="1609"/>
      <c r="J51" s="1609"/>
      <c r="K51" s="1609"/>
      <c r="L51" s="1755"/>
      <c r="M51" s="1616"/>
      <c r="N51" s="1616"/>
      <c r="P51" s="1611"/>
      <c r="Q51" s="1612"/>
      <c r="R51" s="1611"/>
      <c r="S51" s="1617"/>
      <c r="T51" s="1620" t="s">
        <v>1493</v>
      </c>
      <c r="U51" s="1619"/>
      <c r="V51" s="1619"/>
      <c r="W51" s="1619"/>
      <c r="X51" s="1619"/>
      <c r="Y51" s="1619"/>
      <c r="Z51" s="1619"/>
      <c r="AA51" s="1619"/>
      <c r="AB51" s="1619"/>
      <c r="AC51" s="1619"/>
      <c r="AD51" s="1619"/>
      <c r="AE51" s="1619"/>
      <c r="AF51" s="1619"/>
      <c r="AG51" s="1619"/>
      <c r="AH51" s="1619"/>
      <c r="AI51" s="1619"/>
      <c r="AJ51" s="1619"/>
      <c r="AK51" s="1619"/>
      <c r="AM51" s="1029"/>
      <c r="AN51" s="1029" t="str">
        <f>IF(T51="","",T51)</f>
        <v>Добавить централизованную систему для дифференциации</v>
      </c>
      <c r="AO51" s="1029"/>
      <c r="AP51" s="1029"/>
    </row>
    <row s="10863" customFormat="1" customHeight="1" ht="0.75">
      <c r="A52" s="1638" t="s">
        <v>303</v>
      </c>
      <c r="B52" s="1638"/>
      <c r="C52" s="1638"/>
      <c r="D52" s="1638"/>
      <c r="E52" s="2424"/>
      <c r="F52" s="1638"/>
      <c r="G52" s="1638"/>
      <c r="H52" s="1638"/>
      <c r="I52" s="1638"/>
      <c r="J52" s="1638"/>
      <c r="K52" s="1638"/>
      <c r="L52" s="1641"/>
      <c r="M52" s="1616"/>
      <c r="N52" s="1616"/>
      <c r="O52" s="755"/>
      <c r="P52" s="610"/>
      <c r="Q52" s="1639"/>
      <c r="R52" s="610"/>
      <c r="S52" s="1617"/>
      <c r="T52" s="1620" t="s">
        <v>1494</v>
      </c>
      <c r="U52" s="1619"/>
      <c r="V52" s="1619"/>
      <c r="W52" s="1619"/>
      <c r="X52" s="1619"/>
      <c r="Y52" s="1619"/>
      <c r="Z52" s="1619"/>
      <c r="AA52" s="1619"/>
      <c r="AB52" s="1619"/>
      <c r="AC52" s="1619"/>
      <c r="AD52" s="1619"/>
      <c r="AE52" s="1619"/>
      <c r="AF52" s="1619"/>
      <c r="AG52" s="1619"/>
      <c r="AH52" s="1619"/>
      <c r="AI52" s="1619"/>
      <c r="AJ52" s="1619"/>
      <c r="AK52" s="1619"/>
      <c r="AM52" s="737"/>
      <c r="AN52" s="737" t="str">
        <f>IF(T52="","",T52)</f>
        <v>Добавить территорию для дифференциации</v>
      </c>
      <c r="AO52" s="737"/>
      <c r="AP52" s="737"/>
    </row>
    <row s="10863" customFormat="1" customHeight="1" ht="0.75">
      <c r="A53" s="1609"/>
      <c r="B53" s="1609"/>
      <c r="C53" s="1609"/>
      <c r="D53" s="1609"/>
      <c r="E53" s="1638"/>
      <c r="F53" s="1609"/>
      <c r="G53" s="1609"/>
      <c r="H53" s="1609"/>
      <c r="I53" s="1609"/>
      <c r="J53" s="1609"/>
      <c r="K53" s="1609"/>
      <c r="L53" s="1755"/>
      <c r="M53" s="1616"/>
      <c r="N53" s="1616"/>
      <c r="P53" s="1611"/>
      <c r="Q53" s="1612"/>
      <c r="R53" s="1611"/>
      <c r="S53" s="1617"/>
      <c r="T53" s="1620" t="s">
        <v>1495</v>
      </c>
      <c r="U53" s="1619"/>
      <c r="V53" s="1619"/>
      <c r="W53" s="1619"/>
      <c r="X53" s="1619"/>
      <c r="Y53" s="1619"/>
      <c r="Z53" s="1619"/>
      <c r="AA53" s="1619"/>
      <c r="AB53" s="1619"/>
      <c r="AC53" s="1619"/>
      <c r="AD53" s="1619"/>
      <c r="AE53" s="1619"/>
      <c r="AF53" s="1619"/>
      <c r="AG53" s="1619"/>
      <c r="AH53" s="1619"/>
      <c r="AI53" s="1619"/>
      <c r="AJ53" s="1619"/>
      <c r="AK53" s="1619"/>
      <c r="AM53" s="1029"/>
      <c r="AN53" s="1029" t="str">
        <f>IF(T53="","",T53)</f>
        <v>Добавить наименование тарифа</v>
      </c>
      <c r="AO53" s="1029"/>
      <c r="AP53" s="1029"/>
    </row>
    <row customHeight="1" ht="11.25" hidden="1">
      <c r="M54" s="1421"/>
      <c r="N54" s="1421"/>
      <c r="O54" s="774"/>
      <c r="P54" s="1416"/>
      <c r="Q54" s="1416"/>
      <c r="R54" s="1416"/>
      <c r="S54" s="1416"/>
      <c r="AL54" s="1416"/>
      <c r="AM54" s="1416"/>
      <c r="AN54" s="1416"/>
      <c r="AO54" s="1416"/>
      <c r="AP54" s="1416"/>
    </row>
    <row customHeight="1" ht="14.25" hidden="1">
      <c r="O55" s="774"/>
      <c r="S55" s="1533" t="s">
        <v>1565</v>
      </c>
      <c r="T55" s="2452" t="s">
        <v>1747</v>
      </c>
      <c r="U55" s="2452"/>
      <c r="V55" s="2452"/>
      <c r="W55" s="2452"/>
      <c r="X55" s="2452"/>
      <c r="Y55" s="2452"/>
      <c r="Z55" s="2452"/>
      <c r="AA55" s="2452"/>
      <c r="AB55" s="2452"/>
      <c r="AC55" s="2452"/>
      <c r="AD55" s="2452"/>
      <c r="AE55" s="2452"/>
      <c r="AF55" s="2452"/>
      <c r="AG55" s="2452"/>
      <c r="AH55" s="2452"/>
      <c r="AI55" s="2452"/>
      <c r="AJ55" s="2452"/>
      <c r="AK55" s="2452"/>
    </row>
    <row customHeight="1" ht="14.25" hidden="1">
      <c r="O56" s="774"/>
    </row>
    <row customHeight="1" ht="14.25" hidden="1">
      <c r="O57" s="774"/>
      <c r="S57" s="1533" t="s">
        <v>1565</v>
      </c>
      <c r="T57" s="2452" t="s">
        <v>1748</v>
      </c>
      <c r="U57" s="2452"/>
      <c r="V57" s="2452"/>
      <c r="W57" s="2452"/>
      <c r="X57" s="2452"/>
      <c r="Y57" s="2452"/>
      <c r="Z57" s="2452"/>
      <c r="AA57" s="2452"/>
      <c r="AB57" s="2452"/>
      <c r="AC57" s="2452"/>
      <c r="AD57" s="2452"/>
      <c r="AE57" s="2452"/>
      <c r="AF57" s="2452"/>
      <c r="AG57" s="2452"/>
      <c r="AH57" s="2452"/>
      <c r="AI57" s="2452"/>
      <c r="AJ57" s="2452"/>
      <c r="AK57" s="2452"/>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ACD70FE-38B2-1A61-9DAE-784EDFD2D7AD}" mc:Ignorable="x14ac xr xr2 xr3">
  <sheetPr>
    <tabColor theme="6" tint="0.4"/>
  </sheetPr>
  <dimension ref="A1:BH68"/>
  <sheetViews>
    <sheetView topLeftCell="R27" showGridLines="0" zoomScale="90" workbookViewId="0">
      <selection activeCell="A1" sqref="A1"/>
    </sheetView>
  </sheetViews>
  <sheetFormatPr defaultColWidth="10.57421875" customHeight="1" defaultRowHeight="14.25"/>
  <cols>
    <col min="1" max="1" style="11074" width="11.57421875" hidden="1" customWidth="1"/>
    <col min="2" max="2" style="11074" width="11.00390625" hidden="1" customWidth="1"/>
    <col min="3" max="3" style="11074" width="10.57421875" hidden="1"/>
    <col min="4" max="4" style="11074" width="12.8515625" hidden="1" customWidth="1"/>
    <col min="5" max="5" style="11074" width="10.00390625" hidden="1" customWidth="1"/>
    <col min="6" max="6" style="11074" width="8.7109375" hidden="1" customWidth="1"/>
    <col min="7" max="7" style="11074" width="7.57421875" hidden="1" customWidth="1"/>
    <col min="8" max="8" style="11074" width="11.421875" hidden="1" customWidth="1"/>
    <col min="9" max="9" style="11074" width="12.00390625" hidden="1" customWidth="1"/>
    <col min="10" max="10" style="11074" width="9.8515625" hidden="1" customWidth="1"/>
    <col min="11" max="11" style="11074" width="11.421875" hidden="1" customWidth="1"/>
    <col min="12" max="12" style="11240" width="19.140625" hidden="1" customWidth="1"/>
    <col min="13" max="14" style="9887" width="12.28125" hidden="1" customWidth="1"/>
    <col min="15" max="15" style="9887" width="23.421875" hidden="1" customWidth="1"/>
    <col min="16" max="16" style="9887" width="3.7109375" hidden="1" customWidth="1"/>
    <col min="17" max="17" style="9945" width="3.7109375" hidden="1" customWidth="1"/>
    <col min="18" max="18" style="10046" width="3.7109375" customWidth="1"/>
    <col min="19" max="19" style="11124" width="12.7109375" customWidth="1"/>
    <col min="20" max="20" style="11126" width="32.00390625" customWidth="1"/>
    <col min="21" max="21" style="11126" width="0.140625" customWidth="1"/>
    <col min="22" max="25" style="11126" width="21.7109375" hidden="1" customWidth="1"/>
    <col min="26" max="26" style="11126" width="11.7109375" hidden="1" customWidth="1"/>
    <col min="27" max="27" style="11126" width="3.7109375" hidden="1" customWidth="1"/>
    <col min="28" max="28" style="11126" width="11.7109375" hidden="1" customWidth="1"/>
    <col min="29" max="29" style="11126" width="8.57421875" hidden="1" customWidth="1"/>
    <col min="30" max="32" style="11126" width="3.7109375" customWidth="1"/>
    <col min="33" max="33" style="11126" width="24.7109375" customWidth="1"/>
    <col min="34" max="36" style="11126" width="3.7109375" customWidth="1"/>
    <col min="37" max="37" style="11126" width="24.7109375" customWidth="1"/>
    <col min="38" max="40" style="11126" width="3.7109375" customWidth="1"/>
    <col min="41" max="41" style="11126" width="18.8515625" customWidth="1"/>
    <col min="42" max="44" style="11126" width="3.7109375" customWidth="1"/>
    <col min="45" max="45" style="11126" width="18.8515625" customWidth="1"/>
    <col min="46" max="49" style="11126" width="21.7109375" customWidth="1"/>
    <col min="50" max="50" style="11126" width="11.7109375" customWidth="1"/>
    <col min="51" max="51" style="11126" width="3.7109375" customWidth="1"/>
    <col min="52" max="52" style="11126" width="11.7109375" customWidth="1"/>
    <col min="53" max="53" style="11126" width="8.57421875" hidden="1" customWidth="1"/>
    <col min="54" max="54" style="11126" width="4.7109375" customWidth="1"/>
    <col min="55" max="55" style="11126" width="115.7109375" customWidth="1"/>
    <col min="56" max="57" style="10863" width="10.57421875"/>
    <col min="58" max="58" style="10863" width="11.140625" customWidth="1"/>
    <col min="59" max="60" style="10863" width="10.57421875"/>
  </cols>
  <sheetData>
    <row customHeight="1" ht="14.25" hidden="1">
      <c r="W1" s="548"/>
      <c r="Y1" s="548"/>
      <c r="Z1" s="548"/>
      <c r="AW1" s="548"/>
      <c r="AX1" s="548"/>
    </row>
    <row customHeight="1" ht="21" hidden="1">
      <c r="A2" s="1659"/>
      <c r="B2" s="1659"/>
      <c r="C2" s="1659"/>
      <c r="D2" s="1659"/>
      <c r="E2" s="2424">
        <v>1</v>
      </c>
      <c r="F2" s="1659"/>
      <c r="G2" s="1659"/>
      <c r="H2" s="1659"/>
      <c r="I2" s="1659"/>
      <c r="J2" s="1659"/>
      <c r="K2" s="1659"/>
      <c r="L2" s="1660"/>
      <c r="M2" s="1661"/>
      <c r="N2" s="1661"/>
      <c r="O2" s="1661"/>
      <c r="P2" s="1706"/>
      <c r="Q2" s="1120"/>
      <c r="R2" s="576"/>
      <c r="S2" s="1762">
        <f>INDEX(PT_DIFFERENTIATION_NUM_NTAR,MATCH(A2,PT_DIFFERENTIATION_NTAR_ID,0))</f>
      </c>
      <c r="T2" s="508" t="s">
        <v>200</v>
      </c>
      <c r="U2" s="510"/>
      <c r="V2" s="4038"/>
      <c r="W2" s="4038"/>
      <c r="X2" s="4038"/>
      <c r="Y2" s="4038"/>
      <c r="Z2" s="4038"/>
      <c r="AA2" s="4038"/>
      <c r="AB2" s="4038"/>
      <c r="AC2" s="4039"/>
      <c r="AD2" s="4037">
        <f>INDEX(PT_DIFFERENTIATION_NTAR,MATCH(A2,PT_DIFFERENTIATION_NTAR_ID,0))</f>
      </c>
      <c r="AE2" s="4038"/>
      <c r="AF2" s="4038"/>
      <c r="AG2" s="4038"/>
      <c r="AH2" s="4038"/>
      <c r="AI2" s="4038"/>
      <c r="AJ2" s="4038"/>
      <c r="AK2" s="4038"/>
      <c r="AL2" s="4038"/>
      <c r="AM2" s="4038"/>
      <c r="AN2" s="4038"/>
      <c r="AO2" s="4038"/>
      <c r="AP2" s="4038"/>
      <c r="AQ2" s="4038"/>
      <c r="AR2" s="4038"/>
      <c r="AS2" s="4038"/>
      <c r="AT2" s="4038"/>
      <c r="AU2" s="4038"/>
      <c r="AV2" s="4038"/>
      <c r="AW2" s="4038"/>
      <c r="AX2" s="4038"/>
      <c r="AY2" s="4038"/>
      <c r="AZ2" s="4038"/>
      <c r="BA2" s="4038"/>
      <c r="BB2" s="4039"/>
      <c r="BC2" s="1546"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737"/>
      <c r="BF2" s="737" t="str">
        <f>IF(T2="","",T2)</f>
        <v>Наименование тарифа</v>
      </c>
      <c r="BG2" s="737"/>
      <c r="BH2" s="737"/>
    </row>
    <row customHeight="1" ht="21" hidden="1">
      <c r="A3" s="1659"/>
      <c r="B3" s="1659"/>
      <c r="C3" s="1659"/>
      <c r="D3" s="1659"/>
      <c r="E3" s="2425"/>
      <c r="F3" s="2424">
        <v>1</v>
      </c>
      <c r="G3" s="1659"/>
      <c r="H3" s="1659"/>
      <c r="I3" s="1659"/>
      <c r="J3" s="1659"/>
      <c r="K3" s="1659"/>
      <c r="L3" s="1660"/>
      <c r="M3" s="1661"/>
      <c r="N3" s="1661"/>
      <c r="O3" s="1661"/>
      <c r="P3" s="1707"/>
      <c r="Q3" s="1708"/>
      <c r="R3" s="574"/>
      <c r="S3" s="1762">
        <f>INDEX(PT_DIFFERENTIATION_NUM_TER,MATCH(B3,PT_DIFFERENTIATION_TER_ID,0))</f>
      </c>
      <c r="T3" s="520" t="s">
        <v>1517</v>
      </c>
      <c r="U3" s="510"/>
      <c r="V3" s="4038"/>
      <c r="W3" s="4038"/>
      <c r="X3" s="4038"/>
      <c r="Y3" s="4038"/>
      <c r="Z3" s="4038"/>
      <c r="AA3" s="4038"/>
      <c r="AB3" s="4038"/>
      <c r="AC3" s="4039"/>
      <c r="AD3" s="4037">
        <f>INDEX(PT_DIFFERENTIATION_TER,MATCH(B3,PT_DIFFERENTIATION_TER_ID,0))</f>
      </c>
      <c r="AE3" s="4038"/>
      <c r="AF3" s="4038"/>
      <c r="AG3" s="4038"/>
      <c r="AH3" s="4038"/>
      <c r="AI3" s="4038"/>
      <c r="AJ3" s="4038"/>
      <c r="AK3" s="4038"/>
      <c r="AL3" s="4038"/>
      <c r="AM3" s="4038"/>
      <c r="AN3" s="4038"/>
      <c r="AO3" s="4038"/>
      <c r="AP3" s="4038"/>
      <c r="AQ3" s="4038"/>
      <c r="AR3" s="4038"/>
      <c r="AS3" s="4038"/>
      <c r="AT3" s="4038"/>
      <c r="AU3" s="4038"/>
      <c r="AV3" s="4038"/>
      <c r="AW3" s="4038"/>
      <c r="AX3" s="4038"/>
      <c r="AY3" s="4038"/>
      <c r="AZ3" s="4038"/>
      <c r="BA3" s="4038"/>
      <c r="BB3" s="4039"/>
      <c r="BC3" s="1546" t="s">
        <v>1518</v>
      </c>
      <c r="BE3" s="737"/>
      <c r="BF3" s="737" t="str">
        <f>IF(T3="","",T3)</f>
        <v>Территория действия тарифа</v>
      </c>
      <c r="BG3" s="737"/>
      <c r="BH3" s="737"/>
    </row>
    <row customHeight="1" ht="42" hidden="1">
      <c r="A4" s="1659"/>
      <c r="B4" s="1659"/>
      <c r="C4" s="1659"/>
      <c r="D4" s="1659"/>
      <c r="E4" s="2425"/>
      <c r="F4" s="2425"/>
      <c r="G4" s="2424">
        <v>1</v>
      </c>
      <c r="H4" s="1659"/>
      <c r="I4" s="1659"/>
      <c r="J4" s="1659"/>
      <c r="K4" s="1659"/>
      <c r="L4" s="1660"/>
      <c r="M4" s="1661"/>
      <c r="N4" s="1661"/>
      <c r="O4" s="1661"/>
      <c r="P4" s="1709"/>
      <c r="Q4" s="1708"/>
      <c r="R4" s="574"/>
      <c r="S4" s="1762">
        <f>INDEX(PT_DIFFERENTIATION_NUM_CS,MATCH(C4,PT_DIFFERENTIATION_CS_ID,0))</f>
      </c>
      <c r="T4" s="521" t="s">
        <v>1732</v>
      </c>
      <c r="U4" s="510"/>
      <c r="V4" s="4038"/>
      <c r="W4" s="4038"/>
      <c r="X4" s="4038"/>
      <c r="Y4" s="4038"/>
      <c r="Z4" s="4038"/>
      <c r="AA4" s="4038"/>
      <c r="AB4" s="4038"/>
      <c r="AC4" s="4039"/>
      <c r="AD4" s="4037">
        <f>INDEX(PT_DIFFERENTIATION_CS,MATCH(C4,PT_DIFFERENTIATION_CS_ID,0))</f>
      </c>
      <c r="AE4" s="4038"/>
      <c r="AF4" s="4038"/>
      <c r="AG4" s="4038"/>
      <c r="AH4" s="4038"/>
      <c r="AI4" s="4038"/>
      <c r="AJ4" s="4038"/>
      <c r="AK4" s="4038"/>
      <c r="AL4" s="4038"/>
      <c r="AM4" s="4038"/>
      <c r="AN4" s="4038"/>
      <c r="AO4" s="4038"/>
      <c r="AP4" s="4038"/>
      <c r="AQ4" s="4038"/>
      <c r="AR4" s="4038"/>
      <c r="AS4" s="4038"/>
      <c r="AT4" s="4038"/>
      <c r="AU4" s="4038"/>
      <c r="AV4" s="4038"/>
      <c r="AW4" s="4038"/>
      <c r="AX4" s="4038"/>
      <c r="AY4" s="4038"/>
      <c r="AZ4" s="4038"/>
      <c r="BA4" s="4038"/>
      <c r="BB4" s="4039"/>
      <c r="BC4" s="1546" t="s">
        <v>1733</v>
      </c>
      <c r="BE4" s="737"/>
      <c r="BF4" s="737" t="str">
        <f>IF(T4="","",T4)</f>
        <v>Наименование централизованной системы холодного водоснабжения</v>
      </c>
      <c r="BG4" s="737"/>
      <c r="BH4" s="737"/>
    </row>
    <row s="10863" customFormat="1" customHeight="1" ht="14.25" hidden="1">
      <c r="A5" s="1638"/>
      <c r="B5" s="1638"/>
      <c r="C5" s="1638"/>
      <c r="D5" s="1638"/>
      <c r="E5" s="2425"/>
      <c r="F5" s="2425"/>
      <c r="G5" s="2425"/>
      <c r="H5" s="2424">
        <v>1</v>
      </c>
      <c r="I5" s="1638"/>
      <c r="J5" s="1638"/>
      <c r="K5" s="1638"/>
      <c r="L5" s="1641"/>
      <c r="M5" s="1610"/>
      <c r="N5" s="1610"/>
      <c r="O5" s="1610"/>
      <c r="P5" s="1794"/>
      <c r="Q5" s="1795"/>
      <c r="R5" s="578"/>
      <c r="S5" s="1300"/>
      <c r="T5" s="1796"/>
      <c r="U5" s="1680"/>
      <c r="V5" s="2464"/>
      <c r="W5" s="2464"/>
      <c r="X5" s="2464"/>
      <c r="Y5" s="2464"/>
      <c r="Z5" s="2464"/>
      <c r="AA5" s="2464"/>
      <c r="AB5" s="2464"/>
      <c r="AC5" s="2465"/>
      <c r="AD5" s="2463"/>
      <c r="AE5" s="2464"/>
      <c r="AF5" s="2464"/>
      <c r="AG5" s="2464"/>
      <c r="AH5" s="2464"/>
      <c r="AI5" s="2464"/>
      <c r="AJ5" s="2464"/>
      <c r="AK5" s="2464"/>
      <c r="AL5" s="2464"/>
      <c r="AM5" s="2464"/>
      <c r="AN5" s="2464"/>
      <c r="AO5" s="2464"/>
      <c r="AP5" s="2464"/>
      <c r="AQ5" s="2464"/>
      <c r="AR5" s="2464"/>
      <c r="AS5" s="2464"/>
      <c r="AT5" s="2464"/>
      <c r="AU5" s="2464"/>
      <c r="AV5" s="2464"/>
      <c r="AW5" s="2464"/>
      <c r="AX5" s="2464"/>
      <c r="AY5" s="2464"/>
      <c r="AZ5" s="2464"/>
      <c r="BA5" s="2464"/>
      <c r="BB5" s="2465"/>
      <c r="BC5" s="1681" t="s">
        <v>1522</v>
      </c>
      <c r="BE5" s="737"/>
      <c r="BF5" s="737" t="str">
        <f>IF(T5="","",T5)</f>
        <v/>
      </c>
      <c r="BG5" s="737"/>
      <c r="BH5" s="737"/>
    </row>
    <row s="10863" customFormat="1" customHeight="1" ht="14.25" hidden="1">
      <c r="A6" s="1638"/>
      <c r="B6" s="1638"/>
      <c r="C6" s="1638"/>
      <c r="D6" s="1638"/>
      <c r="E6" s="2425"/>
      <c r="F6" s="2425"/>
      <c r="G6" s="2425"/>
      <c r="H6" s="2425"/>
      <c r="I6" s="2453" t="str">
        <f>S5&amp;".1"</f>
        <v>.1</v>
      </c>
      <c r="J6" s="1638"/>
      <c r="K6" s="1638"/>
      <c r="L6" s="1641" t="s">
        <v>1523</v>
      </c>
      <c r="M6" s="747"/>
      <c r="N6" s="747"/>
      <c r="O6" s="747"/>
      <c r="P6" s="2423">
        <v>1</v>
      </c>
      <c r="Q6" s="1759"/>
      <c r="R6" s="577"/>
      <c r="S6" s="1300"/>
      <c r="T6" s="1679"/>
      <c r="U6" s="1680"/>
      <c r="V6" s="2464"/>
      <c r="W6" s="2464"/>
      <c r="X6" s="2464"/>
      <c r="Y6" s="2464"/>
      <c r="Z6" s="2464"/>
      <c r="AA6" s="2464"/>
      <c r="AB6" s="2464"/>
      <c r="AC6" s="2465"/>
      <c r="AD6" s="2463"/>
      <c r="AE6" s="2464"/>
      <c r="AF6" s="2464"/>
      <c r="AG6" s="2464"/>
      <c r="AH6" s="2464"/>
      <c r="AI6" s="2464"/>
      <c r="AJ6" s="2464"/>
      <c r="AK6" s="2464"/>
      <c r="AL6" s="2464"/>
      <c r="AM6" s="2464"/>
      <c r="AN6" s="2464"/>
      <c r="AO6" s="2464"/>
      <c r="AP6" s="2464"/>
      <c r="AQ6" s="2464"/>
      <c r="AR6" s="2464"/>
      <c r="AS6" s="2464"/>
      <c r="AT6" s="2464"/>
      <c r="AU6" s="2464"/>
      <c r="AV6" s="2464"/>
      <c r="AW6" s="2464"/>
      <c r="AX6" s="2464"/>
      <c r="AY6" s="2464"/>
      <c r="AZ6" s="2464"/>
      <c r="BA6" s="2464"/>
      <c r="BB6" s="2465"/>
      <c r="BC6" s="1681"/>
      <c r="BE6" s="737"/>
      <c r="BF6" s="737" t="str">
        <f>IF(T6="","",T6)</f>
        <v/>
      </c>
      <c r="BG6" s="737"/>
      <c r="BH6" s="737"/>
    </row>
    <row s="10863" customFormat="1" customHeight="1" ht="14.25" hidden="1">
      <c r="A7" s="1638"/>
      <c r="B7" s="1638"/>
      <c r="C7" s="1638"/>
      <c r="D7" s="1638"/>
      <c r="E7" s="2425"/>
      <c r="F7" s="2425"/>
      <c r="G7" s="2425"/>
      <c r="H7" s="2425"/>
      <c r="I7" s="2454"/>
      <c r="J7" s="2422" t="str">
        <f>S5&amp;".1"</f>
        <v>.1</v>
      </c>
      <c r="K7" s="1638"/>
      <c r="L7" s="1641"/>
      <c r="M7" s="747"/>
      <c r="N7" s="747"/>
      <c r="O7" s="747"/>
      <c r="P7" s="2423"/>
      <c r="Q7" s="2423">
        <v>1</v>
      </c>
      <c r="R7" s="578"/>
      <c r="S7" s="1300"/>
      <c r="T7" s="1695"/>
      <c r="U7" s="1680"/>
      <c r="V7" s="2464"/>
      <c r="W7" s="2464"/>
      <c r="X7" s="2464"/>
      <c r="Y7" s="2464"/>
      <c r="Z7" s="2464"/>
      <c r="AA7" s="2464"/>
      <c r="AB7" s="2464"/>
      <c r="AC7" s="2465"/>
      <c r="AD7" s="2463"/>
      <c r="AE7" s="2464"/>
      <c r="AF7" s="2464"/>
      <c r="AG7" s="2464"/>
      <c r="AH7" s="2464"/>
      <c r="AI7" s="2464"/>
      <c r="AJ7" s="2464"/>
      <c r="AK7" s="2464"/>
      <c r="AL7" s="2464"/>
      <c r="AM7" s="2464"/>
      <c r="AN7" s="2464"/>
      <c r="AO7" s="2464"/>
      <c r="AP7" s="2464"/>
      <c r="AQ7" s="2464"/>
      <c r="AR7" s="2464"/>
      <c r="AS7" s="2464"/>
      <c r="AT7" s="2464"/>
      <c r="AU7" s="2464"/>
      <c r="AV7" s="2464"/>
      <c r="AW7" s="2464"/>
      <c r="AX7" s="2464"/>
      <c r="AY7" s="2464"/>
      <c r="AZ7" s="2464"/>
      <c r="BA7" s="2464"/>
      <c r="BB7" s="2465"/>
      <c r="BC7" s="1681"/>
      <c r="BE7" s="737"/>
      <c r="BF7" s="737" t="str">
        <f>IF(T7="","",T7)</f>
        <v/>
      </c>
      <c r="BG7" s="737"/>
      <c r="BH7" s="737"/>
    </row>
    <row customHeight="1" ht="11.25" hidden="1">
      <c r="A8" s="1659"/>
      <c r="B8" s="1659"/>
      <c r="C8" s="1659"/>
      <c r="D8" s="1659"/>
      <c r="E8" s="2425"/>
      <c r="F8" s="2425"/>
      <c r="G8" s="2425"/>
      <c r="H8" s="2425"/>
      <c r="I8" s="2454"/>
      <c r="J8" s="2455"/>
      <c r="K8" s="2422">
        <f>S4&amp;".1"</f>
      </c>
      <c r="L8" s="1660"/>
      <c r="P8" s="2423"/>
      <c r="Q8" s="2423"/>
      <c r="R8" s="2513">
        <v>1</v>
      </c>
      <c r="S8" s="2507">
        <f>$K8</f>
      </c>
      <c r="T8" s="2585"/>
      <c r="U8" s="510"/>
      <c r="V8" s="4065"/>
      <c r="W8" s="4067"/>
      <c r="X8" s="4065"/>
      <c r="Y8" s="4067"/>
      <c r="Z8" s="2049"/>
      <c r="AA8" s="1756" t="s">
        <v>67</v>
      </c>
      <c r="AB8" s="2049"/>
      <c r="AC8" s="1756" t="s">
        <v>67</v>
      </c>
      <c r="AD8" s="2232" t="s">
        <v>67</v>
      </c>
      <c r="AE8" s="2496"/>
      <c r="AF8" s="2497">
        <v>1</v>
      </c>
      <c r="AG8" s="2589"/>
      <c r="AH8" s="2142" t="s">
        <v>67</v>
      </c>
      <c r="AI8" s="2496"/>
      <c r="AJ8" s="2497">
        <v>1</v>
      </c>
      <c r="AK8" s="2588" t="s">
        <v>17</v>
      </c>
      <c r="AL8" s="2142" t="s">
        <v>67</v>
      </c>
      <c r="AM8" s="2580"/>
      <c r="AN8" s="2497">
        <v>1</v>
      </c>
      <c r="AO8" s="2582"/>
      <c r="AP8" s="2583" t="s">
        <v>67</v>
      </c>
      <c r="AQ8" s="523"/>
      <c r="AR8" s="1760">
        <v>1</v>
      </c>
      <c r="AS8" s="1763" t="s">
        <v>17</v>
      </c>
      <c r="AT8" s="4065"/>
      <c r="AU8" s="4067"/>
      <c r="AV8" s="4065"/>
      <c r="AW8" s="4067"/>
      <c r="AX8" s="2049"/>
      <c r="AY8" s="1756" t="s">
        <v>67</v>
      </c>
      <c r="AZ8" s="2049"/>
      <c r="BA8" s="1756" t="s">
        <v>67</v>
      </c>
      <c r="BB8" s="4166"/>
      <c r="BC8" s="2419" t="s">
        <v>1752</v>
      </c>
      <c r="BE8" s="737"/>
      <c r="BF8" s="737" t="str">
        <f>IF(T8="","",T8)</f>
        <v/>
      </c>
      <c r="BG8" s="737"/>
      <c r="BH8" s="737"/>
    </row>
    <row customHeight="1" ht="11.25" hidden="1">
      <c r="A9" s="1659"/>
      <c r="B9" s="1659"/>
      <c r="C9" s="1659"/>
      <c r="D9" s="1659"/>
      <c r="E9" s="2425"/>
      <c r="F9" s="2425"/>
      <c r="G9" s="2425"/>
      <c r="H9" s="2425"/>
      <c r="I9" s="2454"/>
      <c r="J9" s="2455"/>
      <c r="K9" s="2422"/>
      <c r="L9" s="1660"/>
      <c r="P9" s="2423"/>
      <c r="Q9" s="2423"/>
      <c r="R9" s="2513"/>
      <c r="S9" s="2508"/>
      <c r="T9" s="2586"/>
      <c r="U9" s="510"/>
      <c r="V9" s="4225"/>
      <c r="W9" s="4281"/>
      <c r="X9" s="4225"/>
      <c r="Y9" s="4281"/>
      <c r="Z9" s="4225"/>
      <c r="AA9" s="4225"/>
      <c r="AB9" s="4225"/>
      <c r="AC9" s="4225"/>
      <c r="AD9" s="2233"/>
      <c r="AE9" s="2496"/>
      <c r="AF9" s="2497"/>
      <c r="AG9" s="2589"/>
      <c r="AH9" s="2142"/>
      <c r="AI9" s="2496"/>
      <c r="AJ9" s="2497"/>
      <c r="AK9" s="2588"/>
      <c r="AL9" s="2142"/>
      <c r="AM9" s="2581"/>
      <c r="AN9" s="2497"/>
      <c r="AO9" s="2582"/>
      <c r="AP9" s="2584"/>
      <c r="AQ9" s="530"/>
      <c r="AR9" s="652"/>
      <c r="AS9" s="652" t="s">
        <v>1753</v>
      </c>
      <c r="AT9" s="4225"/>
      <c r="AU9" s="4281"/>
      <c r="AV9" s="4225"/>
      <c r="AW9" s="4281"/>
      <c r="AX9" s="4225"/>
      <c r="AY9" s="4225"/>
      <c r="AZ9" s="4225"/>
      <c r="BA9" s="4225"/>
      <c r="BB9" s="4279"/>
      <c r="BC9" s="2420"/>
      <c r="BE9" s="737"/>
      <c r="BF9" s="737"/>
      <c r="BG9" s="737"/>
      <c r="BH9" s="737"/>
    </row>
    <row customHeight="1" ht="11.25" hidden="1">
      <c r="A10" s="1659"/>
      <c r="B10" s="1659"/>
      <c r="C10" s="1659"/>
      <c r="D10" s="1659"/>
      <c r="E10" s="2425"/>
      <c r="F10" s="2425"/>
      <c r="G10" s="2425"/>
      <c r="H10" s="2425"/>
      <c r="I10" s="2454"/>
      <c r="J10" s="2455"/>
      <c r="K10" s="2422"/>
      <c r="L10" s="1660"/>
      <c r="P10" s="2423"/>
      <c r="Q10" s="2423"/>
      <c r="R10" s="2513"/>
      <c r="S10" s="2508"/>
      <c r="T10" s="2586"/>
      <c r="U10" s="510"/>
      <c r="V10" s="4225"/>
      <c r="W10" s="4281"/>
      <c r="X10" s="4225"/>
      <c r="Y10" s="4281"/>
      <c r="Z10" s="4225"/>
      <c r="AA10" s="4225"/>
      <c r="AB10" s="4225"/>
      <c r="AC10" s="4225"/>
      <c r="AD10" s="2233"/>
      <c r="AE10" s="2496"/>
      <c r="AF10" s="2497"/>
      <c r="AG10" s="2589"/>
      <c r="AH10" s="2142"/>
      <c r="AI10" s="2496"/>
      <c r="AJ10" s="2497"/>
      <c r="AK10" s="2588"/>
      <c r="AL10" s="2142"/>
      <c r="AM10" s="530"/>
      <c r="AN10" s="1797"/>
      <c r="AO10" s="1797" t="s">
        <v>1754</v>
      </c>
      <c r="AP10" s="652"/>
      <c r="AQ10" s="652"/>
      <c r="AR10" s="652"/>
      <c r="AS10" s="4225"/>
      <c r="AT10" s="4225"/>
      <c r="AU10" s="4281"/>
      <c r="AV10" s="4225"/>
      <c r="AW10" s="4281"/>
      <c r="AX10" s="4225"/>
      <c r="AY10" s="4225"/>
      <c r="AZ10" s="4225"/>
      <c r="BA10" s="4225"/>
      <c r="BB10" s="4279"/>
      <c r="BC10" s="2420"/>
      <c r="BE10" s="737"/>
      <c r="BF10" s="737"/>
      <c r="BG10" s="737"/>
      <c r="BH10" s="737"/>
    </row>
    <row customHeight="1" ht="11.25" hidden="1">
      <c r="A11" s="1659"/>
      <c r="B11" s="1659"/>
      <c r="C11" s="1659"/>
      <c r="D11" s="1659"/>
      <c r="E11" s="2425"/>
      <c r="F11" s="2425"/>
      <c r="G11" s="2425"/>
      <c r="H11" s="2425"/>
      <c r="I11" s="2454"/>
      <c r="J11" s="2455"/>
      <c r="K11" s="2422"/>
      <c r="L11" s="1660"/>
      <c r="P11" s="2423"/>
      <c r="Q11" s="2423"/>
      <c r="R11" s="2513"/>
      <c r="S11" s="2508"/>
      <c r="T11" s="2586"/>
      <c r="U11" s="510"/>
      <c r="V11" s="4225"/>
      <c r="W11" s="4281"/>
      <c r="X11" s="4225"/>
      <c r="Y11" s="4281"/>
      <c r="Z11" s="4225"/>
      <c r="AA11" s="4225"/>
      <c r="AB11" s="4225"/>
      <c r="AC11" s="4225"/>
      <c r="AD11" s="2233"/>
      <c r="AE11" s="2496"/>
      <c r="AF11" s="2497"/>
      <c r="AG11" s="2589"/>
      <c r="AH11" s="2142"/>
      <c r="AI11" s="504"/>
      <c r="AJ11" s="651"/>
      <c r="AK11" s="525" t="s">
        <v>1755</v>
      </c>
      <c r="AL11" s="4225"/>
      <c r="AM11" s="4225"/>
      <c r="AN11" s="4225"/>
      <c r="AO11" s="4225"/>
      <c r="AP11" s="4225"/>
      <c r="AQ11" s="4225"/>
      <c r="AR11" s="4225"/>
      <c r="AS11" s="4225"/>
      <c r="AT11" s="4225"/>
      <c r="AU11" s="4281"/>
      <c r="AV11" s="4225"/>
      <c r="AW11" s="4281"/>
      <c r="AX11" s="4225"/>
      <c r="AY11" s="4225"/>
      <c r="AZ11" s="4225"/>
      <c r="BA11" s="4225"/>
      <c r="BB11" s="4279"/>
      <c r="BC11" s="2420"/>
      <c r="BE11" s="737"/>
      <c r="BF11" s="737"/>
      <c r="BG11" s="737"/>
      <c r="BH11" s="737"/>
    </row>
    <row customHeight="1" ht="11.25" hidden="1">
      <c r="A12" s="1659"/>
      <c r="B12" s="1659"/>
      <c r="C12" s="1659"/>
      <c r="D12" s="1659"/>
      <c r="E12" s="2425"/>
      <c r="F12" s="2425"/>
      <c r="G12" s="2425"/>
      <c r="H12" s="2425"/>
      <c r="I12" s="2454"/>
      <c r="J12" s="2455"/>
      <c r="K12" s="2422"/>
      <c r="L12" s="1660"/>
      <c r="P12" s="2423"/>
      <c r="Q12" s="2423"/>
      <c r="R12" s="2513"/>
      <c r="S12" s="2509"/>
      <c r="T12" s="2587"/>
      <c r="U12" s="510"/>
      <c r="V12" s="4225"/>
      <c r="W12" s="4226" t="str">
        <f>Z8&amp;"-"&amp;AB8</f>
        <v>-</v>
      </c>
      <c r="X12" s="4225"/>
      <c r="Y12" s="4226" t="str">
        <f>AB8&amp;"-"&amp;AD8</f>
        <v>-да</v>
      </c>
      <c r="Z12" s="4225"/>
      <c r="AA12" s="4225"/>
      <c r="AB12" s="4225"/>
      <c r="AC12" s="4225"/>
      <c r="AD12" s="2147"/>
      <c r="AE12" s="524"/>
      <c r="AF12" s="526"/>
      <c r="AG12" s="652" t="s">
        <v>1756</v>
      </c>
      <c r="AH12" s="4225"/>
      <c r="AI12" s="4225"/>
      <c r="AJ12" s="4225"/>
      <c r="AK12" s="4225"/>
      <c r="AL12" s="4225"/>
      <c r="AM12" s="4225"/>
      <c r="AN12" s="4225"/>
      <c r="AO12" s="4225"/>
      <c r="AP12" s="4225"/>
      <c r="AQ12" s="4225"/>
      <c r="AR12" s="4225"/>
      <c r="AS12" s="4225"/>
      <c r="AT12" s="4225"/>
      <c r="AU12" s="4226" t="str">
        <f>AX8&amp;"-"&amp;AZ8</f>
        <v>-</v>
      </c>
      <c r="AV12" s="4225"/>
      <c r="AW12" s="4226" t="str">
        <f>AZ8&amp;"-"&amp;BB8</f>
        <v>-</v>
      </c>
      <c r="AX12" s="4225"/>
      <c r="AY12" s="4225"/>
      <c r="AZ12" s="4225"/>
      <c r="BA12" s="4225"/>
      <c r="BB12" s="4286" t="str">
        <f>BE8&amp;"-"&amp;BG8</f>
        <v>-</v>
      </c>
      <c r="BC12" s="2420"/>
      <c r="BE12" s="737"/>
      <c r="BF12" s="737" t="str">
        <f>IF(T12="","",T12)</f>
        <v/>
      </c>
      <c r="BG12" s="737"/>
      <c r="BH12" s="737"/>
    </row>
    <row customHeight="1" ht="11.25" hidden="1">
      <c r="A13" s="1659"/>
      <c r="B13" s="1659"/>
      <c r="C13" s="1659"/>
      <c r="D13" s="1659"/>
      <c r="E13" s="2425"/>
      <c r="F13" s="2425"/>
      <c r="G13" s="2425"/>
      <c r="H13" s="2425"/>
      <c r="I13" s="2454"/>
      <c r="J13" s="2422"/>
      <c r="K13" s="1659"/>
      <c r="L13" s="1660"/>
      <c r="P13" s="2423"/>
      <c r="Q13" s="2423"/>
      <c r="R13" s="577"/>
      <c r="S13" s="1568"/>
      <c r="T13" s="497" t="s">
        <v>1597</v>
      </c>
      <c r="U13" s="592"/>
      <c r="V13" s="592"/>
      <c r="W13" s="592"/>
      <c r="X13" s="592"/>
      <c r="Y13" s="592"/>
      <c r="Z13" s="592"/>
      <c r="AA13" s="592"/>
      <c r="AB13" s="592"/>
      <c r="AC13" s="592"/>
      <c r="AD13" s="1802"/>
      <c r="AE13" s="592"/>
      <c r="AF13" s="592"/>
      <c r="AG13" s="592"/>
      <c r="AH13" s="592"/>
      <c r="AI13" s="592"/>
      <c r="AJ13" s="592"/>
      <c r="AK13" s="592"/>
      <c r="AL13" s="592"/>
      <c r="AM13" s="592"/>
      <c r="AN13" s="592"/>
      <c r="AO13" s="592"/>
      <c r="AP13" s="592"/>
      <c r="AQ13" s="592"/>
      <c r="AR13" s="592"/>
      <c r="AS13" s="592"/>
      <c r="AT13" s="592"/>
      <c r="AU13" s="592"/>
      <c r="AV13" s="592"/>
      <c r="AW13" s="592"/>
      <c r="AX13" s="592"/>
      <c r="AY13" s="592"/>
      <c r="AZ13" s="592"/>
      <c r="BA13" s="592"/>
      <c r="BB13" s="544"/>
      <c r="BC13" s="2421"/>
      <c r="BE13" s="737"/>
      <c r="BF13" s="737" t="str">
        <f>IF(T13="","",T13)</f>
        <v>Добавить строку</v>
      </c>
      <c r="BG13" s="737"/>
      <c r="BH13" s="737"/>
    </row>
    <row s="10863" customFormat="1" customHeight="1" ht="14.25" hidden="1">
      <c r="A14" s="1638"/>
      <c r="B14" s="1638"/>
      <c r="C14" s="1638"/>
      <c r="D14" s="1638"/>
      <c r="E14" s="2425"/>
      <c r="F14" s="2425"/>
      <c r="G14" s="2425"/>
      <c r="H14" s="2425"/>
      <c r="I14" s="2453"/>
      <c r="J14" s="1638"/>
      <c r="K14" s="1638"/>
      <c r="L14" s="1641"/>
      <c r="M14" s="747"/>
      <c r="N14" s="747"/>
      <c r="O14" s="747"/>
      <c r="P14" s="2423"/>
      <c r="Q14" s="1759"/>
      <c r="R14" s="577"/>
      <c r="S14" s="1682"/>
      <c r="T14" s="1683"/>
      <c r="U14" s="1684"/>
      <c r="V14" s="1684"/>
      <c r="W14" s="1684"/>
      <c r="X14" s="1684"/>
      <c r="Y14" s="1684"/>
      <c r="Z14" s="1684"/>
      <c r="AA14" s="1684"/>
      <c r="AB14" s="1684"/>
      <c r="AC14" s="1684"/>
      <c r="AD14" s="1684"/>
      <c r="AE14" s="1684"/>
      <c r="AF14" s="1684"/>
      <c r="AG14" s="1684"/>
      <c r="AH14" s="1684"/>
      <c r="AI14" s="1684"/>
      <c r="AJ14" s="1684"/>
      <c r="AK14" s="1684"/>
      <c r="AL14" s="1684"/>
      <c r="AM14" s="1684"/>
      <c r="AN14" s="1684"/>
      <c r="AO14" s="1684"/>
      <c r="AP14" s="1684"/>
      <c r="AQ14" s="1684"/>
      <c r="AR14" s="1684"/>
      <c r="AS14" s="1684"/>
      <c r="AT14" s="1684"/>
      <c r="AU14" s="1684"/>
      <c r="AV14" s="1684"/>
      <c r="AW14" s="1684"/>
      <c r="AX14" s="1684"/>
      <c r="AY14" s="1684"/>
      <c r="AZ14" s="1684"/>
      <c r="BA14" s="1684"/>
      <c r="BB14" s="1684"/>
      <c r="BC14" s="1685"/>
      <c r="BE14" s="737"/>
      <c r="BF14" s="737" t="str">
        <f>IF(T14="","",T14)</f>
        <v/>
      </c>
      <c r="BG14" s="737"/>
      <c r="BH14" s="737"/>
    </row>
    <row s="10863" customFormat="1" customHeight="1" ht="14.25" hidden="1">
      <c r="A15" s="1638"/>
      <c r="B15" s="1638"/>
      <c r="C15" s="1638"/>
      <c r="D15" s="1638"/>
      <c r="E15" s="2425"/>
      <c r="F15" s="2425"/>
      <c r="G15" s="2425"/>
      <c r="H15" s="2424"/>
      <c r="I15" s="1638"/>
      <c r="J15" s="1638"/>
      <c r="K15" s="1638"/>
      <c r="L15" s="1641"/>
      <c r="M15" s="1610"/>
      <c r="N15" s="1610"/>
      <c r="O15" s="755"/>
      <c r="P15" s="610"/>
      <c r="Q15" s="1639"/>
      <c r="R15" s="1697"/>
      <c r="S15" s="1682"/>
      <c r="T15" s="1683"/>
      <c r="U15" s="1684"/>
      <c r="V15" s="1684"/>
      <c r="W15" s="1684"/>
      <c r="X15" s="1684"/>
      <c r="Y15" s="1684"/>
      <c r="Z15" s="1684"/>
      <c r="AA15" s="1684"/>
      <c r="AB15" s="1684"/>
      <c r="AC15" s="1684"/>
      <c r="AD15" s="1684"/>
      <c r="AE15" s="1684"/>
      <c r="AF15" s="1684"/>
      <c r="AG15" s="1684"/>
      <c r="AH15" s="1684"/>
      <c r="AI15" s="1684"/>
      <c r="AJ15" s="1684"/>
      <c r="AK15" s="1684"/>
      <c r="AL15" s="1684"/>
      <c r="AM15" s="1684"/>
      <c r="AN15" s="1684"/>
      <c r="AO15" s="1684"/>
      <c r="AP15" s="1684"/>
      <c r="AQ15" s="1684"/>
      <c r="AR15" s="1684"/>
      <c r="AS15" s="1684"/>
      <c r="AT15" s="1684"/>
      <c r="AU15" s="1684"/>
      <c r="AV15" s="1684"/>
      <c r="AW15" s="1684"/>
      <c r="AX15" s="1684"/>
      <c r="AY15" s="1684"/>
      <c r="AZ15" s="1684"/>
      <c r="BA15" s="1684"/>
      <c r="BB15" s="1684"/>
      <c r="BC15" s="1685"/>
      <c r="BE15" s="737"/>
      <c r="BF15" s="737" t="str">
        <f>IF(T15="","",T15)</f>
        <v/>
      </c>
      <c r="BG15" s="737"/>
      <c r="BH15" s="737"/>
    </row>
    <row s="10863" customFormat="1" customHeight="1" ht="14.25" hidden="1">
      <c r="A16" s="1638"/>
      <c r="B16" s="1638"/>
      <c r="C16" s="1638"/>
      <c r="D16" s="1609"/>
      <c r="E16" s="2425"/>
      <c r="F16" s="2425"/>
      <c r="G16" s="2424"/>
      <c r="H16" s="1609"/>
      <c r="I16" s="1609"/>
      <c r="J16" s="1609"/>
      <c r="K16" s="1609"/>
      <c r="L16" s="1761"/>
      <c r="M16" s="1610"/>
      <c r="N16" s="1610"/>
      <c r="P16" s="1611"/>
      <c r="Q16" s="1612"/>
      <c r="R16" s="1611"/>
      <c r="S16" s="1617"/>
      <c r="T16" s="1620"/>
      <c r="U16" s="1619"/>
      <c r="V16" s="1619"/>
      <c r="W16" s="1619"/>
      <c r="X16" s="1619"/>
      <c r="Y16" s="1619"/>
      <c r="Z16" s="1619"/>
      <c r="AA16" s="1619"/>
      <c r="AB16" s="1619"/>
      <c r="AC16" s="1619"/>
      <c r="AD16" s="1619"/>
      <c r="AE16" s="1619"/>
      <c r="AF16" s="1619"/>
      <c r="AG16" s="1619"/>
      <c r="AH16" s="1619"/>
      <c r="AI16" s="1619"/>
      <c r="AJ16" s="1619"/>
      <c r="AK16" s="1619"/>
      <c r="AL16" s="1619"/>
      <c r="AM16" s="1619"/>
      <c r="AN16" s="1619"/>
      <c r="AO16" s="1619"/>
      <c r="AP16" s="1619"/>
      <c r="AQ16" s="1619"/>
      <c r="AR16" s="1619"/>
      <c r="AS16" s="1619"/>
      <c r="AT16" s="1619"/>
      <c r="AU16" s="1619"/>
      <c r="AV16" s="1619"/>
      <c r="AW16" s="1619"/>
      <c r="AX16" s="1619"/>
      <c r="AY16" s="1619"/>
      <c r="AZ16" s="1619"/>
      <c r="BA16" s="1619"/>
      <c r="BB16" s="1619"/>
      <c r="BC16" s="1619"/>
      <c r="BE16" s="1029"/>
      <c r="BF16" s="1029" t="str">
        <f>IF(T16="","",T16)</f>
        <v/>
      </c>
      <c r="BG16" s="1029"/>
      <c r="BH16" s="1029"/>
    </row>
    <row s="10863" customFormat="1" customHeight="1" ht="14.25" hidden="1">
      <c r="A17" s="1638"/>
      <c r="B17" s="1638"/>
      <c r="C17" s="1609"/>
      <c r="D17" s="1609"/>
      <c r="E17" s="2425"/>
      <c r="F17" s="2424"/>
      <c r="G17" s="1609"/>
      <c r="H17" s="1609"/>
      <c r="I17" s="1609"/>
      <c r="J17" s="1609"/>
      <c r="K17" s="1609"/>
      <c r="L17" s="1761"/>
      <c r="M17" s="1616"/>
      <c r="N17" s="1616"/>
      <c r="P17" s="1611"/>
      <c r="Q17" s="1612"/>
      <c r="R17" s="1611"/>
      <c r="S17" s="1617"/>
      <c r="T17" s="1620" t="s">
        <v>1493</v>
      </c>
      <c r="U17" s="1619"/>
      <c r="V17" s="1619"/>
      <c r="W17" s="1619"/>
      <c r="X17" s="1619"/>
      <c r="Y17" s="1619"/>
      <c r="Z17" s="1619"/>
      <c r="AA17" s="1619"/>
      <c r="AB17" s="1619"/>
      <c r="AC17" s="1619"/>
      <c r="AD17" s="1619"/>
      <c r="AE17" s="1619"/>
      <c r="AF17" s="1619"/>
      <c r="AG17" s="1619"/>
      <c r="AH17" s="1619"/>
      <c r="AI17" s="1619"/>
      <c r="AJ17" s="1619"/>
      <c r="AK17" s="1619"/>
      <c r="AL17" s="1619"/>
      <c r="AM17" s="1619"/>
      <c r="AN17" s="1619"/>
      <c r="AO17" s="1619"/>
      <c r="AP17" s="1619"/>
      <c r="AQ17" s="1619"/>
      <c r="AR17" s="1619"/>
      <c r="AS17" s="1619"/>
      <c r="AT17" s="1619"/>
      <c r="AU17" s="1619"/>
      <c r="AV17" s="1619"/>
      <c r="AW17" s="1619"/>
      <c r="AX17" s="1619"/>
      <c r="AY17" s="1619"/>
      <c r="AZ17" s="1619"/>
      <c r="BA17" s="1619"/>
      <c r="BB17" s="1619"/>
      <c r="BC17" s="1619"/>
      <c r="BE17" s="1029"/>
      <c r="BF17" s="1029" t="str">
        <f>IF(T17="","",T17)</f>
        <v>Добавить централизованную систему для дифференциации</v>
      </c>
      <c r="BG17" s="1029"/>
      <c r="BH17" s="1029"/>
    </row>
    <row s="10863" customFormat="1" customHeight="1" ht="14.25" hidden="1">
      <c r="A18" s="1638"/>
      <c r="B18" s="1638"/>
      <c r="C18" s="1638"/>
      <c r="D18" s="1638"/>
      <c r="E18" s="2424"/>
      <c r="F18" s="1638"/>
      <c r="G18" s="1638"/>
      <c r="H18" s="1638"/>
      <c r="I18" s="1638"/>
      <c r="J18" s="1638"/>
      <c r="K18" s="1638"/>
      <c r="L18" s="1641"/>
      <c r="M18" s="1616"/>
      <c r="N18" s="1616"/>
      <c r="O18" s="755"/>
      <c r="P18" s="610"/>
      <c r="Q18" s="1639"/>
      <c r="R18" s="610"/>
      <c r="S18" s="1617"/>
      <c r="T18" s="1620" t="s">
        <v>1494</v>
      </c>
      <c r="U18" s="1619"/>
      <c r="V18" s="1619"/>
      <c r="W18" s="1619"/>
      <c r="X18" s="1619"/>
      <c r="Y18" s="1619"/>
      <c r="Z18" s="1619"/>
      <c r="AA18" s="1619"/>
      <c r="AB18" s="1619"/>
      <c r="AC18" s="1619"/>
      <c r="AD18" s="1619"/>
      <c r="AE18" s="1619"/>
      <c r="AF18" s="1619"/>
      <c r="AG18" s="1619"/>
      <c r="AH18" s="1619"/>
      <c r="AI18" s="1619"/>
      <c r="AJ18" s="1619"/>
      <c r="AK18" s="1619"/>
      <c r="AL18" s="1619"/>
      <c r="AM18" s="1619"/>
      <c r="AN18" s="1619"/>
      <c r="AO18" s="1619"/>
      <c r="AP18" s="1619"/>
      <c r="AQ18" s="1619"/>
      <c r="AR18" s="1619"/>
      <c r="AS18" s="1619"/>
      <c r="AT18" s="1619"/>
      <c r="AU18" s="1619"/>
      <c r="AV18" s="1619"/>
      <c r="AW18" s="1619"/>
      <c r="AX18" s="1619"/>
      <c r="AY18" s="1619"/>
      <c r="AZ18" s="1619"/>
      <c r="BA18" s="1619"/>
      <c r="BB18" s="1619"/>
      <c r="BC18" s="1619"/>
      <c r="BE18" s="737"/>
      <c r="BF18" s="737" t="str">
        <f>IF(T18="","",T18)</f>
        <v>Добавить территорию для дифференциации</v>
      </c>
      <c r="BG18" s="737"/>
      <c r="BH18" s="737"/>
    </row>
    <row customHeight="1" ht="14.25" hidden="1">
      <c r="AC19" s="548"/>
      <c r="BA19" s="548"/>
    </row>
    <row customHeight="1" ht="14.25" hidden="1">
      <c r="AD20" s="1619" t="s">
        <v>57</v>
      </c>
      <c r="AE20" s="1798"/>
      <c r="AF20" s="785">
        <v>1</v>
      </c>
      <c r="AG20" s="1799"/>
      <c r="AH20" s="1619" t="s">
        <v>57</v>
      </c>
      <c r="AI20" s="1798"/>
      <c r="AJ20" s="785">
        <v>1</v>
      </c>
      <c r="AK20" s="1799"/>
      <c r="AL20" s="1619" t="s">
        <v>57</v>
      </c>
      <c r="AM20" s="1800"/>
      <c r="AN20" s="785">
        <v>1</v>
      </c>
      <c r="AO20" s="1801"/>
      <c r="AP20" s="1619" t="s">
        <v>57</v>
      </c>
      <c r="AQ20" s="1800"/>
      <c r="AR20" s="785">
        <v>1</v>
      </c>
      <c r="AS20" s="1801"/>
      <c r="AT20" s="4066"/>
      <c r="AU20" s="4186"/>
      <c r="AV20" s="4066"/>
      <c r="AW20" s="4186"/>
      <c r="AX20" s="2051"/>
      <c r="AY20" s="1757" t="s">
        <v>67</v>
      </c>
      <c r="AZ20" s="2051"/>
      <c r="BA20" s="1757" t="s">
        <v>67</v>
      </c>
    </row>
    <row customHeight="1" ht="14.25" hidden="1">
      <c r="BD21" s="733"/>
      <c r="BE21" s="733"/>
      <c r="BF21" s="733"/>
      <c r="BG21" s="733"/>
      <c r="BH21" s="733"/>
    </row>
    <row customHeight="1" ht="14.25" hidden="1">
      <c r="O22" s="1663" t="s">
        <v>1534</v>
      </c>
      <c r="Z22" s="1640"/>
      <c r="AB22" s="1640"/>
      <c r="AC22" s="548"/>
      <c r="AX22" s="1640"/>
      <c r="AZ22" s="1640"/>
      <c r="BA22" s="548"/>
      <c r="BD22" s="733"/>
      <c r="BE22" s="733"/>
      <c r="BF22" s="733"/>
      <c r="BG22" s="733"/>
      <c r="BH22" s="733"/>
    </row>
    <row customHeight="1" ht="14.25" hidden="1">
      <c r="AC23" s="548"/>
      <c r="BA23" s="548"/>
      <c r="BD23" s="733"/>
      <c r="BE23" s="733"/>
      <c r="BF23" s="733"/>
      <c r="BG23" s="733"/>
      <c r="BH23" s="733"/>
    </row>
    <row s="9928" customFormat="1" customHeight="1" ht="14.25" hidden="1">
      <c r="M24" s="1805"/>
      <c r="N24" s="1805"/>
      <c r="O24" s="1806" t="s">
        <v>1535</v>
      </c>
      <c r="P24" s="1805"/>
      <c r="Q24" s="1807"/>
      <c r="R24" s="1807"/>
      <c r="AA24" s="1804" t="s">
        <v>1537</v>
      </c>
      <c r="AC24" s="1804" t="s">
        <v>1538</v>
      </c>
      <c r="AD24" s="1804" t="s">
        <v>1598</v>
      </c>
      <c r="AH24" s="1804" t="s">
        <v>1598</v>
      </c>
      <c r="AK24" s="1804" t="s">
        <v>1757</v>
      </c>
      <c r="AL24" s="1804" t="s">
        <v>1598</v>
      </c>
      <c r="AP24" s="1804" t="s">
        <v>1598</v>
      </c>
      <c r="AY24" s="1804" t="s">
        <v>1537</v>
      </c>
      <c r="BA24" s="1804" t="s">
        <v>1538</v>
      </c>
      <c r="BD24" s="1808"/>
      <c r="BE24" s="1808"/>
      <c r="BF24" s="1808"/>
      <c r="BG24" s="1808"/>
      <c r="BH24" s="1808"/>
    </row>
    <row customHeight="1" ht="14.25" hidden="1">
      <c r="O25" s="1660"/>
      <c r="BD25" s="733"/>
      <c r="BE25" s="733"/>
      <c r="BF25" s="733"/>
      <c r="BG25" s="733"/>
      <c r="BH25" s="733"/>
    </row>
    <row customHeight="1" ht="14.25" hidden="1">
      <c r="O26" s="1660"/>
      <c r="BD26" s="733"/>
      <c r="BE26" s="733"/>
      <c r="BF26" s="733"/>
      <c r="BG26" s="733"/>
      <c r="BH26" s="733"/>
    </row>
    <row customHeight="1" ht="14.25">
      <c r="Q27" s="501"/>
      <c r="R27" s="602"/>
      <c r="S27" s="1565"/>
      <c r="T27" s="586"/>
      <c r="U27" s="586"/>
      <c r="V27" s="746"/>
      <c r="W27" s="746"/>
      <c r="X27" s="746"/>
      <c r="Y27" s="746"/>
      <c r="Z27" s="746"/>
      <c r="AA27" s="746"/>
      <c r="AB27" s="746"/>
      <c r="AC27" s="746"/>
      <c r="AD27" s="746"/>
      <c r="AE27" s="746"/>
      <c r="AF27" s="746"/>
      <c r="AG27" s="746"/>
      <c r="AH27" s="746"/>
      <c r="AI27" s="746"/>
      <c r="AJ27" s="746"/>
      <c r="AK27" s="746"/>
      <c r="AL27" s="746"/>
      <c r="AM27" s="746"/>
      <c r="AN27" s="746"/>
      <c r="AO27" s="746"/>
      <c r="AP27" s="746"/>
      <c r="AQ27" s="746"/>
      <c r="AR27" s="746"/>
      <c r="AS27" s="746"/>
      <c r="AT27" s="746"/>
      <c r="AU27" s="746"/>
      <c r="AV27" s="746"/>
      <c r="AW27" s="746"/>
      <c r="AX27" s="746"/>
      <c r="AY27" s="746"/>
      <c r="AZ27" s="746"/>
      <c r="BA27" s="746"/>
    </row>
    <row customHeight="1" ht="33.75">
      <c r="Q28" s="501"/>
      <c r="R28" s="602"/>
      <c r="S28" s="2414" t="str">
        <f>IF(TEMPLATE_GROUP="P",PT_P_FORM_COLDVSNA_5_NAME_FORM,PT_R_FORM_COLDVSNA_17_NAME_FORM)</f>
        <v>Форма 16.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 &lt;1&gt;</v>
      </c>
      <c r="T28" s="2414"/>
      <c r="U28" s="2414"/>
      <c r="V28" s="2414"/>
      <c r="W28" s="2414"/>
      <c r="X28" s="2414"/>
      <c r="Y28" s="2414"/>
      <c r="Z28" s="2414"/>
      <c r="AA28" s="2414"/>
      <c r="AB28" s="2414"/>
      <c r="AC28" s="2414"/>
      <c r="AD28" s="2414"/>
      <c r="AE28" s="2414"/>
      <c r="AF28" s="2414"/>
      <c r="AG28" s="2414"/>
      <c r="AH28" s="2414"/>
      <c r="AI28" s="2414"/>
      <c r="AJ28" s="2414"/>
      <c r="AK28" s="2414"/>
      <c r="AL28" s="2414"/>
      <c r="AM28" s="2414"/>
      <c r="AN28" s="2414"/>
      <c r="AO28" s="2414"/>
      <c r="AP28" s="2414"/>
      <c r="AQ28" s="2414"/>
      <c r="AR28" s="2414"/>
      <c r="AS28" s="2414"/>
      <c r="AT28" s="2414"/>
      <c r="AU28" s="2414"/>
      <c r="AV28" s="2414"/>
      <c r="AW28" s="2414"/>
      <c r="AX28" s="2414"/>
      <c r="AY28" s="2414"/>
      <c r="AZ28" s="2414"/>
      <c r="BA28" s="1521"/>
    </row>
    <row customHeight="1" ht="14.25">
      <c r="Q29" s="501"/>
      <c r="R29" s="602"/>
      <c r="S29" s="2415" t="str">
        <f>IF(org=0,"Не определено",org)</f>
        <v>ООО "СамРЭК-Тепло Жигулевск"</v>
      </c>
      <c r="T29" s="2415"/>
      <c r="U29" s="2415"/>
      <c r="V29" s="2415"/>
      <c r="W29" s="2415"/>
      <c r="X29" s="2415"/>
      <c r="Y29" s="2415"/>
      <c r="Z29" s="2415"/>
      <c r="AA29" s="2415"/>
      <c r="AB29" s="2415"/>
      <c r="AC29" s="2415"/>
      <c r="AD29" s="2415"/>
      <c r="AE29" s="2415"/>
      <c r="AF29" s="2415"/>
      <c r="AG29" s="2415"/>
      <c r="AH29" s="2415"/>
      <c r="AI29" s="2415"/>
      <c r="AJ29" s="2415"/>
      <c r="AK29" s="2415"/>
      <c r="AL29" s="2415"/>
      <c r="AM29" s="2415"/>
      <c r="AN29" s="2415"/>
      <c r="AO29" s="2415"/>
      <c r="AP29" s="2415"/>
      <c r="AQ29" s="2415"/>
      <c r="AR29" s="2415"/>
      <c r="AS29" s="2415"/>
      <c r="AT29" s="2415"/>
      <c r="AU29" s="2415"/>
      <c r="AV29" s="2415"/>
      <c r="AW29" s="2415"/>
      <c r="AX29" s="2415"/>
      <c r="AY29" s="2415"/>
      <c r="AZ29" s="2415"/>
      <c r="BA29" s="1521"/>
    </row>
    <row customHeight="1" ht="14.25" hidden="1">
      <c r="Q30" s="501"/>
      <c r="R30" s="602"/>
      <c r="S30" s="1565"/>
      <c r="T30" s="586"/>
      <c r="U30" s="586"/>
      <c r="V30" s="541"/>
      <c r="W30" s="541"/>
      <c r="X30" s="541"/>
      <c r="Y30" s="541"/>
      <c r="Z30" s="541"/>
      <c r="AA30" s="541"/>
      <c r="AB30" s="541"/>
      <c r="AC30" s="541"/>
      <c r="AD30" s="541"/>
      <c r="AE30" s="541"/>
      <c r="AF30" s="541"/>
      <c r="AG30" s="541"/>
      <c r="AH30" s="541"/>
      <c r="AI30" s="541"/>
      <c r="AJ30" s="541"/>
      <c r="AK30" s="541"/>
      <c r="AL30" s="541"/>
      <c r="AM30" s="541"/>
      <c r="AN30" s="541"/>
      <c r="AO30" s="541"/>
      <c r="AP30" s="541"/>
      <c r="AQ30" s="541"/>
      <c r="AR30" s="541"/>
      <c r="AS30" s="541"/>
      <c r="AT30" s="541"/>
      <c r="AU30" s="541"/>
      <c r="AV30" s="541"/>
      <c r="AW30" s="541"/>
      <c r="AX30" s="541"/>
      <c r="AY30" s="541"/>
      <c r="AZ30" s="541"/>
      <c r="BA30" s="541"/>
      <c r="BB30" s="746"/>
    </row>
    <row s="10859" customFormat="1" customHeight="1" ht="25.5" hidden="1">
      <c r="A31" s="1664"/>
      <c r="B31" s="1664"/>
      <c r="C31" s="1664"/>
      <c r="D31" s="1664"/>
      <c r="E31" s="1664"/>
      <c r="F31" s="1664"/>
      <c r="G31" s="1664"/>
      <c r="H31" s="1664"/>
      <c r="I31" s="1664"/>
      <c r="J31" s="1664"/>
      <c r="K31" s="1664"/>
      <c r="L31" s="1665"/>
      <c r="M31" s="1664"/>
      <c r="N31" s="1664"/>
      <c r="O31" s="1664"/>
      <c r="P31" s="1664"/>
      <c r="Q31" s="1664"/>
      <c r="S31" s="2416" t="s">
        <v>39</v>
      </c>
      <c r="T31" s="2416"/>
      <c r="U31" s="1668"/>
      <c r="V31" s="2417"/>
      <c r="W31" s="2417"/>
      <c r="X31" s="2417"/>
      <c r="Y31" s="2417"/>
      <c r="Z31" s="2417"/>
      <c r="AA31" s="2417"/>
      <c r="AB31" s="2417"/>
      <c r="AC31" s="547"/>
      <c r="AD31" s="2417" t="str">
        <f>IF(TITLE_NAME_OR_PR_CHANGE="",IF(TITLE_NAME_OR_PR="","",TITLE_NAME_OR_PR),TITLE_NAME_OR_PR_CHANGE)</f>
        <v/>
      </c>
      <c r="AE31" s="2417"/>
      <c r="AF31" s="2417"/>
      <c r="AG31" s="2417"/>
      <c r="AH31" s="2417"/>
      <c r="AI31" s="2417"/>
      <c r="AJ31" s="2417"/>
      <c r="AK31" s="2417"/>
      <c r="AL31" s="2417"/>
      <c r="AM31" s="2417"/>
      <c r="AN31" s="2417"/>
      <c r="AO31" s="2417"/>
      <c r="AP31" s="2417"/>
      <c r="AQ31" s="2417"/>
      <c r="AR31" s="2417"/>
      <c r="AS31" s="2417"/>
      <c r="AT31" s="2417"/>
      <c r="AU31" s="2417"/>
      <c r="AV31" s="2417"/>
      <c r="AW31" s="2417"/>
      <c r="AX31" s="2417"/>
      <c r="AY31" s="2417"/>
      <c r="AZ31" s="2417"/>
      <c r="BA31" s="547"/>
      <c r="BB31" s="547"/>
      <c r="BC31" s="490"/>
      <c r="BD31" s="593"/>
      <c r="BE31" s="593"/>
      <c r="BF31" s="593"/>
      <c r="BG31" s="593"/>
      <c r="BH31" s="593"/>
    </row>
    <row s="10859" customFormat="1" customHeight="1" ht="18.75" hidden="1">
      <c r="A32" s="1664"/>
      <c r="B32" s="1664"/>
      <c r="C32" s="1664"/>
      <c r="D32" s="1664"/>
      <c r="E32" s="1664"/>
      <c r="F32" s="1664"/>
      <c r="G32" s="1664"/>
      <c r="H32" s="1664"/>
      <c r="I32" s="1664"/>
      <c r="J32" s="1664"/>
      <c r="K32" s="1664"/>
      <c r="L32" s="1665"/>
      <c r="M32" s="1664"/>
      <c r="N32" s="1664"/>
      <c r="O32" s="1664"/>
      <c r="P32" s="1664"/>
      <c r="Q32" s="1664"/>
      <c r="S32" s="2416" t="s">
        <v>1540</v>
      </c>
      <c r="T32" s="2416"/>
      <c r="U32" s="1668"/>
      <c r="V32" s="2417"/>
      <c r="W32" s="2417"/>
      <c r="X32" s="2417"/>
      <c r="Y32" s="2417"/>
      <c r="Z32" s="2417"/>
      <c r="AA32" s="2417"/>
      <c r="AB32" s="2417"/>
      <c r="AC32" s="547"/>
      <c r="AD32" s="2417" t="str">
        <f>IF(TITLE_DATE_CHANGE_PERIOD="",IF(TITLE_DATE_PR="","",TITLE_DATE_PR),TITLE_DATE_CHANGE_PERIOD)</f>
        <v/>
      </c>
      <c r="AE32" s="2417"/>
      <c r="AF32" s="2417"/>
      <c r="AG32" s="2417"/>
      <c r="AH32" s="2417"/>
      <c r="AI32" s="2417"/>
      <c r="AJ32" s="2417"/>
      <c r="AK32" s="2417"/>
      <c r="AL32" s="2417"/>
      <c r="AM32" s="2417"/>
      <c r="AN32" s="2417"/>
      <c r="AO32" s="2417"/>
      <c r="AP32" s="2417"/>
      <c r="AQ32" s="2417"/>
      <c r="AR32" s="2417"/>
      <c r="AS32" s="2417"/>
      <c r="AT32" s="2417"/>
      <c r="AU32" s="2417"/>
      <c r="AV32" s="2417"/>
      <c r="AW32" s="2417"/>
      <c r="AX32" s="2417"/>
      <c r="AY32" s="2417"/>
      <c r="AZ32" s="2417"/>
      <c r="BA32" s="547"/>
      <c r="BB32" s="547"/>
      <c r="BC32" s="490"/>
      <c r="BD32" s="593"/>
      <c r="BE32" s="593"/>
      <c r="BF32" s="593"/>
      <c r="BG32" s="593"/>
      <c r="BH32" s="593"/>
    </row>
    <row s="10859" customFormat="1" customHeight="1" ht="18.75" hidden="1">
      <c r="A33" s="1664"/>
      <c r="B33" s="1664"/>
      <c r="C33" s="1664"/>
      <c r="D33" s="1664"/>
      <c r="E33" s="1664"/>
      <c r="F33" s="1664"/>
      <c r="G33" s="1664"/>
      <c r="H33" s="1664"/>
      <c r="I33" s="1664"/>
      <c r="J33" s="1664"/>
      <c r="K33" s="1664"/>
      <c r="L33" s="1665"/>
      <c r="M33" s="1664"/>
      <c r="N33" s="1664"/>
      <c r="O33" s="1664"/>
      <c r="P33" s="1664"/>
      <c r="Q33" s="1664"/>
      <c r="S33" s="2416" t="s">
        <v>1541</v>
      </c>
      <c r="T33" s="2416"/>
      <c r="U33" s="1668"/>
      <c r="V33" s="2417"/>
      <c r="W33" s="2417"/>
      <c r="X33" s="2417"/>
      <c r="Y33" s="2417"/>
      <c r="Z33" s="2417"/>
      <c r="AA33" s="2417"/>
      <c r="AB33" s="2417"/>
      <c r="AC33" s="547"/>
      <c r="AD33" s="2417" t="str">
        <f>IF(TITLE_NUMBER_PR_CHANGE="",IF(TITLE_NUMBER_PR="","",TITLE_NUMBER_PR),TITLE_NUMBER_PR_CHANGE)</f>
        <v/>
      </c>
      <c r="AE33" s="2417"/>
      <c r="AF33" s="2417"/>
      <c r="AG33" s="2417"/>
      <c r="AH33" s="2417"/>
      <c r="AI33" s="2417"/>
      <c r="AJ33" s="2417"/>
      <c r="AK33" s="2417"/>
      <c r="AL33" s="2417"/>
      <c r="AM33" s="2417"/>
      <c r="AN33" s="2417"/>
      <c r="AO33" s="2417"/>
      <c r="AP33" s="2417"/>
      <c r="AQ33" s="2417"/>
      <c r="AR33" s="2417"/>
      <c r="AS33" s="2417"/>
      <c r="AT33" s="2417"/>
      <c r="AU33" s="2417"/>
      <c r="AV33" s="2417"/>
      <c r="AW33" s="2417"/>
      <c r="AX33" s="2417"/>
      <c r="AY33" s="2417"/>
      <c r="AZ33" s="2417"/>
      <c r="BA33" s="547"/>
      <c r="BB33" s="547"/>
      <c r="BC33" s="490"/>
      <c r="BD33" s="593"/>
      <c r="BE33" s="593"/>
      <c r="BF33" s="593"/>
      <c r="BG33" s="593"/>
      <c r="BH33" s="593"/>
    </row>
    <row s="10859" customFormat="1" customHeight="1" ht="18.75" hidden="1">
      <c r="A34" s="1664"/>
      <c r="B34" s="1664"/>
      <c r="C34" s="1664"/>
      <c r="D34" s="1664"/>
      <c r="E34" s="1664"/>
      <c r="F34" s="1664"/>
      <c r="G34" s="1664"/>
      <c r="H34" s="1664"/>
      <c r="I34" s="1664"/>
      <c r="J34" s="1664"/>
      <c r="K34" s="1664"/>
      <c r="L34" s="1665"/>
      <c r="M34" s="1664"/>
      <c r="N34" s="1664"/>
      <c r="O34" s="1664"/>
      <c r="P34" s="1664"/>
      <c r="Q34" s="1664"/>
      <c r="S34" s="2416" t="s">
        <v>40</v>
      </c>
      <c r="T34" s="2416"/>
      <c r="U34" s="1668"/>
      <c r="V34" s="2417"/>
      <c r="W34" s="2417"/>
      <c r="X34" s="2417"/>
      <c r="Y34" s="2417"/>
      <c r="Z34" s="2417"/>
      <c r="AA34" s="2417"/>
      <c r="AB34" s="2417"/>
      <c r="AC34" s="547"/>
      <c r="AD34" s="2417" t="str">
        <f>IF(TITLE_IST_PUB_CHANGE="",IF(TITLE_IST_PUB="","",TITLE_IST_PUB),TITLE_IST_PUB_CHANGE)</f>
        <v/>
      </c>
      <c r="AE34" s="2417"/>
      <c r="AF34" s="2417"/>
      <c r="AG34" s="2417"/>
      <c r="AH34" s="2417"/>
      <c r="AI34" s="2417"/>
      <c r="AJ34" s="2417"/>
      <c r="AK34" s="2417"/>
      <c r="AL34" s="2417"/>
      <c r="AM34" s="2417"/>
      <c r="AN34" s="2417"/>
      <c r="AO34" s="2417"/>
      <c r="AP34" s="2417"/>
      <c r="AQ34" s="2417"/>
      <c r="AR34" s="2417"/>
      <c r="AS34" s="2417"/>
      <c r="AT34" s="2417"/>
      <c r="AU34" s="2417"/>
      <c r="AV34" s="2417"/>
      <c r="AW34" s="2417"/>
      <c r="AX34" s="2417"/>
      <c r="AY34" s="2417"/>
      <c r="AZ34" s="2417"/>
      <c r="BA34" s="547"/>
      <c r="BB34" s="547"/>
      <c r="BC34" s="490"/>
      <c r="BD34" s="593"/>
      <c r="BE34" s="593"/>
      <c r="BF34" s="593"/>
      <c r="BG34" s="593"/>
      <c r="BH34" s="593"/>
    </row>
    <row customHeight="1" ht="14.25" hidden="1">
      <c r="Q35" s="501"/>
      <c r="R35" s="602"/>
      <c r="S35" s="1565"/>
      <c r="T35" s="586"/>
      <c r="U35" s="586"/>
      <c r="V35" s="541"/>
      <c r="W35" s="541"/>
      <c r="X35" s="541"/>
      <c r="Y35" s="541"/>
      <c r="Z35" s="541"/>
      <c r="AA35" s="541"/>
      <c r="AB35" s="541"/>
      <c r="AC35" s="541"/>
      <c r="AD35" s="541"/>
      <c r="AE35" s="541"/>
      <c r="AF35" s="541"/>
      <c r="AG35" s="541"/>
      <c r="AH35" s="541"/>
      <c r="AI35" s="541"/>
      <c r="AJ35" s="541"/>
      <c r="AK35" s="541"/>
      <c r="AL35" s="541"/>
      <c r="AM35" s="541"/>
      <c r="AN35" s="541"/>
      <c r="AO35" s="541"/>
      <c r="AP35" s="541"/>
      <c r="AQ35" s="541"/>
      <c r="AR35" s="541"/>
      <c r="AS35" s="541"/>
      <c r="AT35" s="541"/>
      <c r="AU35" s="541"/>
      <c r="AV35" s="541"/>
      <c r="AW35" s="541"/>
      <c r="AX35" s="541"/>
      <c r="AY35" s="541"/>
      <c r="AZ35" s="541"/>
      <c r="BA35" s="541"/>
      <c r="BB35" s="746"/>
    </row>
    <row s="10859" customFormat="1" customHeight="1" ht="18.75" hidden="1">
      <c r="A36" s="1664"/>
      <c r="B36" s="1664"/>
      <c r="C36" s="1664"/>
      <c r="D36" s="1664"/>
      <c r="E36" s="1664"/>
      <c r="F36" s="1664"/>
      <c r="G36" s="1664"/>
      <c r="H36" s="1664"/>
      <c r="I36" s="1664"/>
      <c r="J36" s="1664"/>
      <c r="K36" s="1664"/>
      <c r="L36" s="1665"/>
      <c r="M36" s="1664"/>
      <c r="N36" s="1664"/>
      <c r="O36" s="1664"/>
      <c r="P36" s="1664"/>
      <c r="Q36" s="1664"/>
      <c r="S36" s="2416" t="s">
        <v>1540</v>
      </c>
      <c r="T36" s="2416"/>
      <c r="U36" s="1668"/>
      <c r="V36" s="2417"/>
      <c r="W36" s="2417"/>
      <c r="X36" s="2417"/>
      <c r="Y36" s="2417"/>
      <c r="Z36" s="2417"/>
      <c r="AA36" s="2417"/>
      <c r="AB36" s="2417"/>
      <c r="AC36" s="547"/>
      <c r="AD36" s="2417" t="str">
        <f>IF(TITLE_DATE_CHANGE_PERIOD="",IF(TITLE_DATE_PR="","",TITLE_DATE_PR),TITLE_DATE_CHANGE_PERIOD)</f>
        <v/>
      </c>
      <c r="AE36" s="2417"/>
      <c r="AF36" s="2417"/>
      <c r="AG36" s="2417"/>
      <c r="AH36" s="2417"/>
      <c r="AI36" s="2417"/>
      <c r="AJ36" s="2417"/>
      <c r="AK36" s="2417"/>
      <c r="AL36" s="2417"/>
      <c r="AM36" s="2417"/>
      <c r="AN36" s="2417"/>
      <c r="AO36" s="2417"/>
      <c r="AP36" s="2417"/>
      <c r="AQ36" s="2417"/>
      <c r="AR36" s="2417"/>
      <c r="AS36" s="2417"/>
      <c r="AT36" s="2417"/>
      <c r="AU36" s="2417"/>
      <c r="AV36" s="2417"/>
      <c r="AW36" s="2417"/>
      <c r="AX36" s="2417"/>
      <c r="AY36" s="2417"/>
      <c r="AZ36" s="2417"/>
      <c r="BA36" s="547"/>
      <c r="BB36" s="547"/>
      <c r="BC36" s="490"/>
      <c r="BD36" s="593"/>
      <c r="BE36" s="593"/>
      <c r="BF36" s="593"/>
      <c r="BG36" s="593"/>
      <c r="BH36" s="593"/>
    </row>
    <row s="10859" customFormat="1" customHeight="1" ht="18.75" hidden="1">
      <c r="A37" s="1664"/>
      <c r="B37" s="1664"/>
      <c r="C37" s="1664"/>
      <c r="D37" s="1664"/>
      <c r="E37" s="1664"/>
      <c r="F37" s="1664"/>
      <c r="G37" s="1664"/>
      <c r="H37" s="1664"/>
      <c r="I37" s="1664"/>
      <c r="J37" s="1664"/>
      <c r="K37" s="1664"/>
      <c r="L37" s="1665"/>
      <c r="M37" s="1664"/>
      <c r="N37" s="1664"/>
      <c r="O37" s="1664"/>
      <c r="P37" s="1664"/>
      <c r="Q37" s="1664"/>
      <c r="S37" s="2416" t="s">
        <v>1541</v>
      </c>
      <c r="T37" s="2416"/>
      <c r="U37" s="1668"/>
      <c r="V37" s="2417"/>
      <c r="W37" s="2417"/>
      <c r="X37" s="2417"/>
      <c r="Y37" s="2417"/>
      <c r="Z37" s="2417"/>
      <c r="AA37" s="2417"/>
      <c r="AB37" s="2417"/>
      <c r="AC37" s="547"/>
      <c r="AD37" s="2417" t="str">
        <f>IF(TITLE_NUMBER_PR_CHANGE="",IF(TITLE_NUMBER_PR="","",TITLE_NUMBER_PR),TITLE_NUMBER_PR_CHANGE)</f>
        <v/>
      </c>
      <c r="AE37" s="2417"/>
      <c r="AF37" s="2417"/>
      <c r="AG37" s="2417"/>
      <c r="AH37" s="2417"/>
      <c r="AI37" s="2417"/>
      <c r="AJ37" s="2417"/>
      <c r="AK37" s="2417"/>
      <c r="AL37" s="2417"/>
      <c r="AM37" s="2417"/>
      <c r="AN37" s="2417"/>
      <c r="AO37" s="2417"/>
      <c r="AP37" s="2417"/>
      <c r="AQ37" s="2417"/>
      <c r="AR37" s="2417"/>
      <c r="AS37" s="2417"/>
      <c r="AT37" s="2417"/>
      <c r="AU37" s="2417"/>
      <c r="AV37" s="2417"/>
      <c r="AW37" s="2417"/>
      <c r="AX37" s="2417"/>
      <c r="AY37" s="2417"/>
      <c r="AZ37" s="2417"/>
      <c r="BA37" s="547"/>
      <c r="BB37" s="547"/>
      <c r="BC37" s="490"/>
      <c r="BD37" s="593"/>
      <c r="BE37" s="593"/>
      <c r="BF37" s="593"/>
      <c r="BG37" s="593"/>
      <c r="BH37" s="593"/>
    </row>
    <row s="10859" customFormat="1" customHeight="1" ht="0">
      <c r="A38" s="1664"/>
      <c r="B38" s="1664"/>
      <c r="C38" s="1664"/>
      <c r="D38" s="1664"/>
      <c r="E38" s="1664"/>
      <c r="F38" s="1664"/>
      <c r="G38" s="1664"/>
      <c r="H38" s="1664"/>
      <c r="I38" s="1664"/>
      <c r="J38" s="1664"/>
      <c r="K38" s="1664"/>
      <c r="L38" s="1665"/>
      <c r="M38" s="1664"/>
      <c r="N38" s="1664"/>
      <c r="O38" s="1664"/>
      <c r="P38" s="1664"/>
      <c r="Q38" s="1664"/>
      <c r="S38" s="543"/>
      <c r="T38" s="543"/>
      <c r="U38" s="1751"/>
      <c r="V38" s="547"/>
      <c r="W38" s="547"/>
      <c r="X38" s="547"/>
      <c r="Y38" s="547"/>
      <c r="Z38" s="547"/>
      <c r="AA38" s="547"/>
      <c r="AB38" s="547"/>
      <c r="AC38" s="488" t="s">
        <v>1544</v>
      </c>
      <c r="AD38" s="547"/>
      <c r="AE38" s="547"/>
      <c r="AF38" s="547"/>
      <c r="AG38" s="547"/>
      <c r="AH38" s="547"/>
      <c r="AI38" s="547"/>
      <c r="AJ38" s="547"/>
      <c r="AK38" s="547"/>
      <c r="AL38" s="547"/>
      <c r="AM38" s="547"/>
      <c r="AN38" s="547"/>
      <c r="AO38" s="547"/>
      <c r="AP38" s="547"/>
      <c r="AQ38" s="547"/>
      <c r="AR38" s="547"/>
      <c r="AS38" s="547"/>
      <c r="AT38" s="547"/>
      <c r="AU38" s="547"/>
      <c r="AV38" s="547"/>
      <c r="AW38" s="547"/>
      <c r="AX38" s="547"/>
      <c r="AY38" s="547"/>
      <c r="AZ38" s="547"/>
      <c r="BA38" s="488" t="s">
        <v>1544</v>
      </c>
      <c r="BD38" s="593"/>
      <c r="BE38" s="593"/>
      <c r="BF38" s="593"/>
      <c r="BG38" s="593"/>
      <c r="BH38" s="593"/>
    </row>
    <row customHeight="1" ht="14.25">
      <c r="Q39" s="501"/>
      <c r="R39" s="602"/>
      <c r="S39" s="1565"/>
      <c r="T39" s="586"/>
      <c r="U39" s="1522"/>
      <c r="V39" s="2418"/>
      <c r="W39" s="2418"/>
      <c r="X39" s="2418"/>
      <c r="Y39" s="2418"/>
      <c r="Z39" s="2418"/>
      <c r="AA39" s="2418"/>
      <c r="AB39" s="2418"/>
      <c r="AC39" s="2418"/>
      <c r="AD39" s="2418"/>
      <c r="AE39" s="2418"/>
      <c r="AF39" s="2418"/>
      <c r="AG39" s="2418"/>
      <c r="AH39" s="2418"/>
      <c r="AI39" s="2418"/>
      <c r="AJ39" s="2418"/>
      <c r="AK39" s="2418"/>
      <c r="AL39" s="2418"/>
      <c r="AM39" s="2418"/>
      <c r="AN39" s="2418"/>
      <c r="AO39" s="2418"/>
      <c r="AP39" s="2418"/>
      <c r="AQ39" s="2418"/>
      <c r="AR39" s="2418"/>
      <c r="AS39" s="2418"/>
      <c r="AT39" s="2418"/>
      <c r="AU39" s="2418"/>
      <c r="AV39" s="2418"/>
      <c r="AW39" s="2418"/>
      <c r="AX39" s="2418"/>
      <c r="AY39" s="2418"/>
      <c r="AZ39" s="2418"/>
      <c r="BA39" s="2418"/>
    </row>
    <row customHeight="1" ht="14.25">
      <c r="Q40" s="501"/>
      <c r="R40" s="602"/>
      <c r="S40" s="2277" t="s">
        <v>362</v>
      </c>
      <c r="T40" s="2277"/>
      <c r="U40" s="2277"/>
      <c r="V40" s="2277"/>
      <c r="W40" s="2277"/>
      <c r="X40" s="2277"/>
      <c r="Y40" s="2277"/>
      <c r="Z40" s="2277"/>
      <c r="AA40" s="2277"/>
      <c r="AB40" s="2277"/>
      <c r="AC40" s="2277"/>
      <c r="AD40" s="2277"/>
      <c r="AE40" s="2277"/>
      <c r="AF40" s="2277"/>
      <c r="AG40" s="2277"/>
      <c r="AH40" s="2277"/>
      <c r="AI40" s="2277"/>
      <c r="AJ40" s="2277"/>
      <c r="AK40" s="2277"/>
      <c r="AL40" s="2277"/>
      <c r="AM40" s="2277"/>
      <c r="AN40" s="2277"/>
      <c r="AO40" s="2277"/>
      <c r="AP40" s="2277"/>
      <c r="AQ40" s="2277"/>
      <c r="AR40" s="2277"/>
      <c r="AS40" s="2277"/>
      <c r="AT40" s="2277"/>
      <c r="AU40" s="2277"/>
      <c r="AV40" s="2277"/>
      <c r="AW40" s="2277"/>
      <c r="AX40" s="2277"/>
      <c r="AY40" s="2277"/>
      <c r="AZ40" s="2277"/>
      <c r="BA40" s="2277"/>
      <c r="BB40" s="2277"/>
      <c r="BC40" s="2277" t="s">
        <v>363</v>
      </c>
    </row>
    <row customHeight="1" ht="14.25">
      <c r="Q41" s="501"/>
      <c r="R41" s="602"/>
      <c r="S41" s="2440" t="s">
        <v>88</v>
      </c>
      <c r="T41" s="2301" t="s">
        <v>1758</v>
      </c>
      <c r="U41" s="511"/>
      <c r="V41" s="2441" t="s">
        <v>1546</v>
      </c>
      <c r="W41" s="2442"/>
      <c r="X41" s="2442"/>
      <c r="Y41" s="2442"/>
      <c r="Z41" s="2442"/>
      <c r="AA41" s="2442"/>
      <c r="AB41" s="2443"/>
      <c r="AC41" s="2444" t="s">
        <v>1547</v>
      </c>
      <c r="AD41" s="2499" t="s">
        <v>1759</v>
      </c>
      <c r="AE41" s="2458"/>
      <c r="AF41" s="2458"/>
      <c r="AG41" s="2500"/>
      <c r="AH41" s="2499" t="s">
        <v>1760</v>
      </c>
      <c r="AI41" s="2458"/>
      <c r="AJ41" s="2458"/>
      <c r="AK41" s="2500"/>
      <c r="AL41" s="2499" t="s">
        <v>1761</v>
      </c>
      <c r="AM41" s="2458"/>
      <c r="AN41" s="2458"/>
      <c r="AO41" s="2500"/>
      <c r="AP41" s="2499" t="s">
        <v>1762</v>
      </c>
      <c r="AQ41" s="2458"/>
      <c r="AR41" s="2458"/>
      <c r="AS41" s="2500"/>
      <c r="AT41" s="2441" t="s">
        <v>1546</v>
      </c>
      <c r="AU41" s="2442"/>
      <c r="AV41" s="2442"/>
      <c r="AW41" s="2442"/>
      <c r="AX41" s="2442"/>
      <c r="AY41" s="2442"/>
      <c r="AZ41" s="2443"/>
      <c r="BA41" s="2444" t="s">
        <v>1547</v>
      </c>
      <c r="BB41" s="2447" t="s">
        <v>1549</v>
      </c>
      <c r="BC41" s="2277"/>
    </row>
    <row customHeight="1" ht="33.75">
      <c r="Q42" s="501"/>
      <c r="R42" s="602"/>
      <c r="S42" s="2440"/>
      <c r="T42" s="2301"/>
      <c r="U42" s="1289"/>
      <c r="V42" s="2290" t="s">
        <v>1763</v>
      </c>
      <c r="W42" s="2291"/>
      <c r="X42" s="2290" t="s">
        <v>1764</v>
      </c>
      <c r="Y42" s="2291"/>
      <c r="Z42" s="2477" t="s">
        <v>1765</v>
      </c>
      <c r="AA42" s="2478"/>
      <c r="AB42" s="2479"/>
      <c r="AC42" s="2445"/>
      <c r="AD42" s="2501"/>
      <c r="AE42" s="2502"/>
      <c r="AF42" s="2502"/>
      <c r="AG42" s="2503"/>
      <c r="AH42" s="2501"/>
      <c r="AI42" s="2502"/>
      <c r="AJ42" s="2502"/>
      <c r="AK42" s="2503"/>
      <c r="AL42" s="2501"/>
      <c r="AM42" s="2502"/>
      <c r="AN42" s="2502"/>
      <c r="AO42" s="2503"/>
      <c r="AP42" s="2501"/>
      <c r="AQ42" s="2502"/>
      <c r="AR42" s="2502"/>
      <c r="AS42" s="2503"/>
      <c r="AT42" s="2290" t="s">
        <v>1763</v>
      </c>
      <c r="AU42" s="2291"/>
      <c r="AV42" s="2290" t="s">
        <v>1764</v>
      </c>
      <c r="AW42" s="2291"/>
      <c r="AX42" s="2477" t="s">
        <v>1765</v>
      </c>
      <c r="AY42" s="2478"/>
      <c r="AZ42" s="2479"/>
      <c r="BA42" s="2445"/>
      <c r="BB42" s="2448"/>
      <c r="BC42" s="2277"/>
    </row>
    <row customHeight="1" ht="14.25">
      <c r="Q43" s="501"/>
      <c r="R43" s="602"/>
      <c r="S43" s="2440"/>
      <c r="T43" s="2301"/>
      <c r="U43" s="1289"/>
      <c r="V43" s="2292"/>
      <c r="W43" s="2293"/>
      <c r="X43" s="2292"/>
      <c r="Y43" s="2293"/>
      <c r="Z43" s="2480"/>
      <c r="AA43" s="2481"/>
      <c r="AB43" s="2482"/>
      <c r="AC43" s="2445"/>
      <c r="AD43" s="2501"/>
      <c r="AE43" s="2502"/>
      <c r="AF43" s="2502"/>
      <c r="AG43" s="2503"/>
      <c r="AH43" s="2501"/>
      <c r="AI43" s="2502"/>
      <c r="AJ43" s="2502"/>
      <c r="AK43" s="2503"/>
      <c r="AL43" s="2501"/>
      <c r="AM43" s="2502"/>
      <c r="AN43" s="2502"/>
      <c r="AO43" s="2503"/>
      <c r="AP43" s="2501"/>
      <c r="AQ43" s="2502"/>
      <c r="AR43" s="2502"/>
      <c r="AS43" s="2503"/>
      <c r="AT43" s="2292"/>
      <c r="AU43" s="2293"/>
      <c r="AV43" s="2292"/>
      <c r="AW43" s="2293"/>
      <c r="AX43" s="2480"/>
      <c r="AY43" s="2481"/>
      <c r="AZ43" s="2482"/>
      <c r="BA43" s="2445"/>
      <c r="BB43" s="2448"/>
      <c r="BC43" s="2277"/>
    </row>
    <row customHeight="1" ht="14.25">
      <c r="A44" s="1666"/>
      <c r="B44" s="1666" t="s">
        <v>212</v>
      </c>
      <c r="C44" s="1666" t="s">
        <v>213</v>
      </c>
      <c r="D44" s="1666" t="s">
        <v>214</v>
      </c>
      <c r="E44" s="1660" t="s">
        <v>1554</v>
      </c>
      <c r="F44" s="1660" t="s">
        <v>1555</v>
      </c>
      <c r="G44" s="1660" t="s">
        <v>1556</v>
      </c>
      <c r="H44" s="1660" t="s">
        <v>1557</v>
      </c>
      <c r="I44" s="1660" t="s">
        <v>1558</v>
      </c>
      <c r="J44" s="1660" t="s">
        <v>1559</v>
      </c>
      <c r="K44" s="1660" t="s">
        <v>1560</v>
      </c>
      <c r="L44" s="1660" t="s">
        <v>1535</v>
      </c>
      <c r="Q44" s="501"/>
      <c r="R44" s="602"/>
      <c r="S44" s="2440"/>
      <c r="T44" s="2301"/>
      <c r="U44" s="512"/>
      <c r="V44" s="1745" t="s">
        <v>1606</v>
      </c>
      <c r="W44" s="1745" t="s">
        <v>1607</v>
      </c>
      <c r="X44" s="1745" t="s">
        <v>1606</v>
      </c>
      <c r="Y44" s="1745" t="s">
        <v>1607</v>
      </c>
      <c r="Z44" s="1752" t="s">
        <v>1563</v>
      </c>
      <c r="AA44" s="2437" t="s">
        <v>1564</v>
      </c>
      <c r="AB44" s="2438"/>
      <c r="AC44" s="2446"/>
      <c r="AD44" s="2504"/>
      <c r="AE44" s="2505"/>
      <c r="AF44" s="2505"/>
      <c r="AG44" s="2506"/>
      <c r="AH44" s="2504"/>
      <c r="AI44" s="2505"/>
      <c r="AJ44" s="2505"/>
      <c r="AK44" s="2506"/>
      <c r="AL44" s="2504"/>
      <c r="AM44" s="2505"/>
      <c r="AN44" s="2505"/>
      <c r="AO44" s="2506"/>
      <c r="AP44" s="2504"/>
      <c r="AQ44" s="2505"/>
      <c r="AR44" s="2505"/>
      <c r="AS44" s="2506"/>
      <c r="AT44" s="1745" t="s">
        <v>1606</v>
      </c>
      <c r="AU44" s="1745" t="s">
        <v>1607</v>
      </c>
      <c r="AV44" s="1745" t="s">
        <v>1606</v>
      </c>
      <c r="AW44" s="1745" t="s">
        <v>1607</v>
      </c>
      <c r="AX44" s="1752" t="s">
        <v>1563</v>
      </c>
      <c r="AY44" s="2437" t="s">
        <v>1564</v>
      </c>
      <c r="AZ44" s="2438"/>
      <c r="BA44" s="2446"/>
      <c r="BB44" s="2449"/>
      <c r="BC44" s="2277"/>
    </row>
    <row s="10822" customFormat="1" customHeight="1" ht="11.25" hidden="1">
      <c r="A45" s="1666"/>
      <c r="B45" s="1666"/>
      <c r="C45" s="1666"/>
      <c r="D45" s="1666"/>
      <c r="E45" s="1666"/>
      <c r="F45" s="1666"/>
      <c r="G45" s="1666"/>
      <c r="H45" s="1666"/>
      <c r="I45" s="1666"/>
      <c r="J45" s="1666"/>
      <c r="K45" s="1666"/>
      <c r="L45" s="1660"/>
      <c r="M45" s="1658"/>
      <c r="N45" s="1658"/>
      <c r="O45" s="1658"/>
      <c r="P45" s="747"/>
      <c r="Q45" s="1540"/>
      <c r="R45" s="1540">
        <v>1</v>
      </c>
      <c r="S45" s="1567" t="s">
        <v>109</v>
      </c>
      <c r="T45" s="1541" t="s">
        <v>110</v>
      </c>
      <c r="U45" s="1523" t="str">
        <f>OFFSET(U45,0,-1)</f>
        <v>2</v>
      </c>
      <c r="V45" s="1748">
        <f>OFFSET(V45,0,-1)+1</f>
        <v>3</v>
      </c>
      <c r="W45" s="1748">
        <f>OFFSET(W45,0,-1)+1</f>
        <v>4</v>
      </c>
      <c r="X45" s="1748">
        <f>OFFSET(X45,0,-1)+1</f>
        <v>5</v>
      </c>
      <c r="Y45" s="1748">
        <f>OFFSET(Y45,0,-1)+1</f>
        <v>6</v>
      </c>
      <c r="Z45" s="1748">
        <f>OFFSET(Z45,0,-1)+1</f>
        <v>7</v>
      </c>
      <c r="AA45" s="2439">
        <f>OFFSET(AA45,0,-1)+1</f>
        <v>8</v>
      </c>
      <c r="AB45" s="2439"/>
      <c r="AC45" s="1748">
        <f>OFFSET(AC45,0,-2)+1</f>
        <v>9</v>
      </c>
      <c r="AD45" s="1748">
        <f>OFFSET(AD45,0,-1)+1</f>
        <v>10</v>
      </c>
      <c r="AE45" s="1748"/>
      <c r="AF45" s="1748"/>
      <c r="AG45" s="1748"/>
      <c r="AH45" s="1748"/>
      <c r="AI45" s="1748"/>
      <c r="AJ45" s="1748"/>
      <c r="AK45" s="1748"/>
      <c r="AL45" s="1748"/>
      <c r="AM45" s="1748"/>
      <c r="AN45" s="1748"/>
      <c r="AO45" s="1748"/>
      <c r="AP45" s="1748"/>
      <c r="AQ45" s="1748"/>
      <c r="AR45" s="1748"/>
      <c r="AS45" s="1748"/>
      <c r="AT45" s="1748"/>
      <c r="AU45" s="1748"/>
      <c r="AV45" s="1748"/>
      <c r="AW45" s="1748">
        <f>OFFSET(AW45,0,-1)+1</f>
        <v>1</v>
      </c>
      <c r="AX45" s="1748">
        <f>OFFSET(AX45,0,-1)+1</f>
        <v>2</v>
      </c>
      <c r="AY45" s="2439">
        <f>OFFSET(AY45,0,-1)+1</f>
        <v>3</v>
      </c>
      <c r="AZ45" s="2439"/>
      <c r="BA45" s="1748">
        <f>OFFSET(BA45,0,-2)+1</f>
        <v>4</v>
      </c>
      <c r="BB45" s="1523">
        <f>OFFSET(BB45,0,-1)</f>
        <v>4</v>
      </c>
      <c r="BC45" s="1748">
        <f>OFFSET(BC45,0,-1)+1</f>
        <v>5</v>
      </c>
      <c r="BD45" s="748"/>
      <c r="BE45" s="748"/>
      <c r="BF45" s="748"/>
      <c r="BG45" s="748"/>
      <c r="BH45" s="748"/>
    </row>
    <row customHeight="1" ht="21">
      <c r="A46" s="1659" t="s">
        <v>308</v>
      </c>
      <c r="B46" s="1659"/>
      <c r="C46" s="1659"/>
      <c r="D46" s="1659"/>
      <c r="E46" s="2424">
        <v>1</v>
      </c>
      <c r="F46" s="1659"/>
      <c r="G46" s="1659"/>
      <c r="H46" s="1659"/>
      <c r="I46" s="1659"/>
      <c r="J46" s="1659"/>
      <c r="K46" s="1659"/>
      <c r="L46" s="1660"/>
      <c r="M46" s="1661"/>
      <c r="N46" s="1661"/>
      <c r="O46" s="1661"/>
      <c r="P46" s="1706"/>
      <c r="Q46" s="1120"/>
      <c r="R46" s="576"/>
      <c r="S46" s="1754">
        <f>INDEX(PT_DIFFERENTIATION_NUM_NTAR,MATCH(A46,PT_DIFFERENTIATION_NTAR_ID,0))</f>
        <v>0</v>
      </c>
      <c r="T46" s="508" t="s">
        <v>200</v>
      </c>
      <c r="U46" s="510"/>
      <c r="V46" s="4038"/>
      <c r="W46" s="4038"/>
      <c r="X46" s="4038"/>
      <c r="Y46" s="4038"/>
      <c r="Z46" s="4038"/>
      <c r="AA46" s="4038"/>
      <c r="AB46" s="4038"/>
      <c r="AC46" s="4039"/>
      <c r="AD46" s="4037" t="str">
        <f>INDEX(PT_DIFFERENTIATION_NTAR,MATCH(A46,PT_DIFFERENTIATION_NTAR_ID,0))</f>
        <v/>
      </c>
      <c r="AE46" s="4038"/>
      <c r="AF46" s="4038"/>
      <c r="AG46" s="4038"/>
      <c r="AH46" s="4038"/>
      <c r="AI46" s="4038"/>
      <c r="AJ46" s="4038"/>
      <c r="AK46" s="4038"/>
      <c r="AL46" s="4038"/>
      <c r="AM46" s="4038"/>
      <c r="AN46" s="4038"/>
      <c r="AO46" s="4038"/>
      <c r="AP46" s="4038"/>
      <c r="AQ46" s="4038"/>
      <c r="AR46" s="4038"/>
      <c r="AS46" s="4038"/>
      <c r="AT46" s="4038"/>
      <c r="AU46" s="4038"/>
      <c r="AV46" s="4038"/>
      <c r="AW46" s="4038"/>
      <c r="AX46" s="4038"/>
      <c r="AY46" s="4038"/>
      <c r="AZ46" s="4038"/>
      <c r="BA46" s="4038"/>
      <c r="BB46" s="4039"/>
      <c r="BC46" s="1546"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737"/>
      <c r="BF46" s="737" t="str">
        <f>IF(T46="","",T46)</f>
        <v>Наименование тарифа</v>
      </c>
      <c r="BG46" s="737"/>
      <c r="BH46" s="737"/>
    </row>
    <row customHeight="1" ht="21">
      <c r="A47" s="1659" t="s">
        <v>308</v>
      </c>
      <c r="B47" s="1659" t="s">
        <v>309</v>
      </c>
      <c r="C47" s="1659"/>
      <c r="D47" s="1659"/>
      <c r="E47" s="2425"/>
      <c r="F47" s="2424">
        <v>1</v>
      </c>
      <c r="G47" s="1659"/>
      <c r="H47" s="1659"/>
      <c r="I47" s="1659"/>
      <c r="J47" s="1659"/>
      <c r="K47" s="1659"/>
      <c r="L47" s="1660"/>
      <c r="M47" s="1661"/>
      <c r="N47" s="1661"/>
      <c r="O47" s="1661"/>
      <c r="P47" s="1707"/>
      <c r="Q47" s="1708"/>
      <c r="R47" s="574"/>
      <c r="S47" s="1754" t="str">
        <f>INDEX(PT_DIFFERENTIATION_NUM_TER,MATCH(B47,PT_DIFFERENTIATION_TER_ID,0))</f>
        <v>.</v>
      </c>
      <c r="T47" s="520" t="s">
        <v>1517</v>
      </c>
      <c r="U47" s="510"/>
      <c r="V47" s="4038"/>
      <c r="W47" s="4038"/>
      <c r="X47" s="4038"/>
      <c r="Y47" s="4038"/>
      <c r="Z47" s="4038"/>
      <c r="AA47" s="4038"/>
      <c r="AB47" s="4038"/>
      <c r="AC47" s="4039"/>
      <c r="AD47" s="4037" t="str">
        <f>INDEX(PT_DIFFERENTIATION_TER,MATCH(B47,PT_DIFFERENTIATION_TER_ID,0))</f>
        <v/>
      </c>
      <c r="AE47" s="4038"/>
      <c r="AF47" s="4038"/>
      <c r="AG47" s="4038"/>
      <c r="AH47" s="4038"/>
      <c r="AI47" s="4038"/>
      <c r="AJ47" s="4038"/>
      <c r="AK47" s="4038"/>
      <c r="AL47" s="4038"/>
      <c r="AM47" s="4038"/>
      <c r="AN47" s="4038"/>
      <c r="AO47" s="4038"/>
      <c r="AP47" s="4038"/>
      <c r="AQ47" s="4038"/>
      <c r="AR47" s="4038"/>
      <c r="AS47" s="4038"/>
      <c r="AT47" s="4038"/>
      <c r="AU47" s="4038"/>
      <c r="AV47" s="4038"/>
      <c r="AW47" s="4038"/>
      <c r="AX47" s="4038"/>
      <c r="AY47" s="4038"/>
      <c r="AZ47" s="4038"/>
      <c r="BA47" s="4038"/>
      <c r="BB47" s="4039"/>
      <c r="BC47" s="1546" t="s">
        <v>1518</v>
      </c>
      <c r="BE47" s="737"/>
      <c r="BF47" s="737" t="str">
        <f>IF(T47="","",T47)</f>
        <v>Территория действия тарифа</v>
      </c>
      <c r="BG47" s="737"/>
      <c r="BH47" s="737"/>
    </row>
    <row customHeight="1" ht="42">
      <c r="A48" s="1659" t="s">
        <v>308</v>
      </c>
      <c r="B48" s="1659" t="s">
        <v>309</v>
      </c>
      <c r="C48" s="1659" t="s">
        <v>310</v>
      </c>
      <c r="D48" s="1659"/>
      <c r="E48" s="2425"/>
      <c r="F48" s="2425"/>
      <c r="G48" s="2424">
        <v>1</v>
      </c>
      <c r="H48" s="1659"/>
      <c r="I48" s="1659"/>
      <c r="J48" s="1659"/>
      <c r="K48" s="1659"/>
      <c r="L48" s="1660"/>
      <c r="M48" s="1661"/>
      <c r="N48" s="1661"/>
      <c r="O48" s="1661"/>
      <c r="P48" s="1709"/>
      <c r="Q48" s="1708"/>
      <c r="R48" s="574"/>
      <c r="S48" s="1754" t="str">
        <f>INDEX(PT_DIFFERENTIATION_NUM_CS,MATCH(C48,PT_DIFFERENTIATION_CS_ID,0))</f>
        <v>..</v>
      </c>
      <c r="T48" s="521" t="s">
        <v>1732</v>
      </c>
      <c r="U48" s="510"/>
      <c r="V48" s="4038"/>
      <c r="W48" s="4038"/>
      <c r="X48" s="4038"/>
      <c r="Y48" s="4038"/>
      <c r="Z48" s="4038"/>
      <c r="AA48" s="4038"/>
      <c r="AB48" s="4038"/>
      <c r="AC48" s="4039"/>
      <c r="AD48" s="4037" t="str">
        <f>INDEX(PT_DIFFERENTIATION_CS,MATCH(C48,PT_DIFFERENTIATION_CS_ID,0))</f>
        <v/>
      </c>
      <c r="AE48" s="4038"/>
      <c r="AF48" s="4038"/>
      <c r="AG48" s="4038"/>
      <c r="AH48" s="4038"/>
      <c r="AI48" s="4038"/>
      <c r="AJ48" s="4038"/>
      <c r="AK48" s="4038"/>
      <c r="AL48" s="4038"/>
      <c r="AM48" s="4038"/>
      <c r="AN48" s="4038"/>
      <c r="AO48" s="4038"/>
      <c r="AP48" s="4038"/>
      <c r="AQ48" s="4038"/>
      <c r="AR48" s="4038"/>
      <c r="AS48" s="4038"/>
      <c r="AT48" s="4038"/>
      <c r="AU48" s="4038"/>
      <c r="AV48" s="4038"/>
      <c r="AW48" s="4038"/>
      <c r="AX48" s="4038"/>
      <c r="AY48" s="4038"/>
      <c r="AZ48" s="4038"/>
      <c r="BA48" s="4038"/>
      <c r="BB48" s="4039"/>
      <c r="BC48" s="1546" t="s">
        <v>1733</v>
      </c>
      <c r="BE48" s="737"/>
      <c r="BF48" s="737" t="str">
        <f>IF(T48="","",T48)</f>
        <v>Наименование централизованной системы холодного водоснабжения</v>
      </c>
      <c r="BG48" s="737"/>
      <c r="BH48" s="737"/>
    </row>
    <row s="10863" customFormat="1" customHeight="1" ht="0">
      <c r="A49" s="1638" t="s">
        <v>308</v>
      </c>
      <c r="B49" s="1638" t="s">
        <v>309</v>
      </c>
      <c r="C49" s="1638" t="s">
        <v>310</v>
      </c>
      <c r="D49" s="1638" t="s">
        <v>1766</v>
      </c>
      <c r="E49" s="2425"/>
      <c r="F49" s="2425"/>
      <c r="G49" s="2425"/>
      <c r="H49" s="2424">
        <v>1</v>
      </c>
      <c r="I49" s="1638"/>
      <c r="J49" s="1638"/>
      <c r="K49" s="1638"/>
      <c r="L49" s="1641"/>
      <c r="M49" s="1610"/>
      <c r="N49" s="1610"/>
      <c r="O49" s="1610"/>
      <c r="P49" s="1794"/>
      <c r="Q49" s="1795"/>
      <c r="R49" s="578"/>
      <c r="S49" s="1300"/>
      <c r="T49" s="1796"/>
      <c r="U49" s="1680"/>
      <c r="V49" s="2464"/>
      <c r="W49" s="2464"/>
      <c r="X49" s="2464"/>
      <c r="Y49" s="2464"/>
      <c r="Z49" s="2464"/>
      <c r="AA49" s="2464"/>
      <c r="AB49" s="2464"/>
      <c r="AC49" s="2465"/>
      <c r="AD49" s="2463"/>
      <c r="AE49" s="2464"/>
      <c r="AF49" s="2464"/>
      <c r="AG49" s="2464"/>
      <c r="AH49" s="2464"/>
      <c r="AI49" s="2464"/>
      <c r="AJ49" s="2464"/>
      <c r="AK49" s="2464"/>
      <c r="AL49" s="2464"/>
      <c r="AM49" s="2464"/>
      <c r="AN49" s="2464"/>
      <c r="AO49" s="2464"/>
      <c r="AP49" s="2464"/>
      <c r="AQ49" s="2464"/>
      <c r="AR49" s="2464"/>
      <c r="AS49" s="2464"/>
      <c r="AT49" s="2464"/>
      <c r="AU49" s="2464"/>
      <c r="AV49" s="2464"/>
      <c r="AW49" s="2464"/>
      <c r="AX49" s="2464"/>
      <c r="AY49" s="2464"/>
      <c r="AZ49" s="2464"/>
      <c r="BA49" s="2464"/>
      <c r="BB49" s="2465"/>
      <c r="BC49" s="1681" t="s">
        <v>1522</v>
      </c>
      <c r="BE49" s="737"/>
      <c r="BF49" s="737" t="str">
        <f>IF(T49="","",T49)</f>
        <v/>
      </c>
      <c r="BG49" s="737"/>
      <c r="BH49" s="737"/>
    </row>
    <row s="10863" customFormat="1" customHeight="1" ht="0">
      <c r="A50" s="1638" t="s">
        <v>308</v>
      </c>
      <c r="B50" s="1638" t="s">
        <v>309</v>
      </c>
      <c r="C50" s="1638" t="s">
        <v>310</v>
      </c>
      <c r="D50" s="1638" t="s">
        <v>1766</v>
      </c>
      <c r="E50" s="2425"/>
      <c r="F50" s="2425"/>
      <c r="G50" s="2425"/>
      <c r="H50" s="2425"/>
      <c r="I50" s="2453" t="str">
        <f>S49&amp;".1"</f>
        <v>.1</v>
      </c>
      <c r="J50" s="1638"/>
      <c r="K50" s="1638"/>
      <c r="L50" s="1641" t="s">
        <v>1523</v>
      </c>
      <c r="M50" s="747"/>
      <c r="N50" s="747"/>
      <c r="O50" s="747"/>
      <c r="P50" s="2423">
        <v>1</v>
      </c>
      <c r="Q50" s="1759"/>
      <c r="R50" s="577"/>
      <c r="S50" s="1300"/>
      <c r="T50" s="1679"/>
      <c r="U50" s="1680"/>
      <c r="V50" s="2464"/>
      <c r="W50" s="2464"/>
      <c r="X50" s="2464"/>
      <c r="Y50" s="2464"/>
      <c r="Z50" s="2464"/>
      <c r="AA50" s="2464"/>
      <c r="AB50" s="2464"/>
      <c r="AC50" s="2465"/>
      <c r="AD50" s="2463"/>
      <c r="AE50" s="2464"/>
      <c r="AF50" s="2464"/>
      <c r="AG50" s="2464"/>
      <c r="AH50" s="2464"/>
      <c r="AI50" s="2464"/>
      <c r="AJ50" s="2464"/>
      <c r="AK50" s="2464"/>
      <c r="AL50" s="2464"/>
      <c r="AM50" s="2464"/>
      <c r="AN50" s="2464"/>
      <c r="AO50" s="2464"/>
      <c r="AP50" s="2464"/>
      <c r="AQ50" s="2464"/>
      <c r="AR50" s="2464"/>
      <c r="AS50" s="2464"/>
      <c r="AT50" s="2464"/>
      <c r="AU50" s="2464"/>
      <c r="AV50" s="2464"/>
      <c r="AW50" s="2464"/>
      <c r="AX50" s="2464"/>
      <c r="AY50" s="2464"/>
      <c r="AZ50" s="2464"/>
      <c r="BA50" s="2464"/>
      <c r="BB50" s="2465"/>
      <c r="BC50" s="1681"/>
      <c r="BE50" s="737"/>
      <c r="BF50" s="737" t="str">
        <f>IF(T50="","",T50)</f>
        <v/>
      </c>
      <c r="BG50" s="737"/>
      <c r="BH50" s="737"/>
    </row>
    <row s="10863" customFormat="1" customHeight="1" ht="0">
      <c r="A51" s="1638" t="s">
        <v>308</v>
      </c>
      <c r="B51" s="1638" t="s">
        <v>309</v>
      </c>
      <c r="C51" s="1638" t="s">
        <v>310</v>
      </c>
      <c r="D51" s="1638" t="s">
        <v>1766</v>
      </c>
      <c r="E51" s="2425"/>
      <c r="F51" s="2425"/>
      <c r="G51" s="2425"/>
      <c r="H51" s="2425"/>
      <c r="I51" s="2454"/>
      <c r="J51" s="2422" t="str">
        <f>S49&amp;".1"</f>
        <v>.1</v>
      </c>
      <c r="K51" s="1638"/>
      <c r="L51" s="1641"/>
      <c r="M51" s="747"/>
      <c r="N51" s="747"/>
      <c r="O51" s="747"/>
      <c r="P51" s="2423"/>
      <c r="Q51" s="2423">
        <v>1</v>
      </c>
      <c r="R51" s="578"/>
      <c r="S51" s="1300"/>
      <c r="T51" s="1695"/>
      <c r="U51" s="1680"/>
      <c r="V51" s="2464"/>
      <c r="W51" s="2464"/>
      <c r="X51" s="2464"/>
      <c r="Y51" s="2464"/>
      <c r="Z51" s="2464"/>
      <c r="AA51" s="2464"/>
      <c r="AB51" s="2464"/>
      <c r="AC51" s="2465"/>
      <c r="AD51" s="2463"/>
      <c r="AE51" s="2464"/>
      <c r="AF51" s="2464"/>
      <c r="AG51" s="2464"/>
      <c r="AH51" s="2464"/>
      <c r="AI51" s="2464"/>
      <c r="AJ51" s="2464"/>
      <c r="AK51" s="2464"/>
      <c r="AL51" s="2464"/>
      <c r="AM51" s="2464"/>
      <c r="AN51" s="2590"/>
      <c r="AO51" s="2590"/>
      <c r="AP51" s="2464"/>
      <c r="AQ51" s="2464"/>
      <c r="AR51" s="2464"/>
      <c r="AS51" s="2464"/>
      <c r="AT51" s="2464"/>
      <c r="AU51" s="2464"/>
      <c r="AV51" s="2464"/>
      <c r="AW51" s="2464"/>
      <c r="AX51" s="2464"/>
      <c r="AY51" s="2464"/>
      <c r="AZ51" s="2464"/>
      <c r="BA51" s="2464"/>
      <c r="BB51" s="2465"/>
      <c r="BC51" s="1681"/>
      <c r="BE51" s="737"/>
      <c r="BF51" s="737" t="str">
        <f>IF(T51="","",T51)</f>
        <v/>
      </c>
      <c r="BG51" s="737"/>
      <c r="BH51" s="737"/>
    </row>
    <row customHeight="1" ht="11.25">
      <c r="A52" s="1659" t="s">
        <v>308</v>
      </c>
      <c r="B52" s="1659" t="s">
        <v>309</v>
      </c>
      <c r="C52" s="1659" t="s">
        <v>310</v>
      </c>
      <c r="D52" s="1659" t="s">
        <v>1766</v>
      </c>
      <c r="E52" s="2425"/>
      <c r="F52" s="2425"/>
      <c r="G52" s="2425"/>
      <c r="H52" s="2425"/>
      <c r="I52" s="2454"/>
      <c r="J52" s="2455"/>
      <c r="K52" s="2422" t="str">
        <f>S48&amp;".1"</f>
        <v>...1</v>
      </c>
      <c r="L52" s="1660"/>
      <c r="P52" s="2423"/>
      <c r="Q52" s="2423"/>
      <c r="R52" s="578">
        <v>1</v>
      </c>
      <c r="S52" s="2507" t="str">
        <f>$K52</f>
        <v>...1</v>
      </c>
      <c r="T52" s="2585"/>
      <c r="U52" s="510"/>
      <c r="V52" s="4065"/>
      <c r="W52" s="4067"/>
      <c r="X52" s="4065"/>
      <c r="Y52" s="4067"/>
      <c r="Z52" s="2049"/>
      <c r="AA52" s="1756" t="s">
        <v>67</v>
      </c>
      <c r="AB52" s="2049"/>
      <c r="AC52" s="1756" t="s">
        <v>67</v>
      </c>
      <c r="AD52" s="2232" t="s">
        <v>67</v>
      </c>
      <c r="AE52" s="2496"/>
      <c r="AF52" s="2497">
        <v>1</v>
      </c>
      <c r="AG52" s="2589"/>
      <c r="AH52" s="2142" t="s">
        <v>67</v>
      </c>
      <c r="AI52" s="2496"/>
      <c r="AJ52" s="2497">
        <v>1</v>
      </c>
      <c r="AK52" s="2588" t="s">
        <v>17</v>
      </c>
      <c r="AL52" s="2142" t="s">
        <v>67</v>
      </c>
      <c r="AM52" s="2580"/>
      <c r="AN52" s="2497">
        <v>1</v>
      </c>
      <c r="AO52" s="2582"/>
      <c r="AP52" s="2583" t="s">
        <v>67</v>
      </c>
      <c r="AQ52" s="523"/>
      <c r="AR52" s="1760">
        <v>1</v>
      </c>
      <c r="AS52" s="1763" t="s">
        <v>17</v>
      </c>
      <c r="AT52" s="4065"/>
      <c r="AU52" s="4067"/>
      <c r="AV52" s="4065"/>
      <c r="AW52" s="4067"/>
      <c r="AX52" s="2049"/>
      <c r="AY52" s="1756" t="s">
        <v>67</v>
      </c>
      <c r="AZ52" s="2049"/>
      <c r="BA52" s="1756" t="s">
        <v>67</v>
      </c>
      <c r="BB52" s="4166"/>
      <c r="BC52" s="2419" t="s">
        <v>1752</v>
      </c>
      <c r="BE52" s="737"/>
      <c r="BF52" s="737" t="str">
        <f>IF(T52="","",T52)</f>
        <v/>
      </c>
      <c r="BG52" s="737"/>
      <c r="BH52" s="737"/>
    </row>
    <row customHeight="1" ht="11.25">
      <c r="A53" s="1659"/>
      <c r="B53" s="1659"/>
      <c r="C53" s="1659"/>
      <c r="D53" s="1659"/>
      <c r="E53" s="2425"/>
      <c r="F53" s="2425"/>
      <c r="G53" s="2425"/>
      <c r="H53" s="2425"/>
      <c r="I53" s="2454"/>
      <c r="J53" s="2455"/>
      <c r="K53" s="2422"/>
      <c r="L53" s="1660"/>
      <c r="P53" s="2423"/>
      <c r="Q53" s="2423"/>
      <c r="R53" s="578"/>
      <c r="S53" s="2508"/>
      <c r="T53" s="2586"/>
      <c r="U53" s="510"/>
      <c r="V53" s="4225"/>
      <c r="W53" s="4281"/>
      <c r="X53" s="4225"/>
      <c r="Y53" s="4281"/>
      <c r="Z53" s="4225"/>
      <c r="AA53" s="4225"/>
      <c r="AB53" s="4225"/>
      <c r="AC53" s="4225"/>
      <c r="AD53" s="2233"/>
      <c r="AE53" s="2496"/>
      <c r="AF53" s="2497"/>
      <c r="AG53" s="2589"/>
      <c r="AH53" s="2142"/>
      <c r="AI53" s="2496"/>
      <c r="AJ53" s="2497"/>
      <c r="AK53" s="2588"/>
      <c r="AL53" s="2142"/>
      <c r="AM53" s="2581"/>
      <c r="AN53" s="2497"/>
      <c r="AO53" s="2582"/>
      <c r="AP53" s="2584"/>
      <c r="AQ53" s="530"/>
      <c r="AR53" s="652"/>
      <c r="AS53" s="652" t="s">
        <v>1753</v>
      </c>
      <c r="AT53" s="4225"/>
      <c r="AU53" s="4281"/>
      <c r="AV53" s="4225"/>
      <c r="AW53" s="4281"/>
      <c r="AX53" s="4225"/>
      <c r="AY53" s="4225"/>
      <c r="AZ53" s="4225"/>
      <c r="BA53" s="4225"/>
      <c r="BB53" s="4279"/>
      <c r="BC53" s="2420"/>
      <c r="BE53" s="737"/>
      <c r="BF53" s="737"/>
      <c r="BG53" s="737"/>
      <c r="BH53" s="737"/>
    </row>
    <row customHeight="1" ht="11.25">
      <c r="A54" s="1659" t="s">
        <v>308</v>
      </c>
      <c r="B54" s="1659"/>
      <c r="C54" s="1659"/>
      <c r="D54" s="1659"/>
      <c r="E54" s="2425"/>
      <c r="F54" s="2425"/>
      <c r="G54" s="2425"/>
      <c r="H54" s="2425"/>
      <c r="I54" s="2454"/>
      <c r="J54" s="2455"/>
      <c r="K54" s="2422"/>
      <c r="L54" s="1660"/>
      <c r="P54" s="2423"/>
      <c r="Q54" s="2423"/>
      <c r="R54" s="578"/>
      <c r="S54" s="2508"/>
      <c r="T54" s="2586"/>
      <c r="U54" s="510"/>
      <c r="V54" s="4225"/>
      <c r="W54" s="4281"/>
      <c r="X54" s="4225"/>
      <c r="Y54" s="4281"/>
      <c r="Z54" s="4225"/>
      <c r="AA54" s="4225"/>
      <c r="AB54" s="4225"/>
      <c r="AC54" s="4225"/>
      <c r="AD54" s="2233"/>
      <c r="AE54" s="2496"/>
      <c r="AF54" s="2497"/>
      <c r="AG54" s="2589"/>
      <c r="AH54" s="2142"/>
      <c r="AI54" s="2496"/>
      <c r="AJ54" s="2497"/>
      <c r="AK54" s="2588"/>
      <c r="AL54" s="2142"/>
      <c r="AM54" s="530"/>
      <c r="AN54" s="1797"/>
      <c r="AO54" s="1797" t="s">
        <v>1754</v>
      </c>
      <c r="AP54" s="652"/>
      <c r="AQ54" s="652"/>
      <c r="AR54" s="652"/>
      <c r="AS54" s="4225"/>
      <c r="AT54" s="4225"/>
      <c r="AU54" s="4281"/>
      <c r="AV54" s="4225"/>
      <c r="AW54" s="4281"/>
      <c r="AX54" s="4225"/>
      <c r="AY54" s="4225"/>
      <c r="AZ54" s="4225"/>
      <c r="BA54" s="4225"/>
      <c r="BB54" s="4279"/>
      <c r="BC54" s="2420"/>
      <c r="BE54" s="737"/>
      <c r="BF54" s="737"/>
      <c r="BG54" s="737"/>
      <c r="BH54" s="737"/>
    </row>
    <row customHeight="1" ht="11.25">
      <c r="A55" s="1659" t="s">
        <v>308</v>
      </c>
      <c r="B55" s="1659"/>
      <c r="C55" s="1659"/>
      <c r="D55" s="1659"/>
      <c r="E55" s="2425"/>
      <c r="F55" s="2425"/>
      <c r="G55" s="2425"/>
      <c r="H55" s="2425"/>
      <c r="I55" s="2454"/>
      <c r="J55" s="2455"/>
      <c r="K55" s="2422"/>
      <c r="L55" s="1660"/>
      <c r="P55" s="2423"/>
      <c r="Q55" s="2423"/>
      <c r="R55" s="578"/>
      <c r="S55" s="2508"/>
      <c r="T55" s="2586"/>
      <c r="U55" s="510"/>
      <c r="V55" s="4225"/>
      <c r="W55" s="4281"/>
      <c r="X55" s="4225"/>
      <c r="Y55" s="4281"/>
      <c r="Z55" s="4225"/>
      <c r="AA55" s="4225"/>
      <c r="AB55" s="4225"/>
      <c r="AC55" s="4225"/>
      <c r="AD55" s="2233"/>
      <c r="AE55" s="2496"/>
      <c r="AF55" s="2497"/>
      <c r="AG55" s="2589"/>
      <c r="AH55" s="2142"/>
      <c r="AI55" s="504"/>
      <c r="AJ55" s="651"/>
      <c r="AK55" s="525" t="s">
        <v>1755</v>
      </c>
      <c r="AL55" s="4225"/>
      <c r="AM55" s="4225"/>
      <c r="AN55" s="4225"/>
      <c r="AO55" s="4225"/>
      <c r="AP55" s="4225"/>
      <c r="AQ55" s="4225"/>
      <c r="AR55" s="4225"/>
      <c r="AS55" s="4225"/>
      <c r="AT55" s="4225"/>
      <c r="AU55" s="4281"/>
      <c r="AV55" s="4225"/>
      <c r="AW55" s="4281"/>
      <c r="AX55" s="4225"/>
      <c r="AY55" s="4225"/>
      <c r="AZ55" s="4225"/>
      <c r="BA55" s="4225"/>
      <c r="BB55" s="4279"/>
      <c r="BC55" s="2420"/>
      <c r="BE55" s="737"/>
      <c r="BF55" s="737"/>
      <c r="BG55" s="737"/>
      <c r="BH55" s="737"/>
    </row>
    <row customHeight="1" ht="11.25">
      <c r="A56" s="1659" t="s">
        <v>308</v>
      </c>
      <c r="B56" s="1659" t="s">
        <v>309</v>
      </c>
      <c r="C56" s="1659" t="s">
        <v>310</v>
      </c>
      <c r="D56" s="1659" t="s">
        <v>1766</v>
      </c>
      <c r="E56" s="2425"/>
      <c r="F56" s="2425"/>
      <c r="G56" s="2425"/>
      <c r="H56" s="2425"/>
      <c r="I56" s="2454"/>
      <c r="J56" s="2455"/>
      <c r="K56" s="2422"/>
      <c r="L56" s="1660"/>
      <c r="P56" s="2423"/>
      <c r="Q56" s="2423"/>
      <c r="R56" s="578"/>
      <c r="S56" s="2509"/>
      <c r="T56" s="2587"/>
      <c r="U56" s="510"/>
      <c r="V56" s="4225"/>
      <c r="W56" s="4226" t="str">
        <f>Z52&amp;"-"&amp;AB52</f>
        <v>-</v>
      </c>
      <c r="X56" s="4225"/>
      <c r="Y56" s="4226" t="str">
        <f>AB52&amp;"-"&amp;AD52</f>
        <v>-да</v>
      </c>
      <c r="Z56" s="4225"/>
      <c r="AA56" s="4225"/>
      <c r="AB56" s="4225"/>
      <c r="AC56" s="4225"/>
      <c r="AD56" s="2147"/>
      <c r="AE56" s="524"/>
      <c r="AF56" s="526"/>
      <c r="AG56" s="652" t="s">
        <v>1756</v>
      </c>
      <c r="AH56" s="4225"/>
      <c r="AI56" s="4225"/>
      <c r="AJ56" s="4225"/>
      <c r="AK56" s="4225"/>
      <c r="AL56" s="4225"/>
      <c r="AM56" s="4225"/>
      <c r="AN56" s="4225"/>
      <c r="AO56" s="4225"/>
      <c r="AP56" s="4225"/>
      <c r="AQ56" s="4225"/>
      <c r="AR56" s="4225"/>
      <c r="AS56" s="4225"/>
      <c r="AT56" s="4225"/>
      <c r="AU56" s="4226" t="str">
        <f>AX52&amp;"-"&amp;AZ52</f>
        <v>-</v>
      </c>
      <c r="AV56" s="4225"/>
      <c r="AW56" s="4226" t="str">
        <f>AZ52&amp;"-"&amp;BB52</f>
        <v>-</v>
      </c>
      <c r="AX56" s="4225"/>
      <c r="AY56" s="4225"/>
      <c r="AZ56" s="4225"/>
      <c r="BA56" s="4225"/>
      <c r="BB56" s="4286" t="str">
        <f>BE52&amp;"-"&amp;BG52</f>
        <v>-</v>
      </c>
      <c r="BC56" s="2420"/>
      <c r="BE56" s="737"/>
      <c r="BF56" s="737" t="str">
        <f>IF(T56="","",T56)</f>
        <v/>
      </c>
      <c r="BG56" s="737"/>
      <c r="BH56" s="737"/>
    </row>
    <row customHeight="1" ht="11.25">
      <c r="A57" s="1659" t="s">
        <v>308</v>
      </c>
      <c r="B57" s="1659" t="s">
        <v>309</v>
      </c>
      <c r="C57" s="1659" t="s">
        <v>310</v>
      </c>
      <c r="D57" s="1659" t="s">
        <v>1766</v>
      </c>
      <c r="E57" s="2425"/>
      <c r="F57" s="2425"/>
      <c r="G57" s="2425"/>
      <c r="H57" s="2425"/>
      <c r="I57" s="2454"/>
      <c r="J57" s="2422"/>
      <c r="K57" s="1659"/>
      <c r="L57" s="1660"/>
      <c r="P57" s="2423"/>
      <c r="Q57" s="2423"/>
      <c r="R57" s="577"/>
      <c r="S57" s="1568"/>
      <c r="T57" s="497" t="s">
        <v>1597</v>
      </c>
      <c r="U57" s="592"/>
      <c r="V57" s="592"/>
      <c r="W57" s="592"/>
      <c r="X57" s="592"/>
      <c r="Y57" s="592"/>
      <c r="Z57" s="592"/>
      <c r="AA57" s="592"/>
      <c r="AB57" s="592"/>
      <c r="AC57" s="544"/>
      <c r="AD57" s="1802"/>
      <c r="AE57" s="592"/>
      <c r="AF57" s="592"/>
      <c r="AG57" s="592"/>
      <c r="AH57" s="592"/>
      <c r="AI57" s="592"/>
      <c r="AJ57" s="592"/>
      <c r="AK57" s="592"/>
      <c r="AL57" s="592"/>
      <c r="AM57" s="592"/>
      <c r="AN57" s="592"/>
      <c r="AO57" s="592"/>
      <c r="AP57" s="592"/>
      <c r="AQ57" s="592"/>
      <c r="AR57" s="592"/>
      <c r="AS57" s="592"/>
      <c r="AT57" s="592"/>
      <c r="AU57" s="592"/>
      <c r="AV57" s="592"/>
      <c r="AW57" s="592"/>
      <c r="AX57" s="592"/>
      <c r="AY57" s="592"/>
      <c r="AZ57" s="592"/>
      <c r="BA57" s="592"/>
      <c r="BB57" s="544"/>
      <c r="BC57" s="2421"/>
      <c r="BE57" s="737"/>
      <c r="BF57" s="737" t="str">
        <f>IF(T57="","",T57)</f>
        <v>Добавить строку</v>
      </c>
      <c r="BG57" s="737"/>
      <c r="BH57" s="737"/>
    </row>
    <row s="10863" customFormat="1" customHeight="1" ht="0">
      <c r="A58" s="1638" t="s">
        <v>308</v>
      </c>
      <c r="B58" s="1638" t="s">
        <v>309</v>
      </c>
      <c r="C58" s="1638" t="s">
        <v>310</v>
      </c>
      <c r="D58" s="1638" t="s">
        <v>1766</v>
      </c>
      <c r="E58" s="2425"/>
      <c r="F58" s="2425"/>
      <c r="G58" s="2425"/>
      <c r="H58" s="2425"/>
      <c r="I58" s="2453"/>
      <c r="J58" s="1638"/>
      <c r="K58" s="1638"/>
      <c r="L58" s="1641"/>
      <c r="M58" s="747"/>
      <c r="N58" s="747"/>
      <c r="O58" s="747"/>
      <c r="P58" s="2423"/>
      <c r="Q58" s="1759"/>
      <c r="R58" s="577"/>
      <c r="S58" s="1682"/>
      <c r="T58" s="1683"/>
      <c r="U58" s="1684"/>
      <c r="V58" s="1684"/>
      <c r="W58" s="1684"/>
      <c r="X58" s="1684"/>
      <c r="Y58" s="1684"/>
      <c r="Z58" s="1684"/>
      <c r="AA58" s="1684"/>
      <c r="AB58" s="1684"/>
      <c r="AC58" s="1684"/>
      <c r="AD58" s="1684"/>
      <c r="AE58" s="1684"/>
      <c r="AF58" s="1684"/>
      <c r="AG58" s="1684"/>
      <c r="AH58" s="1684"/>
      <c r="AI58" s="1684"/>
      <c r="AJ58" s="1684"/>
      <c r="AK58" s="1684"/>
      <c r="AL58" s="1684"/>
      <c r="AM58" s="1684"/>
      <c r="AN58" s="1684"/>
      <c r="AO58" s="1684"/>
      <c r="AP58" s="1684"/>
      <c r="AQ58" s="1684"/>
      <c r="AR58" s="1684"/>
      <c r="AS58" s="1684"/>
      <c r="AT58" s="1684"/>
      <c r="AU58" s="1684"/>
      <c r="AV58" s="1684"/>
      <c r="AW58" s="1684"/>
      <c r="AX58" s="1684"/>
      <c r="AY58" s="1684"/>
      <c r="AZ58" s="1684"/>
      <c r="BA58" s="1684"/>
      <c r="BB58" s="1684"/>
      <c r="BC58" s="1685"/>
      <c r="BE58" s="737"/>
      <c r="BF58" s="737" t="str">
        <f>IF(T58="","",T58)</f>
        <v/>
      </c>
      <c r="BG58" s="737"/>
      <c r="BH58" s="737"/>
    </row>
    <row s="10863" customFormat="1" customHeight="1" ht="0">
      <c r="A59" s="1638" t="s">
        <v>308</v>
      </c>
      <c r="B59" s="1638" t="s">
        <v>309</v>
      </c>
      <c r="C59" s="1638" t="s">
        <v>310</v>
      </c>
      <c r="D59" s="1638" t="s">
        <v>1766</v>
      </c>
      <c r="E59" s="2425"/>
      <c r="F59" s="2425"/>
      <c r="G59" s="2425"/>
      <c r="H59" s="2424"/>
      <c r="I59" s="1638"/>
      <c r="J59" s="1638"/>
      <c r="K59" s="1638"/>
      <c r="L59" s="1641"/>
      <c r="M59" s="1610"/>
      <c r="N59" s="1610"/>
      <c r="O59" s="755"/>
      <c r="P59" s="610"/>
      <c r="Q59" s="1639"/>
      <c r="R59" s="1697"/>
      <c r="S59" s="1682"/>
      <c r="T59" s="1683"/>
      <c r="U59" s="1684"/>
      <c r="V59" s="1684"/>
      <c r="W59" s="1684"/>
      <c r="X59" s="1684"/>
      <c r="Y59" s="1684"/>
      <c r="Z59" s="1684"/>
      <c r="AA59" s="1684"/>
      <c r="AB59" s="1684"/>
      <c r="AC59" s="1684"/>
      <c r="AD59" s="1684"/>
      <c r="AE59" s="1684"/>
      <c r="AF59" s="1684"/>
      <c r="AG59" s="1684"/>
      <c r="AH59" s="1684"/>
      <c r="AI59" s="1684"/>
      <c r="AJ59" s="1684"/>
      <c r="AK59" s="1684"/>
      <c r="AL59" s="1684"/>
      <c r="AM59" s="1684"/>
      <c r="AN59" s="1684"/>
      <c r="AO59" s="1684"/>
      <c r="AP59" s="1684"/>
      <c r="AQ59" s="1684"/>
      <c r="AR59" s="1684"/>
      <c r="AS59" s="1684"/>
      <c r="AT59" s="1684"/>
      <c r="AU59" s="1684"/>
      <c r="AV59" s="1684"/>
      <c r="AW59" s="1684"/>
      <c r="AX59" s="1684"/>
      <c r="AY59" s="1684"/>
      <c r="AZ59" s="1684"/>
      <c r="BA59" s="1684"/>
      <c r="BB59" s="1684"/>
      <c r="BC59" s="1685"/>
      <c r="BE59" s="737"/>
      <c r="BF59" s="737" t="str">
        <f>IF(T59="","",T59)</f>
        <v/>
      </c>
      <c r="BG59" s="737"/>
      <c r="BH59" s="737"/>
    </row>
    <row s="10863" customFormat="1" customHeight="1" ht="0">
      <c r="A60" s="1638" t="s">
        <v>308</v>
      </c>
      <c r="B60" s="1638" t="s">
        <v>309</v>
      </c>
      <c r="C60" s="1638" t="s">
        <v>310</v>
      </c>
      <c r="D60" s="1609"/>
      <c r="E60" s="2425"/>
      <c r="F60" s="2425"/>
      <c r="G60" s="2424"/>
      <c r="H60" s="1609"/>
      <c r="I60" s="1609"/>
      <c r="J60" s="1609"/>
      <c r="K60" s="1609"/>
      <c r="L60" s="1761"/>
      <c r="M60" s="1610"/>
      <c r="N60" s="1610"/>
      <c r="P60" s="1611"/>
      <c r="Q60" s="1612"/>
      <c r="R60" s="1611"/>
      <c r="S60" s="1617"/>
      <c r="T60" s="1620"/>
      <c r="U60" s="1619"/>
      <c r="V60" s="1619"/>
      <c r="W60" s="1619"/>
      <c r="X60" s="1619"/>
      <c r="Y60" s="1619"/>
      <c r="Z60" s="1619"/>
      <c r="AA60" s="1619"/>
      <c r="AB60" s="1619"/>
      <c r="AC60" s="1619"/>
      <c r="AD60" s="1619"/>
      <c r="AE60" s="1619"/>
      <c r="AF60" s="1619"/>
      <c r="AG60" s="1619"/>
      <c r="AH60" s="1619"/>
      <c r="AI60" s="1619"/>
      <c r="AJ60" s="1619"/>
      <c r="AK60" s="1619"/>
      <c r="AL60" s="1619"/>
      <c r="AM60" s="1619"/>
      <c r="AN60" s="1619"/>
      <c r="AO60" s="1619"/>
      <c r="AP60" s="1619"/>
      <c r="AQ60" s="1619"/>
      <c r="AR60" s="1619"/>
      <c r="AS60" s="1619"/>
      <c r="AT60" s="1619"/>
      <c r="AU60" s="1619"/>
      <c r="AV60" s="1619"/>
      <c r="AW60" s="1619"/>
      <c r="AX60" s="1619"/>
      <c r="AY60" s="1619"/>
      <c r="AZ60" s="1619"/>
      <c r="BA60" s="1619"/>
      <c r="BB60" s="1619"/>
      <c r="BC60" s="1619"/>
      <c r="BE60" s="1029"/>
      <c r="BF60" s="1029" t="str">
        <f>IF(T60="","",T60)</f>
        <v/>
      </c>
      <c r="BG60" s="1029"/>
      <c r="BH60" s="1029"/>
    </row>
    <row s="10863" customFormat="1" customHeight="1" ht="0">
      <c r="A61" s="1638" t="s">
        <v>308</v>
      </c>
      <c r="B61" s="1638" t="s">
        <v>309</v>
      </c>
      <c r="C61" s="1609"/>
      <c r="D61" s="1609"/>
      <c r="E61" s="2425"/>
      <c r="F61" s="2424"/>
      <c r="G61" s="1609"/>
      <c r="H61" s="1609"/>
      <c r="I61" s="1609"/>
      <c r="J61" s="1609"/>
      <c r="K61" s="1609"/>
      <c r="L61" s="1761"/>
      <c r="M61" s="1616"/>
      <c r="N61" s="1616"/>
      <c r="P61" s="1611"/>
      <c r="Q61" s="1612"/>
      <c r="R61" s="1611"/>
      <c r="S61" s="1617"/>
      <c r="T61" s="1620" t="s">
        <v>1493</v>
      </c>
      <c r="U61" s="1619"/>
      <c r="V61" s="1619"/>
      <c r="W61" s="1619"/>
      <c r="X61" s="1619"/>
      <c r="Y61" s="1619"/>
      <c r="Z61" s="1619"/>
      <c r="AA61" s="1619"/>
      <c r="AB61" s="1619"/>
      <c r="AC61" s="1619"/>
      <c r="AD61" s="1619"/>
      <c r="AE61" s="1619"/>
      <c r="AF61" s="1619"/>
      <c r="AG61" s="1619"/>
      <c r="AH61" s="1619"/>
      <c r="AI61" s="1619"/>
      <c r="AJ61" s="1619"/>
      <c r="AK61" s="1619"/>
      <c r="AL61" s="1619"/>
      <c r="AM61" s="1619"/>
      <c r="AN61" s="1619"/>
      <c r="AO61" s="1619"/>
      <c r="AP61" s="1619"/>
      <c r="AQ61" s="1619"/>
      <c r="AR61" s="1619"/>
      <c r="AS61" s="1619"/>
      <c r="AT61" s="1619"/>
      <c r="AU61" s="1619"/>
      <c r="AV61" s="1619"/>
      <c r="AW61" s="1619"/>
      <c r="AX61" s="1619"/>
      <c r="AY61" s="1619"/>
      <c r="AZ61" s="1619"/>
      <c r="BA61" s="1619"/>
      <c r="BB61" s="1619"/>
      <c r="BC61" s="1619"/>
      <c r="BE61" s="1029"/>
      <c r="BF61" s="1029" t="str">
        <f>IF(T61="","",T61)</f>
        <v>Добавить централизованную систему для дифференциации</v>
      </c>
      <c r="BG61" s="1029"/>
      <c r="BH61" s="1029"/>
    </row>
    <row s="10863" customFormat="1" customHeight="1" ht="0">
      <c r="A62" s="1638" t="s">
        <v>308</v>
      </c>
      <c r="B62" s="1638"/>
      <c r="C62" s="1638"/>
      <c r="D62" s="1638"/>
      <c r="E62" s="2424"/>
      <c r="F62" s="1638"/>
      <c r="G62" s="1638"/>
      <c r="H62" s="1638"/>
      <c r="I62" s="1638"/>
      <c r="J62" s="1638"/>
      <c r="K62" s="1638"/>
      <c r="L62" s="1641"/>
      <c r="M62" s="1616"/>
      <c r="N62" s="1616"/>
      <c r="O62" s="755"/>
      <c r="P62" s="610"/>
      <c r="Q62" s="1639"/>
      <c r="R62" s="610"/>
      <c r="S62" s="1617"/>
      <c r="T62" s="1620" t="s">
        <v>1494</v>
      </c>
      <c r="U62" s="1619"/>
      <c r="V62" s="1619"/>
      <c r="W62" s="1619"/>
      <c r="X62" s="1619"/>
      <c r="Y62" s="1619"/>
      <c r="Z62" s="1619"/>
      <c r="AA62" s="1619"/>
      <c r="AB62" s="1619"/>
      <c r="AC62" s="1619"/>
      <c r="AD62" s="1619"/>
      <c r="AE62" s="1619"/>
      <c r="AF62" s="1619"/>
      <c r="AG62" s="1619"/>
      <c r="AH62" s="1619"/>
      <c r="AI62" s="1619"/>
      <c r="AJ62" s="1619"/>
      <c r="AK62" s="1619"/>
      <c r="AL62" s="1619"/>
      <c r="AM62" s="1619"/>
      <c r="AN62" s="1619"/>
      <c r="AO62" s="1619"/>
      <c r="AP62" s="1619"/>
      <c r="AQ62" s="1619"/>
      <c r="AR62" s="1619"/>
      <c r="AS62" s="1619"/>
      <c r="AT62" s="1619"/>
      <c r="AU62" s="1619"/>
      <c r="AV62" s="1619"/>
      <c r="AW62" s="1619"/>
      <c r="AX62" s="1619"/>
      <c r="AY62" s="1619"/>
      <c r="AZ62" s="1619"/>
      <c r="BA62" s="1619"/>
      <c r="BB62" s="1619"/>
      <c r="BC62" s="1619"/>
      <c r="BE62" s="737"/>
      <c r="BF62" s="737" t="str">
        <f>IF(T62="","",T62)</f>
        <v>Добавить территорию для дифференциации</v>
      </c>
      <c r="BG62" s="737"/>
      <c r="BH62" s="737"/>
    </row>
    <row s="10863" customFormat="1" customHeight="1" ht="0">
      <c r="A63" s="1609"/>
      <c r="B63" s="1609"/>
      <c r="C63" s="1609"/>
      <c r="D63" s="1609"/>
      <c r="E63" s="1638"/>
      <c r="F63" s="1609"/>
      <c r="G63" s="1609"/>
      <c r="H63" s="1609"/>
      <c r="I63" s="1609"/>
      <c r="J63" s="1609"/>
      <c r="K63" s="1609"/>
      <c r="L63" s="1761"/>
      <c r="M63" s="1616"/>
      <c r="N63" s="1616"/>
      <c r="P63" s="1611"/>
      <c r="Q63" s="1612"/>
      <c r="R63" s="1611"/>
      <c r="S63" s="1617"/>
      <c r="T63" s="1620" t="s">
        <v>1495</v>
      </c>
      <c r="U63" s="1619"/>
      <c r="V63" s="1619"/>
      <c r="W63" s="1619"/>
      <c r="X63" s="1619"/>
      <c r="Y63" s="1619"/>
      <c r="Z63" s="1619"/>
      <c r="AA63" s="1619"/>
      <c r="AB63" s="1619"/>
      <c r="AC63" s="1619"/>
      <c r="AD63" s="1619"/>
      <c r="AE63" s="1619"/>
      <c r="AF63" s="1619"/>
      <c r="AG63" s="1619"/>
      <c r="AH63" s="1619"/>
      <c r="AI63" s="1619"/>
      <c r="AJ63" s="1619"/>
      <c r="AK63" s="1619"/>
      <c r="AL63" s="1619"/>
      <c r="AM63" s="1619"/>
      <c r="AN63" s="1619"/>
      <c r="AO63" s="1619"/>
      <c r="AP63" s="1619"/>
      <c r="AQ63" s="1619"/>
      <c r="AR63" s="1619"/>
      <c r="AS63" s="1619"/>
      <c r="AT63" s="1619"/>
      <c r="AU63" s="1619"/>
      <c r="AV63" s="1619"/>
      <c r="AW63" s="1619"/>
      <c r="AX63" s="1619"/>
      <c r="AY63" s="1619"/>
      <c r="AZ63" s="1619"/>
      <c r="BA63" s="1619"/>
      <c r="BB63" s="1619"/>
      <c r="BC63" s="1619"/>
      <c r="BE63" s="1029"/>
      <c r="BF63" s="1029" t="str">
        <f>IF(T63="","",T63)</f>
        <v>Добавить наименование тарифа</v>
      </c>
      <c r="BG63" s="1029"/>
      <c r="BH63" s="1029"/>
    </row>
    <row customHeight="1" ht="11.25" hidden="1">
      <c r="M64" s="1421"/>
      <c r="N64" s="1421"/>
      <c r="O64" s="774"/>
      <c r="P64" s="1421"/>
      <c r="Q64" s="1421"/>
      <c r="R64" s="1416"/>
      <c r="S64" s="1416"/>
      <c r="BD64" s="1416"/>
      <c r="BE64" s="1416"/>
      <c r="BF64" s="1416"/>
      <c r="BG64" s="1416"/>
      <c r="BH64" s="1416"/>
    </row>
    <row customHeight="1" ht="18.75" hidden="1">
      <c r="O65" s="774"/>
      <c r="S65" s="1533" t="s">
        <v>1565</v>
      </c>
      <c r="T65" s="2452" t="s">
        <v>1767</v>
      </c>
      <c r="U65" s="2452"/>
      <c r="V65" s="2452"/>
      <c r="W65" s="2452"/>
      <c r="X65" s="2452"/>
      <c r="Y65" s="2452"/>
      <c r="Z65" s="2452"/>
      <c r="AA65" s="2452"/>
      <c r="AB65" s="2452"/>
      <c r="AC65" s="2452"/>
      <c r="AD65" s="2452"/>
      <c r="AE65" s="2452"/>
      <c r="AF65" s="2452"/>
      <c r="AG65" s="2452"/>
      <c r="AH65" s="2452"/>
      <c r="AI65" s="2452"/>
      <c r="AJ65" s="2452"/>
      <c r="AK65" s="2452"/>
      <c r="AL65" s="2452"/>
      <c r="AM65" s="2452"/>
      <c r="AN65" s="2452"/>
      <c r="AO65" s="2452"/>
      <c r="AP65" s="2452"/>
      <c r="AQ65" s="2452"/>
      <c r="AR65" s="2452"/>
      <c r="AS65" s="2452"/>
      <c r="AT65" s="2452"/>
      <c r="AU65" s="2452"/>
      <c r="AV65" s="2452"/>
      <c r="AW65" s="2452"/>
      <c r="AX65" s="2452"/>
      <c r="AY65" s="2452"/>
      <c r="AZ65" s="2452"/>
      <c r="BA65" s="2452"/>
      <c r="BB65" s="2452"/>
      <c r="BC65" s="2452"/>
    </row>
    <row customHeight="1" ht="14.25" hidden="1">
      <c r="O66" s="774"/>
      <c r="T66" s="1746"/>
      <c r="U66" s="1746"/>
      <c r="V66" s="1746"/>
      <c r="W66" s="1746"/>
      <c r="X66" s="1746"/>
      <c r="Y66" s="1746"/>
      <c r="Z66" s="1746"/>
      <c r="AA66" s="1746"/>
      <c r="AB66" s="1746"/>
      <c r="AC66" s="1746"/>
      <c r="AD66" s="1746"/>
      <c r="AE66" s="1746"/>
      <c r="AF66" s="1746"/>
      <c r="AG66" s="1746"/>
      <c r="AH66" s="1746"/>
      <c r="AI66" s="1746"/>
      <c r="AJ66" s="1746"/>
      <c r="AK66" s="1746"/>
      <c r="AL66" s="1746"/>
      <c r="AM66" s="1746"/>
      <c r="AN66" s="1746"/>
      <c r="AO66" s="1746"/>
      <c r="AP66" s="1746"/>
      <c r="AQ66" s="1746"/>
      <c r="AR66" s="1746"/>
      <c r="AS66" s="1746"/>
      <c r="AT66" s="1746"/>
      <c r="AU66" s="1746"/>
      <c r="AV66" s="1746"/>
      <c r="AW66" s="1746"/>
      <c r="AX66" s="1746"/>
      <c r="AY66" s="1746"/>
      <c r="AZ66" s="1746"/>
      <c r="BA66" s="1746"/>
      <c r="BB66" s="1746"/>
      <c r="BC66" s="1746"/>
    </row>
    <row customHeight="1" ht="18.75" hidden="1">
      <c r="O67" s="774"/>
      <c r="S67" s="1533" t="s">
        <v>1565</v>
      </c>
      <c r="T67" s="2452" t="s">
        <v>1731</v>
      </c>
      <c r="U67" s="2452"/>
      <c r="V67" s="2452"/>
      <c r="W67" s="2452"/>
      <c r="X67" s="2452"/>
      <c r="Y67" s="2452"/>
      <c r="Z67" s="2452"/>
      <c r="AA67" s="2452"/>
      <c r="AB67" s="2452"/>
      <c r="AC67" s="2452"/>
      <c r="AD67" s="2452"/>
      <c r="AE67" s="2452"/>
      <c r="AF67" s="2452"/>
      <c r="AG67" s="2452"/>
      <c r="AH67" s="2452"/>
      <c r="AI67" s="2452"/>
      <c r="AJ67" s="2452"/>
      <c r="AK67" s="2452"/>
      <c r="AL67" s="2452"/>
      <c r="AM67" s="2452"/>
      <c r="AN67" s="2452"/>
      <c r="AO67" s="2452"/>
      <c r="AP67" s="2452"/>
      <c r="AQ67" s="2452"/>
      <c r="AR67" s="2452"/>
      <c r="AS67" s="2452"/>
      <c r="AT67" s="2452"/>
      <c r="AU67" s="2452"/>
      <c r="AV67" s="2452"/>
      <c r="AW67" s="2452"/>
      <c r="AX67" s="2452"/>
      <c r="AY67" s="2452"/>
      <c r="AZ67" s="2452"/>
      <c r="BA67" s="2452"/>
      <c r="BB67" s="2452"/>
      <c r="BC67" s="2452"/>
    </row>
    <row customHeight="1" ht="14.25">
      <c r="O68" s="774"/>
    </row>
  </sheetData>
  <sheetProtection formatColumns="0" formatRows="0" autoFilter="0" sort="0" insertRows="0" insertColumns="1" deleteRows="0" deleteColumns="0"/>
  <mergeCells count="122">
    <mergeCell ref="T67:BC67"/>
    <mergeCell ref="AK52:AK54"/>
    <mergeCell ref="AL52:AL54"/>
    <mergeCell ref="AE52:AE55"/>
    <mergeCell ref="AF52:AF55"/>
    <mergeCell ref="AG52:AG55"/>
    <mergeCell ref="AH52:AH55"/>
    <mergeCell ref="AI52:AI54"/>
    <mergeCell ref="AJ52:AJ54"/>
    <mergeCell ref="BC52:BC57"/>
    <mergeCell ref="T52:T56"/>
    <mergeCell ref="T65:BC65"/>
    <mergeCell ref="E46:E62"/>
    <mergeCell ref="V46:AC46"/>
    <mergeCell ref="AD46:BB46"/>
    <mergeCell ref="F47:F61"/>
    <mergeCell ref="V47:AC47"/>
    <mergeCell ref="AM52:AM53"/>
    <mergeCell ref="AN52:AN53"/>
    <mergeCell ref="AO52:AO53"/>
    <mergeCell ref="AP52:AP53"/>
    <mergeCell ref="AD52:AD56"/>
    <mergeCell ref="G48:G60"/>
    <mergeCell ref="V48:AC48"/>
    <mergeCell ref="AD48:BB48"/>
    <mergeCell ref="H49:H59"/>
    <mergeCell ref="V49:AC49"/>
    <mergeCell ref="AD49:BB49"/>
    <mergeCell ref="AD47:BB47"/>
    <mergeCell ref="I50:I58"/>
    <mergeCell ref="P50:P58"/>
    <mergeCell ref="V50:AC50"/>
    <mergeCell ref="J51:J57"/>
    <mergeCell ref="Q51:Q57"/>
    <mergeCell ref="V51:AC51"/>
    <mergeCell ref="AD51:BB51"/>
    <mergeCell ref="BC40:BC44"/>
    <mergeCell ref="S41:S44"/>
    <mergeCell ref="T41:T44"/>
    <mergeCell ref="AC41:AC44"/>
    <mergeCell ref="AD41:AG44"/>
    <mergeCell ref="AH41:AK44"/>
    <mergeCell ref="X42:Y43"/>
    <mergeCell ref="V41:AB41"/>
    <mergeCell ref="AP41:AS44"/>
    <mergeCell ref="AT41:AZ41"/>
    <mergeCell ref="AT42:AU43"/>
    <mergeCell ref="AV42:AW43"/>
    <mergeCell ref="AX42:AZ43"/>
    <mergeCell ref="AA44:AB44"/>
    <mergeCell ref="AY44:AZ44"/>
    <mergeCell ref="AL41:AO44"/>
    <mergeCell ref="BA41:BA44"/>
    <mergeCell ref="BB41:BB44"/>
    <mergeCell ref="V42:W43"/>
    <mergeCell ref="Z42:AB43"/>
    <mergeCell ref="K52:K56"/>
    <mergeCell ref="S52:S56"/>
    <mergeCell ref="S32:T32"/>
    <mergeCell ref="V32:AB32"/>
    <mergeCell ref="AD32:AZ32"/>
    <mergeCell ref="S36:T36"/>
    <mergeCell ref="V36:AB36"/>
    <mergeCell ref="AD36:AZ36"/>
    <mergeCell ref="S37:T37"/>
    <mergeCell ref="V37:AB37"/>
    <mergeCell ref="AD37:AZ37"/>
    <mergeCell ref="S33:T33"/>
    <mergeCell ref="V33:AB33"/>
    <mergeCell ref="AD33:AZ33"/>
    <mergeCell ref="S34:T34"/>
    <mergeCell ref="V34:AB34"/>
    <mergeCell ref="AD34:AZ34"/>
    <mergeCell ref="V39:AC39"/>
    <mergeCell ref="AD39:BA39"/>
    <mergeCell ref="S40:BB40"/>
    <mergeCell ref="AA45:AB45"/>
    <mergeCell ref="AY45:AZ45"/>
    <mergeCell ref="AD50:BB50"/>
    <mergeCell ref="S29:AZ29"/>
    <mergeCell ref="BC8:BC13"/>
    <mergeCell ref="AK8:AK10"/>
    <mergeCell ref="AL8:AL10"/>
    <mergeCell ref="AE8:AE11"/>
    <mergeCell ref="AF8:AF11"/>
    <mergeCell ref="AG8:AG11"/>
    <mergeCell ref="S31:T31"/>
    <mergeCell ref="V31:AB31"/>
    <mergeCell ref="AD31:AZ31"/>
    <mergeCell ref="AD7:BB7"/>
    <mergeCell ref="K8:K12"/>
    <mergeCell ref="R8:R12"/>
    <mergeCell ref="S8:S12"/>
    <mergeCell ref="T8:T12"/>
    <mergeCell ref="AH8:AH11"/>
    <mergeCell ref="AI8:AI10"/>
    <mergeCell ref="AJ8:AJ10"/>
    <mergeCell ref="S28:AZ28"/>
    <mergeCell ref="E2:E18"/>
    <mergeCell ref="V2:AC2"/>
    <mergeCell ref="AD2:BB2"/>
    <mergeCell ref="F3:F17"/>
    <mergeCell ref="V3:AC3"/>
    <mergeCell ref="AD3:BB3"/>
    <mergeCell ref="G4:G16"/>
    <mergeCell ref="V4:AC4"/>
    <mergeCell ref="AD4:BB4"/>
    <mergeCell ref="H5:H15"/>
    <mergeCell ref="AM8:AM9"/>
    <mergeCell ref="AN8:AN9"/>
    <mergeCell ref="AO8:AO9"/>
    <mergeCell ref="AP8:AP9"/>
    <mergeCell ref="AD8:AD12"/>
    <mergeCell ref="V5:AC5"/>
    <mergeCell ref="AD5:BB5"/>
    <mergeCell ref="I6:I14"/>
    <mergeCell ref="P6:P14"/>
    <mergeCell ref="V6:AC6"/>
    <mergeCell ref="AD6:BB6"/>
    <mergeCell ref="J7:J13"/>
    <mergeCell ref="Q7:Q13"/>
    <mergeCell ref="V7:AC7"/>
  </mergeCells>
  <dataValidations count="9">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71D0324-47FC-1813-EE0C-22C8E5525B99}" mc:Ignorable="x14ac xr xr2 xr3">
  <sheetPr>
    <tabColor theme="9" tint="-0.25"/>
  </sheetPr>
  <dimension ref="A1:BF302"/>
  <sheetViews>
    <sheetView topLeftCell="D20" showGridLines="0" zoomScale="90" workbookViewId="0">
      <selection activeCell="AJ1" sqref="AJ1:AJ302"/>
    </sheetView>
  </sheetViews>
  <sheetFormatPr defaultColWidth="9.140625" customHeight="1" defaultRowHeight="11.25"/>
  <cols>
    <col min="1" max="1" style="10825" width="10.7109375" hidden="1" customWidth="1"/>
    <col min="2" max="2" style="11074" width="16.8515625" hidden="1" customWidth="1"/>
    <col min="3" max="3" style="10863" width="5.57421875" hidden="1" customWidth="1"/>
    <col min="4" max="4" style="11126" width="3.7109375" customWidth="1"/>
    <col min="5" max="5" style="11126" width="7.7109375" customWidth="1"/>
    <col min="6" max="6" style="11126" width="54.57421875" customWidth="1"/>
    <col min="7" max="7" style="11126" width="10.421875" customWidth="1"/>
    <col min="8" max="8" style="11126" width="40.7109375" hidden="1" customWidth="1"/>
    <col min="9" max="36" style="11126" width="40.7109375" customWidth="1"/>
    <col min="37" max="37" style="11126" width="40.7109375" hidden="1" customWidth="1"/>
    <col min="38" max="38" style="11074" width="9.7109375" customWidth="1"/>
    <col min="39" max="39" style="10863" width="5.28125" customWidth="1"/>
    <col min="40" max="40" style="10863" width="3.7109375" customWidth="1"/>
    <col min="41" max="44" style="11074" width="3.7109375" customWidth="1"/>
    <col min="45" max="45" style="10863" width="10.57421875" customWidth="1"/>
    <col min="46" max="46" style="11074" width="34.7109375" customWidth="1"/>
    <col min="47" max="47" style="11074" width="9.421875" customWidth="1"/>
    <col min="48" max="48" style="10827" width="9.140625"/>
    <col min="49" max="53" style="11074" width="9.140625"/>
    <col min="54" max="58" style="11248" width="9.140625"/>
  </cols>
  <sheetData>
    <row customHeight="1" ht="11.25" hidden="1">
      <c r="J1" s="6985"/>
      <c r="K1" s="6985"/>
      <c r="L1" s="6985"/>
      <c r="M1" s="6985"/>
      <c r="N1" s="6985"/>
      <c r="O1" s="6985"/>
      <c r="P1" s="6985"/>
      <c r="Q1" s="6985"/>
      <c r="R1" s="6985"/>
      <c r="S1" s="6985"/>
      <c r="T1" s="6985"/>
      <c r="U1" s="6985"/>
      <c r="V1" s="6985"/>
      <c r="W1" s="6985"/>
      <c r="X1" s="6985"/>
      <c r="Y1" s="6985"/>
      <c r="Z1" s="6985"/>
      <c r="AA1" s="6985"/>
      <c r="AB1" s="6985"/>
      <c r="AC1" s="6985"/>
      <c r="AD1" s="6985"/>
      <c r="AE1" s="6985"/>
      <c r="AF1" s="6985"/>
      <c r="AG1" s="6985"/>
      <c r="AH1" s="6985"/>
      <c r="AI1" s="6985"/>
      <c r="AJ1" s="6985"/>
      <c r="AK1" s="6985"/>
    </row>
    <row customHeight="1" ht="23.25" hidden="1">
      <c r="B2" s="2525"/>
      <c r="C2" s="1428" t="s">
        <v>1768</v>
      </c>
      <c r="D2" s="1951"/>
      <c r="E2" s="783">
        <f>B2</f>
        <v>0</v>
      </c>
      <c r="F2" s="784"/>
      <c r="G2" s="1959" t="s">
        <v>1488</v>
      </c>
      <c r="H2" s="1959" t="s">
        <v>1488</v>
      </c>
      <c r="I2" s="1959" t="s">
        <v>1488</v>
      </c>
      <c r="J2" s="7017" t="s">
        <v>1488</v>
      </c>
      <c r="K2" s="7017" t="s">
        <v>1488</v>
      </c>
      <c r="L2" s="7017" t="s">
        <v>1488</v>
      </c>
      <c r="M2" s="7017" t="s">
        <v>1488</v>
      </c>
      <c r="N2" s="7017" t="s">
        <v>1488</v>
      </c>
      <c r="O2" s="7017" t="s">
        <v>1488</v>
      </c>
      <c r="P2" s="7017" t="s">
        <v>1488</v>
      </c>
      <c r="Q2" s="7017" t="s">
        <v>1488</v>
      </c>
      <c r="R2" s="7017" t="s">
        <v>1488</v>
      </c>
      <c r="S2" s="7017" t="s">
        <v>1488</v>
      </c>
      <c r="T2" s="7017" t="s">
        <v>1488</v>
      </c>
      <c r="U2" s="7017" t="s">
        <v>1488</v>
      </c>
      <c r="V2" s="7017" t="s">
        <v>1488</v>
      </c>
      <c r="W2" s="7017" t="s">
        <v>1488</v>
      </c>
      <c r="X2" s="7017" t="s">
        <v>1488</v>
      </c>
      <c r="Y2" s="7017" t="s">
        <v>1488</v>
      </c>
      <c r="Z2" s="7017" t="s">
        <v>1488</v>
      </c>
      <c r="AA2" s="7017" t="s">
        <v>1488</v>
      </c>
      <c r="AB2" s="7017" t="s">
        <v>1488</v>
      </c>
      <c r="AC2" s="7017" t="s">
        <v>1488</v>
      </c>
      <c r="AD2" s="7017" t="s">
        <v>1488</v>
      </c>
      <c r="AE2" s="7017" t="s">
        <v>1488</v>
      </c>
      <c r="AF2" s="7017" t="s">
        <v>1488</v>
      </c>
      <c r="AG2" s="7017" t="s">
        <v>1488</v>
      </c>
      <c r="AH2" s="7017" t="s">
        <v>1488</v>
      </c>
      <c r="AI2" s="7017" t="s">
        <v>1488</v>
      </c>
      <c r="AJ2" s="7017" t="s">
        <v>1488</v>
      </c>
      <c r="AK2" s="7017" t="s">
        <v>1488</v>
      </c>
      <c r="AL2" s="780"/>
    </row>
    <row s="10863" customFormat="1" customHeight="1" ht="0.75" hidden="1">
      <c r="B3" s="2525"/>
      <c r="C3" s="1428"/>
      <c r="D3" s="785"/>
      <c r="E3" s="786"/>
      <c r="F3" s="787" t="s">
        <v>1769</v>
      </c>
      <c r="G3" s="788"/>
      <c r="H3" s="788">
        <f>H4*H5+H7</f>
        <v>0</v>
      </c>
      <c r="I3" s="788">
        <f>I4*I5+I6</f>
        <v>0</v>
      </c>
      <c r="J3" s="7437">
        <f>J4*J5+J7</f>
        <v>0</v>
      </c>
      <c r="K3" s="7437">
        <f>K4*K5+K7</f>
        <v>0</v>
      </c>
      <c r="L3" s="7437">
        <f>L4*L5+L7</f>
        <v>0</v>
      </c>
      <c r="M3" s="7437">
        <f>M4*M5+M7</f>
        <v>0</v>
      </c>
      <c r="N3" s="7437">
        <f>N4*N5+N7</f>
        <v>0</v>
      </c>
      <c r="O3" s="7437">
        <f>O4*O5+O7</f>
        <v>0</v>
      </c>
      <c r="P3" s="7437">
        <f>P4*P5+P7</f>
        <v>0</v>
      </c>
      <c r="Q3" s="7437">
        <f>Q4*Q5+Q7</f>
        <v>0</v>
      </c>
      <c r="R3" s="7437">
        <f>R4*R5+R7</f>
        <v>0</v>
      </c>
      <c r="S3" s="7437">
        <f>S4*S5+S7</f>
        <v>0</v>
      </c>
      <c r="T3" s="7437">
        <f>T4*T5+T7</f>
        <v>0</v>
      </c>
      <c r="U3" s="7437">
        <f>U4*U5+U7</f>
        <v>0</v>
      </c>
      <c r="V3" s="7437">
        <f>V4*V5+V7</f>
        <v>0</v>
      </c>
      <c r="W3" s="7437">
        <f>W4*W5+W7</f>
        <v>0</v>
      </c>
      <c r="X3" s="7437">
        <f>X4*X5+X7</f>
        <v>0</v>
      </c>
      <c r="Y3" s="7437">
        <f>Y4*Y5+Y7</f>
        <v>0</v>
      </c>
      <c r="Z3" s="7437">
        <f>Z4*Z5+Z7</f>
        <v>0</v>
      </c>
      <c r="AA3" s="7437">
        <f>AA4*AA5+AA7</f>
        <v>0</v>
      </c>
      <c r="AB3" s="7437">
        <f>AB4*AB5+AB7</f>
        <v>0</v>
      </c>
      <c r="AC3" s="7437">
        <f>AC4*AC5+AC7</f>
        <v>0</v>
      </c>
      <c r="AD3" s="7437">
        <f>AD4*AD5+AD7</f>
        <v>0</v>
      </c>
      <c r="AE3" s="7437">
        <f>AE4*AE5+AE7</f>
        <v>0</v>
      </c>
      <c r="AF3" s="7437">
        <f>AF4*AF5+AF7</f>
        <v>0</v>
      </c>
      <c r="AG3" s="7437">
        <f>AG4*AG5+AG7</f>
        <v>0</v>
      </c>
      <c r="AH3" s="7437">
        <f>AH4*AH5+AH7</f>
        <v>0</v>
      </c>
      <c r="AI3" s="7437">
        <f>AI4*AI5+AI7</f>
        <v>0</v>
      </c>
      <c r="AJ3" s="7437">
        <f>AJ4*AJ5+AJ7</f>
        <v>0</v>
      </c>
      <c r="AK3" s="7437">
        <f>AK4*AK5+AK7</f>
        <v>0</v>
      </c>
    </row>
    <row customHeight="1" ht="23.25" hidden="1">
      <c r="B4" s="2525"/>
      <c r="C4" s="1428"/>
      <c r="D4" s="1951"/>
      <c r="E4" s="783" t="str">
        <f>B2&amp;".1"</f>
        <v>.1</v>
      </c>
      <c r="F4" s="790" t="s">
        <v>1770</v>
      </c>
      <c r="G4" s="791"/>
      <c r="H4" s="778"/>
      <c r="I4" s="778"/>
      <c r="J4" s="7441"/>
      <c r="K4" s="7441"/>
      <c r="L4" s="7441"/>
      <c r="M4" s="7441"/>
      <c r="N4" s="7441"/>
      <c r="O4" s="7441"/>
      <c r="P4" s="7441"/>
      <c r="Q4" s="7441"/>
      <c r="R4" s="7441"/>
      <c r="S4" s="7441"/>
      <c r="T4" s="7441"/>
      <c r="U4" s="7441"/>
      <c r="V4" s="7441"/>
      <c r="W4" s="7441"/>
      <c r="X4" s="7441"/>
      <c r="Y4" s="7441"/>
      <c r="Z4" s="7441"/>
      <c r="AA4" s="7441"/>
      <c r="AB4" s="7441"/>
      <c r="AC4" s="7441"/>
      <c r="AD4" s="7441"/>
      <c r="AE4" s="7441"/>
      <c r="AF4" s="7441"/>
      <c r="AG4" s="7441"/>
      <c r="AH4" s="7441"/>
      <c r="AI4" s="7441"/>
      <c r="AJ4" s="7441"/>
      <c r="AK4" s="7441"/>
      <c r="AL4" s="780"/>
    </row>
    <row customHeight="1" ht="18.75" hidden="1">
      <c r="B5" s="2525"/>
      <c r="C5" s="1428"/>
      <c r="D5" s="1951"/>
      <c r="E5" s="783" t="str">
        <f>B2&amp;".2"</f>
        <v>.2</v>
      </c>
      <c r="F5" s="790" t="s">
        <v>1771</v>
      </c>
      <c r="G5" s="1959" t="s">
        <v>1772</v>
      </c>
      <c r="H5" s="778"/>
      <c r="I5" s="778"/>
      <c r="J5" s="7441"/>
      <c r="K5" s="7441"/>
      <c r="L5" s="7441"/>
      <c r="M5" s="7441"/>
      <c r="N5" s="7441"/>
      <c r="O5" s="7441"/>
      <c r="P5" s="7441"/>
      <c r="Q5" s="7441"/>
      <c r="R5" s="7441"/>
      <c r="S5" s="7441"/>
      <c r="T5" s="7441"/>
      <c r="U5" s="7441"/>
      <c r="V5" s="7441"/>
      <c r="W5" s="7441"/>
      <c r="X5" s="7441"/>
      <c r="Y5" s="7441"/>
      <c r="Z5" s="7441"/>
      <c r="AA5" s="7441"/>
      <c r="AB5" s="7441"/>
      <c r="AC5" s="7441"/>
      <c r="AD5" s="7441"/>
      <c r="AE5" s="7441"/>
      <c r="AF5" s="7441"/>
      <c r="AG5" s="7441"/>
      <c r="AH5" s="7441"/>
      <c r="AI5" s="7441"/>
      <c r="AJ5" s="7441"/>
      <c r="AK5" s="7441"/>
      <c r="AL5" s="780"/>
    </row>
    <row customHeight="1" ht="18.75" hidden="1">
      <c r="B6" s="2525"/>
      <c r="C6" s="1428"/>
      <c r="D6" s="1951"/>
      <c r="E6" s="783" t="str">
        <f>B2&amp;".3"</f>
        <v>.3</v>
      </c>
      <c r="F6" s="790" t="s">
        <v>1773</v>
      </c>
      <c r="G6" s="1959" t="s">
        <v>1772</v>
      </c>
      <c r="H6" s="778"/>
      <c r="I6" s="778"/>
      <c r="J6" s="7441"/>
      <c r="K6" s="7441"/>
      <c r="L6" s="7441"/>
      <c r="M6" s="7441"/>
      <c r="N6" s="7441"/>
      <c r="O6" s="7441"/>
      <c r="P6" s="7441"/>
      <c r="Q6" s="7441"/>
      <c r="R6" s="7441"/>
      <c r="S6" s="7441"/>
      <c r="T6" s="7441"/>
      <c r="U6" s="7441"/>
      <c r="V6" s="7441"/>
      <c r="W6" s="7441"/>
      <c r="X6" s="7441"/>
      <c r="Y6" s="7441"/>
      <c r="Z6" s="7441"/>
      <c r="AA6" s="7441"/>
      <c r="AB6" s="7441"/>
      <c r="AC6" s="7441"/>
      <c r="AD6" s="7441"/>
      <c r="AE6" s="7441"/>
      <c r="AF6" s="7441"/>
      <c r="AG6" s="7441"/>
      <c r="AH6" s="7441"/>
      <c r="AI6" s="7441"/>
      <c r="AJ6" s="7441"/>
      <c r="AK6" s="7441"/>
      <c r="AL6" s="780"/>
    </row>
    <row customHeight="1" ht="18.75" hidden="1">
      <c r="B7" s="2525"/>
      <c r="C7" s="1428"/>
      <c r="D7" s="1951"/>
      <c r="E7" s="783" t="str">
        <f>B2&amp;".4"</f>
        <v>.4</v>
      </c>
      <c r="F7" s="790" t="s">
        <v>1774</v>
      </c>
      <c r="G7" s="1959" t="s">
        <v>1488</v>
      </c>
      <c r="H7" s="792"/>
      <c r="I7" s="792"/>
      <c r="J7" s="7443"/>
      <c r="K7" s="7443"/>
      <c r="L7" s="7443"/>
      <c r="M7" s="7443"/>
      <c r="N7" s="7443"/>
      <c r="O7" s="7443"/>
      <c r="P7" s="7443"/>
      <c r="Q7" s="7443"/>
      <c r="R7" s="7443"/>
      <c r="S7" s="7443"/>
      <c r="T7" s="7443"/>
      <c r="U7" s="7443"/>
      <c r="V7" s="7443"/>
      <c r="W7" s="7443"/>
      <c r="X7" s="7443"/>
      <c r="Y7" s="7443"/>
      <c r="Z7" s="7443"/>
      <c r="AA7" s="7443"/>
      <c r="AB7" s="7443"/>
      <c r="AC7" s="7443"/>
      <c r="AD7" s="7443"/>
      <c r="AE7" s="7443"/>
      <c r="AF7" s="7443"/>
      <c r="AG7" s="7443"/>
      <c r="AH7" s="7443"/>
      <c r="AI7" s="7443"/>
      <c r="AJ7" s="7443"/>
      <c r="AK7" s="7443"/>
      <c r="AL7" s="780"/>
    </row>
    <row s="11074" customFormat="1" customHeight="1" ht="11.25" hidden="1">
      <c r="A8" s="1243"/>
      <c r="C8" s="1949"/>
      <c r="D8" s="774"/>
      <c r="H8" s="1421">
        <v>4</v>
      </c>
      <c r="I8" s="1421">
        <v>4</v>
      </c>
      <c r="J8" s="6978">
        <v>4</v>
      </c>
      <c r="K8" s="6978">
        <v>4</v>
      </c>
      <c r="L8" s="6978">
        <v>4</v>
      </c>
      <c r="M8" s="6978">
        <v>4</v>
      </c>
      <c r="N8" s="6978">
        <v>4</v>
      </c>
      <c r="O8" s="6978">
        <v>4</v>
      </c>
      <c r="P8" s="6978">
        <v>4</v>
      </c>
      <c r="Q8" s="6978">
        <v>4</v>
      </c>
      <c r="R8" s="6978">
        <v>4</v>
      </c>
      <c r="S8" s="6978">
        <v>4</v>
      </c>
      <c r="T8" s="6978">
        <v>4</v>
      </c>
      <c r="U8" s="6978">
        <v>4</v>
      </c>
      <c r="V8" s="6978">
        <v>4</v>
      </c>
      <c r="W8" s="6978">
        <v>4</v>
      </c>
      <c r="X8" s="6978">
        <v>4</v>
      </c>
      <c r="Y8" s="6978">
        <v>4</v>
      </c>
      <c r="Z8" s="6978">
        <v>4</v>
      </c>
      <c r="AA8" s="6978">
        <v>4</v>
      </c>
      <c r="AB8" s="6978">
        <v>4</v>
      </c>
      <c r="AC8" s="6978">
        <v>4</v>
      </c>
      <c r="AD8" s="6978">
        <v>4</v>
      </c>
      <c r="AE8" s="6978">
        <v>4</v>
      </c>
      <c r="AF8" s="6978">
        <v>4</v>
      </c>
      <c r="AG8" s="6978">
        <v>4</v>
      </c>
      <c r="AH8" s="6978">
        <v>4</v>
      </c>
      <c r="AI8" s="6978">
        <v>4</v>
      </c>
      <c r="AJ8" s="6978">
        <v>4</v>
      </c>
      <c r="AK8" s="6978">
        <v>4</v>
      </c>
      <c r="AM8" s="1949"/>
      <c r="AN8" s="1949"/>
      <c r="AS8" s="1949"/>
    </row>
    <row s="11074" customFormat="1" customHeight="1" ht="22.5" hidden="1">
      <c r="A9" s="1243"/>
      <c r="C9" s="1949"/>
      <c r="D9" s="775"/>
      <c r="E9" s="1961"/>
      <c r="F9" s="777"/>
      <c r="G9" s="1959" t="s">
        <v>1772</v>
      </c>
      <c r="H9" s="778"/>
      <c r="I9" s="778"/>
      <c r="J9" s="7441"/>
      <c r="K9" s="7441"/>
      <c r="L9" s="7441"/>
      <c r="M9" s="7441"/>
      <c r="N9" s="7441"/>
      <c r="O9" s="7441"/>
      <c r="P9" s="7441"/>
      <c r="Q9" s="7441"/>
      <c r="R9" s="7441"/>
      <c r="S9" s="7441"/>
      <c r="T9" s="7441"/>
      <c r="U9" s="7441"/>
      <c r="V9" s="7441"/>
      <c r="W9" s="7441"/>
      <c r="X9" s="7441"/>
      <c r="Y9" s="7441"/>
      <c r="Z9" s="7441"/>
      <c r="AA9" s="7441"/>
      <c r="AB9" s="7441"/>
      <c r="AC9" s="7441"/>
      <c r="AD9" s="7441"/>
      <c r="AE9" s="7441"/>
      <c r="AF9" s="7441"/>
      <c r="AG9" s="7441"/>
      <c r="AH9" s="7441"/>
      <c r="AI9" s="7441"/>
      <c r="AJ9" s="7441"/>
      <c r="AK9" s="7441"/>
      <c r="AL9" s="780"/>
      <c r="AM9" s="1949"/>
      <c r="AN9" s="1949"/>
      <c r="AS9" s="1949"/>
      <c r="AV9" s="781"/>
      <c r="BB9" s="1945"/>
      <c r="BC9" s="1945"/>
      <c r="BD9" s="1945"/>
      <c r="BE9" s="1945"/>
      <c r="BF9" s="1945"/>
    </row>
    <row customHeight="1" ht="11.25" hidden="1">
      <c r="J10" s="6985"/>
      <c r="K10" s="6985"/>
      <c r="L10" s="6985"/>
      <c r="M10" s="6985"/>
      <c r="N10" s="6985"/>
      <c r="O10" s="6985"/>
      <c r="P10" s="6985"/>
      <c r="Q10" s="6985"/>
      <c r="R10" s="6985"/>
      <c r="S10" s="6985"/>
      <c r="T10" s="6985"/>
      <c r="U10" s="6985"/>
      <c r="V10" s="6985"/>
      <c r="W10" s="6985"/>
      <c r="X10" s="6985"/>
      <c r="Y10" s="6985"/>
      <c r="Z10" s="6985"/>
      <c r="AA10" s="6985"/>
      <c r="AB10" s="6985"/>
      <c r="AC10" s="6985"/>
      <c r="AD10" s="6985"/>
      <c r="AE10" s="6985"/>
      <c r="AF10" s="6985"/>
      <c r="AG10" s="6985"/>
      <c r="AH10" s="6985"/>
      <c r="AI10" s="6985"/>
      <c r="AJ10" s="6985"/>
      <c r="AK10" s="6985"/>
    </row>
    <row customHeight="1" ht="18.75" hidden="1">
      <c r="D11" s="1951"/>
      <c r="E11" s="783"/>
      <c r="F11" s="777"/>
      <c r="G11" s="1959" t="s">
        <v>861</v>
      </c>
      <c r="H11" s="778"/>
      <c r="I11" s="778"/>
      <c r="J11" s="7441"/>
      <c r="K11" s="7441"/>
      <c r="L11" s="7441"/>
      <c r="M11" s="7441"/>
      <c r="N11" s="7441"/>
      <c r="O11" s="7441"/>
      <c r="P11" s="7441"/>
      <c r="Q11" s="7441"/>
      <c r="R11" s="7441"/>
      <c r="S11" s="7441"/>
      <c r="T11" s="7441"/>
      <c r="U11" s="7441"/>
      <c r="V11" s="7441"/>
      <c r="W11" s="7441"/>
      <c r="X11" s="7441"/>
      <c r="Y11" s="7441"/>
      <c r="Z11" s="7441"/>
      <c r="AA11" s="7441"/>
      <c r="AB11" s="7441"/>
      <c r="AC11" s="7441"/>
      <c r="AD11" s="7441"/>
      <c r="AE11" s="7441"/>
      <c r="AF11" s="7441"/>
      <c r="AG11" s="7441"/>
      <c r="AH11" s="7441"/>
      <c r="AI11" s="7441"/>
      <c r="AJ11" s="7441"/>
      <c r="AK11" s="7441"/>
      <c r="AL11" s="780"/>
    </row>
    <row customHeight="1" ht="11.25" hidden="1">
      <c r="J12" s="6985"/>
      <c r="K12" s="6985"/>
      <c r="L12" s="6985"/>
      <c r="M12" s="6985"/>
      <c r="N12" s="6985"/>
      <c r="O12" s="6985"/>
      <c r="P12" s="6985"/>
      <c r="Q12" s="6985"/>
      <c r="R12" s="6985"/>
      <c r="S12" s="6985"/>
      <c r="T12" s="6985"/>
      <c r="U12" s="6985"/>
      <c r="V12" s="6985"/>
      <c r="W12" s="6985"/>
      <c r="X12" s="6985"/>
      <c r="Y12" s="6985"/>
      <c r="Z12" s="6985"/>
      <c r="AA12" s="6985"/>
      <c r="AB12" s="6985"/>
      <c r="AC12" s="6985"/>
      <c r="AD12" s="6985"/>
      <c r="AE12" s="6985"/>
      <c r="AF12" s="6985"/>
      <c r="AG12" s="6985"/>
      <c r="AH12" s="6985"/>
      <c r="AI12" s="6985"/>
      <c r="AJ12" s="6985"/>
      <c r="AK12" s="6985"/>
    </row>
    <row customHeight="1" ht="22.5" hidden="1">
      <c r="D13" s="1951"/>
      <c r="E13" s="783"/>
      <c r="F13" s="777"/>
      <c r="G13" s="1225" t="s">
        <v>1674</v>
      </c>
      <c r="H13" s="782"/>
      <c r="I13" s="782"/>
      <c r="J13" s="7450"/>
      <c r="K13" s="7450"/>
      <c r="L13" s="7450"/>
      <c r="M13" s="7450"/>
      <c r="N13" s="7450"/>
      <c r="O13" s="7450"/>
      <c r="P13" s="7450"/>
      <c r="Q13" s="7450"/>
      <c r="R13" s="7450"/>
      <c r="S13" s="7450"/>
      <c r="T13" s="7450"/>
      <c r="U13" s="7450"/>
      <c r="V13" s="7450"/>
      <c r="W13" s="7450"/>
      <c r="X13" s="7450"/>
      <c r="Y13" s="7450"/>
      <c r="Z13" s="7450"/>
      <c r="AA13" s="7450"/>
      <c r="AB13" s="7450"/>
      <c r="AC13" s="7450"/>
      <c r="AD13" s="7450"/>
      <c r="AE13" s="7450"/>
      <c r="AF13" s="7450"/>
      <c r="AG13" s="7450"/>
      <c r="AH13" s="7450"/>
      <c r="AI13" s="7450"/>
      <c r="AJ13" s="7450"/>
      <c r="AK13" s="7450"/>
      <c r="AL13" s="780"/>
    </row>
    <row customHeight="1" ht="11.25" hidden="1">
      <c r="J14" s="6985"/>
      <c r="K14" s="6985"/>
      <c r="L14" s="6985"/>
      <c r="M14" s="6985"/>
      <c r="N14" s="6985"/>
      <c r="O14" s="6985"/>
      <c r="P14" s="6985"/>
      <c r="Q14" s="6985"/>
      <c r="R14" s="6985"/>
      <c r="S14" s="6985"/>
      <c r="T14" s="6985"/>
      <c r="U14" s="6985"/>
      <c r="V14" s="6985"/>
      <c r="W14" s="6985"/>
      <c r="X14" s="6985"/>
      <c r="Y14" s="6985"/>
      <c r="Z14" s="6985"/>
      <c r="AA14" s="6985"/>
      <c r="AB14" s="6985"/>
      <c r="AC14" s="6985"/>
      <c r="AD14" s="6985"/>
      <c r="AE14" s="6985"/>
      <c r="AF14" s="6985"/>
      <c r="AG14" s="6985"/>
      <c r="AH14" s="6985"/>
      <c r="AI14" s="6985"/>
      <c r="AJ14" s="6985"/>
      <c r="AK14" s="6985"/>
    </row>
    <row customHeight="1" ht="22.5" hidden="1">
      <c r="D15" s="1951"/>
      <c r="E15" s="783"/>
      <c r="F15" s="777"/>
      <c r="G15" s="1959" t="s">
        <v>1775</v>
      </c>
      <c r="H15" s="782"/>
      <c r="I15" s="782"/>
      <c r="J15" s="7450"/>
      <c r="K15" s="7450"/>
      <c r="L15" s="7450"/>
      <c r="M15" s="7450"/>
      <c r="N15" s="7450"/>
      <c r="O15" s="7450"/>
      <c r="P15" s="7450"/>
      <c r="Q15" s="7450"/>
      <c r="R15" s="7450"/>
      <c r="S15" s="7450"/>
      <c r="T15" s="7450"/>
      <c r="U15" s="7450"/>
      <c r="V15" s="7450"/>
      <c r="W15" s="7450"/>
      <c r="X15" s="7450"/>
      <c r="Y15" s="7450"/>
      <c r="Z15" s="7450"/>
      <c r="AA15" s="7450"/>
      <c r="AB15" s="7450"/>
      <c r="AC15" s="7450"/>
      <c r="AD15" s="7450"/>
      <c r="AE15" s="7450"/>
      <c r="AF15" s="7450"/>
      <c r="AG15" s="7450"/>
      <c r="AH15" s="7450"/>
      <c r="AI15" s="7450"/>
      <c r="AJ15" s="7450"/>
      <c r="AK15" s="7450"/>
      <c r="AL15" s="780"/>
    </row>
    <row customHeight="1" ht="11.25" hidden="1">
      <c r="J16" s="6985"/>
      <c r="K16" s="6985"/>
      <c r="L16" s="6985"/>
      <c r="M16" s="6985"/>
      <c r="N16" s="6985"/>
      <c r="O16" s="6985"/>
      <c r="P16" s="6985"/>
      <c r="Q16" s="6985"/>
      <c r="R16" s="6985"/>
      <c r="S16" s="6985"/>
      <c r="T16" s="6985"/>
      <c r="U16" s="6985"/>
      <c r="V16" s="6985"/>
      <c r="W16" s="6985"/>
      <c r="X16" s="6985"/>
      <c r="Y16" s="6985"/>
      <c r="Z16" s="6985"/>
      <c r="AA16" s="6985"/>
      <c r="AB16" s="6985"/>
      <c r="AC16" s="6985"/>
      <c r="AD16" s="6985"/>
      <c r="AE16" s="6985"/>
      <c r="AF16" s="6985"/>
      <c r="AG16" s="6985"/>
      <c r="AH16" s="6985"/>
      <c r="AI16" s="6985"/>
      <c r="AJ16" s="6985"/>
      <c r="AK16" s="6985"/>
    </row>
    <row customHeight="1" ht="22.5" hidden="1">
      <c r="D17" s="1951"/>
      <c r="E17" s="783"/>
      <c r="F17" s="777"/>
      <c r="G17" s="1959" t="s">
        <v>1776</v>
      </c>
      <c r="H17" s="782"/>
      <c r="I17" s="782"/>
      <c r="J17" s="7450"/>
      <c r="K17" s="7450"/>
      <c r="L17" s="7450"/>
      <c r="M17" s="7450"/>
      <c r="N17" s="7450"/>
      <c r="O17" s="7450"/>
      <c r="P17" s="7450"/>
      <c r="Q17" s="7450"/>
      <c r="R17" s="7450"/>
      <c r="S17" s="7450"/>
      <c r="T17" s="7450"/>
      <c r="U17" s="7450"/>
      <c r="V17" s="7450"/>
      <c r="W17" s="7450"/>
      <c r="X17" s="7450"/>
      <c r="Y17" s="7450"/>
      <c r="Z17" s="7450"/>
      <c r="AA17" s="7450"/>
      <c r="AB17" s="7450"/>
      <c r="AC17" s="7450"/>
      <c r="AD17" s="7450"/>
      <c r="AE17" s="7450"/>
      <c r="AF17" s="7450"/>
      <c r="AG17" s="7450"/>
      <c r="AH17" s="7450"/>
      <c r="AI17" s="7450"/>
      <c r="AJ17" s="7450"/>
      <c r="AK17" s="7450"/>
      <c r="AL17" s="780"/>
    </row>
    <row customHeight="1" ht="11.25" hidden="1">
      <c r="J18" s="6985"/>
      <c r="K18" s="6985"/>
      <c r="L18" s="6985"/>
      <c r="M18" s="6985"/>
      <c r="N18" s="6985"/>
      <c r="O18" s="6985"/>
      <c r="P18" s="6985"/>
      <c r="Q18" s="6985"/>
      <c r="R18" s="6985"/>
      <c r="S18" s="6985"/>
      <c r="T18" s="6985"/>
      <c r="U18" s="6985"/>
      <c r="V18" s="6985"/>
      <c r="W18" s="6985"/>
      <c r="X18" s="6985"/>
      <c r="Y18" s="6985"/>
      <c r="Z18" s="6985"/>
      <c r="AA18" s="6985"/>
      <c r="AB18" s="6985"/>
      <c r="AC18" s="6985"/>
      <c r="AD18" s="6985"/>
      <c r="AE18" s="6985"/>
      <c r="AF18" s="6985"/>
      <c r="AG18" s="6985"/>
      <c r="AH18" s="6985"/>
      <c r="AI18" s="6985"/>
      <c r="AJ18" s="6985"/>
      <c r="AK18" s="6985"/>
    </row>
    <row s="11248" customFormat="1" customHeight="1" ht="11.25" hidden="1">
      <c r="A19" s="1243"/>
      <c r="B19" s="1421"/>
      <c r="C19" s="1949"/>
      <c r="D19" s="585"/>
      <c r="J19" s="7452"/>
      <c r="K19" s="7452"/>
      <c r="L19" s="7452"/>
      <c r="M19" s="7452"/>
      <c r="N19" s="7452"/>
      <c r="O19" s="7452"/>
      <c r="P19" s="7452"/>
      <c r="Q19" s="7452"/>
      <c r="R19" s="7452"/>
      <c r="S19" s="7452"/>
      <c r="T19" s="7452"/>
      <c r="U19" s="7452"/>
      <c r="V19" s="7452"/>
      <c r="W19" s="7452"/>
      <c r="X19" s="7452"/>
      <c r="Y19" s="7452"/>
      <c r="Z19" s="7452"/>
      <c r="AA19" s="7452"/>
      <c r="AB19" s="7452"/>
      <c r="AC19" s="7452"/>
      <c r="AD19" s="7452"/>
      <c r="AE19" s="7452"/>
      <c r="AF19" s="7452"/>
      <c r="AG19" s="7452"/>
      <c r="AH19" s="7452"/>
      <c r="AI19" s="7452"/>
      <c r="AJ19" s="7452"/>
      <c r="AK19" s="7452"/>
      <c r="AL19" s="1421"/>
      <c r="AM19" s="1949"/>
      <c r="AN19" s="1949"/>
      <c r="AO19" s="1421"/>
      <c r="AP19" s="1421"/>
      <c r="AQ19" s="1421"/>
      <c r="AR19" s="1421"/>
      <c r="AS19" s="1949"/>
      <c r="AT19" s="1421"/>
      <c r="AU19" s="1421"/>
      <c r="AV19" s="781"/>
      <c r="AW19" s="1421"/>
      <c r="AX19" s="1421"/>
      <c r="AY19" s="1421"/>
      <c r="AZ19" s="1421"/>
      <c r="BA19" s="1421"/>
    </row>
    <row customHeight="1" ht="11.25">
      <c r="J20" s="6985"/>
      <c r="K20" s="6985"/>
      <c r="L20" s="6985"/>
      <c r="M20" s="6985"/>
      <c r="N20" s="6985"/>
      <c r="O20" s="6985"/>
      <c r="P20" s="6985"/>
      <c r="Q20" s="6985"/>
      <c r="R20" s="6985"/>
      <c r="S20" s="6985"/>
      <c r="T20" s="6985"/>
      <c r="U20" s="6985"/>
      <c r="V20" s="6985"/>
      <c r="W20" s="6985"/>
      <c r="X20" s="6985"/>
      <c r="Y20" s="6985"/>
      <c r="Z20" s="6985"/>
      <c r="AA20" s="6985"/>
      <c r="AB20" s="6985"/>
      <c r="AC20" s="6985"/>
      <c r="AD20" s="6985"/>
      <c r="AE20" s="6985"/>
      <c r="AF20" s="6985"/>
      <c r="AG20" s="6985"/>
      <c r="AH20" s="6985"/>
      <c r="AI20" s="6985"/>
      <c r="AJ20" s="6985"/>
      <c r="AK20" s="6985"/>
    </row>
    <row customHeight="1" ht="24">
      <c r="E21" s="2401" t="str">
        <f>FHD_NAME_FORM</f>
        <v>Форма 8. Информация о товарах (об услугах), поставляемых (оказываемых) единой теплоснабжающей организацией в ценовых зонах теплоснабжения по регулируемым ценам (тарифам) в сфере теплоснабжения, информация о товарах (об услугах), поставляемых (оказываемых) теплоснабжающей организацией в ценовых зонах теплоснабжения и теплосетевой организацией в ценовых зонах теплоснабжения по регулируемым ценам (тарифам) в сфере теплоснабжения</v>
      </c>
      <c r="F21" s="2402"/>
      <c r="G21" s="2402"/>
      <c r="H21" s="2402"/>
      <c r="I21" s="2403"/>
      <c r="J21" s="7453"/>
      <c r="K21" s="7453"/>
      <c r="L21" s="7453"/>
      <c r="M21" s="7453"/>
      <c r="N21" s="7453"/>
      <c r="O21" s="7453"/>
      <c r="P21" s="7453"/>
      <c r="Q21" s="7453"/>
      <c r="R21" s="7453"/>
      <c r="S21" s="7453"/>
      <c r="T21" s="7453"/>
      <c r="U21" s="7453"/>
      <c r="V21" s="7453"/>
      <c r="W21" s="7453"/>
      <c r="X21" s="7453"/>
      <c r="Y21" s="7453"/>
      <c r="Z21" s="7453"/>
      <c r="AA21" s="7453"/>
      <c r="AB21" s="7453"/>
      <c r="AC21" s="7453"/>
      <c r="AD21" s="7453"/>
      <c r="AE21" s="7453"/>
      <c r="AF21" s="7453"/>
      <c r="AG21" s="7453"/>
      <c r="AH21" s="7453"/>
      <c r="AI21" s="7453"/>
      <c r="AJ21" s="7453"/>
      <c r="AK21" s="7453"/>
    </row>
    <row customHeight="1" ht="24">
      <c r="E22" s="2404" t="str">
        <f>IF(org=0,"Не определено",org)</f>
        <v>ООО "СамРЭК-Тепло Жигулевск"</v>
      </c>
      <c r="F22" s="2405"/>
      <c r="G22" s="2405"/>
      <c r="H22" s="2405"/>
      <c r="I22" s="2406"/>
      <c r="J22" s="7454"/>
      <c r="K22" s="7454"/>
      <c r="L22" s="7454"/>
      <c r="M22" s="7454"/>
      <c r="N22" s="7454"/>
      <c r="O22" s="7454"/>
      <c r="P22" s="7454"/>
      <c r="Q22" s="7454"/>
      <c r="R22" s="7454"/>
      <c r="S22" s="7454"/>
      <c r="T22" s="7454"/>
      <c r="U22" s="7454"/>
      <c r="V22" s="7454"/>
      <c r="W22" s="7454"/>
      <c r="X22" s="7454"/>
      <c r="Y22" s="7454"/>
      <c r="Z22" s="7454"/>
      <c r="AA22" s="7454"/>
      <c r="AB22" s="7454"/>
      <c r="AC22" s="7454"/>
      <c r="AD22" s="7454"/>
      <c r="AE22" s="7454"/>
      <c r="AF22" s="7454"/>
      <c r="AG22" s="7454"/>
      <c r="AH22" s="7454"/>
      <c r="AI22" s="7454"/>
      <c r="AJ22" s="7454"/>
      <c r="AK22" s="7454"/>
    </row>
    <row customHeight="1" ht="11.25">
      <c r="E23" s="1396"/>
      <c r="F23" s="1396"/>
      <c r="G23" s="1396"/>
      <c r="H23" s="1396"/>
      <c r="I23" s="1396"/>
      <c r="J23" s="7456"/>
      <c r="K23" s="7456"/>
      <c r="L23" s="7456"/>
      <c r="M23" s="7456"/>
      <c r="N23" s="7456"/>
      <c r="O23" s="7456"/>
      <c r="P23" s="7456"/>
      <c r="Q23" s="7456"/>
      <c r="R23" s="7456"/>
      <c r="S23" s="7456"/>
      <c r="T23" s="7456"/>
      <c r="U23" s="7456"/>
      <c r="V23" s="7456"/>
      <c r="W23" s="7456"/>
      <c r="X23" s="7456"/>
      <c r="Y23" s="7456"/>
      <c r="Z23" s="7456"/>
      <c r="AA23" s="7456"/>
      <c r="AB23" s="7456"/>
      <c r="AC23" s="7456"/>
      <c r="AD23" s="7456"/>
      <c r="AE23" s="7456"/>
      <c r="AF23" s="7456"/>
      <c r="AG23" s="7456"/>
      <c r="AH23" s="7456"/>
      <c r="AI23" s="7456"/>
      <c r="AJ23" s="7456"/>
      <c r="AK23" s="7456"/>
    </row>
    <row s="10863" customFormat="1" customHeight="1" ht="0.75">
      <c r="A24" s="1428"/>
      <c r="D24" s="1955"/>
      <c r="H24" s="1138"/>
      <c r="I24" s="1138" t="s">
        <v>118</v>
      </c>
      <c r="J24" s="7459" t="s">
        <v>123</v>
      </c>
      <c r="K24" s="7459" t="s">
        <v>125</v>
      </c>
      <c r="L24" s="7459" t="s">
        <v>127</v>
      </c>
      <c r="M24" s="7459" t="s">
        <v>129</v>
      </c>
      <c r="N24" s="7459" t="s">
        <v>131</v>
      </c>
      <c r="O24" s="7459" t="s">
        <v>133</v>
      </c>
      <c r="P24" s="7459" t="s">
        <v>135</v>
      </c>
      <c r="Q24" s="7459" t="s">
        <v>138</v>
      </c>
      <c r="R24" s="7459" t="s">
        <v>141</v>
      </c>
      <c r="S24" s="7459" t="s">
        <v>144</v>
      </c>
      <c r="T24" s="7459" t="s">
        <v>147</v>
      </c>
      <c r="U24" s="7459" t="s">
        <v>150</v>
      </c>
      <c r="V24" s="7459" t="s">
        <v>153</v>
      </c>
      <c r="W24" s="7459" t="s">
        <v>156</v>
      </c>
      <c r="X24" s="7459" t="s">
        <v>159</v>
      </c>
      <c r="Y24" s="7459" t="s">
        <v>162</v>
      </c>
      <c r="Z24" s="7459" t="s">
        <v>165</v>
      </c>
      <c r="AA24" s="7459" t="s">
        <v>168</v>
      </c>
      <c r="AB24" s="7459" t="s">
        <v>171</v>
      </c>
      <c r="AC24" s="7459" t="s">
        <v>174</v>
      </c>
      <c r="AD24" s="7459" t="s">
        <v>177</v>
      </c>
      <c r="AE24" s="7459" t="s">
        <v>180</v>
      </c>
      <c r="AF24" s="7459" t="s">
        <v>183</v>
      </c>
      <c r="AG24" s="7459" t="s">
        <v>186</v>
      </c>
      <c r="AH24" s="7459" t="s">
        <v>189</v>
      </c>
      <c r="AI24" s="7459" t="s">
        <v>192</v>
      </c>
      <c r="AJ24" s="7459" t="s">
        <v>195</v>
      </c>
      <c r="AK24" s="7459"/>
    </row>
    <row customHeight="1" ht="11.25">
      <c r="E25" s="948"/>
      <c r="F25" s="2545" t="s">
        <v>105</v>
      </c>
      <c r="G25" s="2546"/>
      <c r="H25" s="1965" t="str">
        <f>IF(H24="","",INDEX(DIFFERENTIATION_UNMERGE_VD,MATCH(H24,DIFFERENTIATION_ID_DIFF,0)))</f>
        <v/>
      </c>
      <c r="I25" s="1965" t="str">
        <f>IF(I24="","",INDEX(DIFFERENTIATION_UNMERGE_VD,MATCH(I24,DIFFERENTIATION_ID_DIFF,0)))</f>
        <v>Производство тепловой энергии. Некомбинированная выработка</v>
      </c>
      <c r="J25" s="7461" t="str">
        <f>IF(J24="","",INDEX(DIFFERENTIATION_UNMERGE_VD,MATCH(J24,DIFFERENTIATION_ID_DIFF,0)))</f>
        <v>Производство тепловой энергии. Некомбинированная выработка</v>
      </c>
      <c r="K25" s="7461" t="str">
        <f>IF(K24="","",INDEX(DIFFERENTIATION_UNMERGE_VD,MATCH(K24,DIFFERENTIATION_ID_DIFF,0)))</f>
        <v>Производство тепловой энергии. Некомбинированная выработка</v>
      </c>
      <c r="L25" s="7461" t="str">
        <f>IF(L24="","",INDEX(DIFFERENTIATION_UNMERGE_VD,MATCH(L24,DIFFERENTIATION_ID_DIFF,0)))</f>
        <v>Производство тепловой энергии. Некомбинированная выработка</v>
      </c>
      <c r="M25" s="7461" t="str">
        <f>IF(M24="","",INDEX(DIFFERENTIATION_UNMERGE_VD,MATCH(M24,DIFFERENTIATION_ID_DIFF,0)))</f>
        <v>Производство тепловой энергии. Некомбинированная выработка</v>
      </c>
      <c r="N25" s="7461" t="str">
        <f>IF(N24="","",INDEX(DIFFERENTIATION_UNMERGE_VD,MATCH(N24,DIFFERENTIATION_ID_DIFF,0)))</f>
        <v>Производство тепловой энергии. Некомбинированная выработка</v>
      </c>
      <c r="O25" s="7461" t="str">
        <f>IF(O24="","",INDEX(DIFFERENTIATION_UNMERGE_VD,MATCH(O24,DIFFERENTIATION_ID_DIFF,0)))</f>
        <v>Производство тепловой энергии. Некомбинированная выработка</v>
      </c>
      <c r="P25" s="7461" t="str">
        <f>IF(P24="","",INDEX(DIFFERENTIATION_UNMERGE_VD,MATCH(P24,DIFFERENTIATION_ID_DIFF,0)))</f>
        <v>Производство тепловой энергии. Некомбинированная выработка</v>
      </c>
      <c r="Q25" s="7461" t="str">
        <f>IF(Q24="","",INDEX(DIFFERENTIATION_UNMERGE_VD,MATCH(Q24,DIFFERENTIATION_ID_DIFF,0)))</f>
        <v>Производство тепловой энергии. Некомбинированная выработка</v>
      </c>
      <c r="R25" s="7461" t="str">
        <f>IF(R24="","",INDEX(DIFFERENTIATION_UNMERGE_VD,MATCH(R24,DIFFERENTIATION_ID_DIFF,0)))</f>
        <v>Производство тепловой энергии. Некомбинированная выработка</v>
      </c>
      <c r="S25" s="7461" t="str">
        <f>IF(S24="","",INDEX(DIFFERENTIATION_UNMERGE_VD,MATCH(S24,DIFFERENTIATION_ID_DIFF,0)))</f>
        <v>Производство тепловой энергии. Некомбинированная выработка</v>
      </c>
      <c r="T25" s="7461" t="str">
        <f>IF(T24="","",INDEX(DIFFERENTIATION_UNMERGE_VD,MATCH(T24,DIFFERENTIATION_ID_DIFF,0)))</f>
        <v>Производство тепловой энергии. Некомбинированная выработка</v>
      </c>
      <c r="U25" s="7461" t="str">
        <f>IF(U24="","",INDEX(DIFFERENTIATION_UNMERGE_VD,MATCH(U24,DIFFERENTIATION_ID_DIFF,0)))</f>
        <v>Производство тепловой энергии. Некомбинированная выработка</v>
      </c>
      <c r="V25" s="7461" t="str">
        <f>IF(V24="","",INDEX(DIFFERENTIATION_UNMERGE_VD,MATCH(V24,DIFFERENTIATION_ID_DIFF,0)))</f>
        <v>Производство тепловой энергии. Некомбинированная выработка</v>
      </c>
      <c r="W25" s="7461" t="str">
        <f>IF(W24="","",INDEX(DIFFERENTIATION_UNMERGE_VD,MATCH(W24,DIFFERENTIATION_ID_DIFF,0)))</f>
        <v>Производство тепловой энергии. Некомбинированная выработка</v>
      </c>
      <c r="X25" s="7461" t="str">
        <f>IF(X24="","",INDEX(DIFFERENTIATION_UNMERGE_VD,MATCH(X24,DIFFERENTIATION_ID_DIFF,0)))</f>
        <v>Производство тепловой энергии. Некомбинированная выработка</v>
      </c>
      <c r="Y25" s="7461" t="str">
        <f>IF(Y24="","",INDEX(DIFFERENTIATION_UNMERGE_VD,MATCH(Y24,DIFFERENTIATION_ID_DIFF,0)))</f>
        <v>Производство тепловой энергии. Некомбинированная выработка</v>
      </c>
      <c r="Z25" s="7461" t="str">
        <f>IF(Z24="","",INDEX(DIFFERENTIATION_UNMERGE_VD,MATCH(Z24,DIFFERENTIATION_ID_DIFF,0)))</f>
        <v>Производство тепловой энергии. Некомбинированная выработка</v>
      </c>
      <c r="AA25" s="7461" t="str">
        <f>IF(AA24="","",INDEX(DIFFERENTIATION_UNMERGE_VD,MATCH(AA24,DIFFERENTIATION_ID_DIFF,0)))</f>
        <v>Производство тепловой энергии. Некомбинированная выработка</v>
      </c>
      <c r="AB25" s="7461" t="str">
        <f>IF(AB24="","",INDEX(DIFFERENTIATION_UNMERGE_VD,MATCH(AB24,DIFFERENTIATION_ID_DIFF,0)))</f>
        <v>Производство тепловой энергии. Некомбинированная выработка</v>
      </c>
      <c r="AC25" s="7461" t="str">
        <f>IF(AC24="","",INDEX(DIFFERENTIATION_UNMERGE_VD,MATCH(AC24,DIFFERENTIATION_ID_DIFF,0)))</f>
        <v>Производство тепловой энергии. Некомбинированная выработка</v>
      </c>
      <c r="AD25" s="7461" t="str">
        <f>IF(AD24="","",INDEX(DIFFERENTIATION_UNMERGE_VD,MATCH(AD24,DIFFERENTIATION_ID_DIFF,0)))</f>
        <v>Производство тепловой энергии. Некомбинированная выработка</v>
      </c>
      <c r="AE25" s="7461" t="str">
        <f>IF(AE24="","",INDEX(DIFFERENTIATION_UNMERGE_VD,MATCH(AE24,DIFFERENTIATION_ID_DIFF,0)))</f>
        <v>Производство тепловой энергии. Некомбинированная выработка</v>
      </c>
      <c r="AF25" s="7461" t="str">
        <f>IF(AF24="","",INDEX(DIFFERENTIATION_UNMERGE_VD,MATCH(AF24,DIFFERENTIATION_ID_DIFF,0)))</f>
        <v>Производство тепловой энергии. Некомбинированная выработка</v>
      </c>
      <c r="AG25" s="7461" t="str">
        <f>IF(AG24="","",INDEX(DIFFERENTIATION_UNMERGE_VD,MATCH(AG24,DIFFERENTIATION_ID_DIFF,0)))</f>
        <v>Производство тепловой энергии. Некомбинированная выработка</v>
      </c>
      <c r="AH25" s="7461" t="str">
        <f>IF(AH24="","",INDEX(DIFFERENTIATION_UNMERGE_VD,MATCH(AH24,DIFFERENTIATION_ID_DIFF,0)))</f>
        <v>Производство тепловой энергии. Некомбинированная выработка</v>
      </c>
      <c r="AI25" s="7461" t="str">
        <f>IF(AI24="","",INDEX(DIFFERENTIATION_UNMERGE_VD,MATCH(AI24,DIFFERENTIATION_ID_DIFF,0)))</f>
        <v>Производство тепловой энергии. Некомбинированная выработка</v>
      </c>
      <c r="AJ25" s="7461" t="str">
        <f>IF(AJ24="","",INDEX(DIFFERENTIATION_UNMERGE_VD,MATCH(AJ24,DIFFERENTIATION_ID_DIFF,0)))</f>
        <v>Производство тепловой энергии. Некомбинированная выработка</v>
      </c>
      <c r="AK25" s="7461" t="str">
        <f>IF(AK24="","",INDEX(DIFFERENTIATION_UNMERGE_VD,MATCH(AK24,DIFFERENTIATION_ID_DIFF,0)))</f>
        <v/>
      </c>
    </row>
    <row customHeight="1" ht="11.25">
      <c r="E26" s="948"/>
      <c r="F26" s="2545" t="s">
        <v>1476</v>
      </c>
      <c r="G26" s="2546"/>
      <c r="H26" s="1965" t="str">
        <f>IF(H24="","",INDEX(DIFFERENTIATION_UNMERGE_AREA,MATCH(H24,DIFFERENTIATION_ID_DIFF,0)))</f>
        <v/>
      </c>
      <c r="I26" s="1965" t="str">
        <f>IF(I24="","",INDEX(DIFFERENTIATION_UNMERGE_AREA,MATCH(I24,DIFFERENTIATION_ID_DIFF,0)))</f>
        <v>Территория 1</v>
      </c>
      <c r="J26" s="7461" t="str">
        <f>IF(J24="","",INDEX(DIFFERENTIATION_UNMERGE_AREA,MATCH(J24,DIFFERENTIATION_ID_DIFF,0)))</f>
        <v>Территория 1</v>
      </c>
      <c r="K26" s="7461" t="str">
        <f>IF(K24="","",INDEX(DIFFERENTIATION_UNMERGE_AREA,MATCH(K24,DIFFERENTIATION_ID_DIFF,0)))</f>
        <v>Территория 1</v>
      </c>
      <c r="L26" s="7461" t="str">
        <f>IF(L24="","",INDEX(DIFFERENTIATION_UNMERGE_AREA,MATCH(L24,DIFFERENTIATION_ID_DIFF,0)))</f>
        <v>Территория 1</v>
      </c>
      <c r="M26" s="7461" t="str">
        <f>IF(M24="","",INDEX(DIFFERENTIATION_UNMERGE_AREA,MATCH(M24,DIFFERENTIATION_ID_DIFF,0)))</f>
        <v>Территория 1</v>
      </c>
      <c r="N26" s="7461" t="str">
        <f>IF(N24="","",INDEX(DIFFERENTIATION_UNMERGE_AREA,MATCH(N24,DIFFERENTIATION_ID_DIFF,0)))</f>
        <v>Территория 1</v>
      </c>
      <c r="O26" s="7461" t="str">
        <f>IF(O24="","",INDEX(DIFFERENTIATION_UNMERGE_AREA,MATCH(O24,DIFFERENTIATION_ID_DIFF,0)))</f>
        <v>Территория 1</v>
      </c>
      <c r="P26" s="7461" t="str">
        <f>IF(P24="","",INDEX(DIFFERENTIATION_UNMERGE_AREA,MATCH(P24,DIFFERENTIATION_ID_DIFF,0)))</f>
        <v>Территория 1</v>
      </c>
      <c r="Q26" s="7461" t="str">
        <f>IF(Q24="","",INDEX(DIFFERENTIATION_UNMERGE_AREA,MATCH(Q24,DIFFERENTIATION_ID_DIFF,0)))</f>
        <v>Территория 1</v>
      </c>
      <c r="R26" s="7461" t="str">
        <f>IF(R24="","",INDEX(DIFFERENTIATION_UNMERGE_AREA,MATCH(R24,DIFFERENTIATION_ID_DIFF,0)))</f>
        <v>Территория 1</v>
      </c>
      <c r="S26" s="7461" t="str">
        <f>IF(S24="","",INDEX(DIFFERENTIATION_UNMERGE_AREA,MATCH(S24,DIFFERENTIATION_ID_DIFF,0)))</f>
        <v>Территория 1</v>
      </c>
      <c r="T26" s="7461" t="str">
        <f>IF(T24="","",INDEX(DIFFERENTIATION_UNMERGE_AREA,MATCH(T24,DIFFERENTIATION_ID_DIFF,0)))</f>
        <v>Территория 1</v>
      </c>
      <c r="U26" s="7461" t="str">
        <f>IF(U24="","",INDEX(DIFFERENTIATION_UNMERGE_AREA,MATCH(U24,DIFFERENTIATION_ID_DIFF,0)))</f>
        <v>Территория 1</v>
      </c>
      <c r="V26" s="7461" t="str">
        <f>IF(V24="","",INDEX(DIFFERENTIATION_UNMERGE_AREA,MATCH(V24,DIFFERENTIATION_ID_DIFF,0)))</f>
        <v>Территория 1</v>
      </c>
      <c r="W26" s="7461" t="str">
        <f>IF(W24="","",INDEX(DIFFERENTIATION_UNMERGE_AREA,MATCH(W24,DIFFERENTIATION_ID_DIFF,0)))</f>
        <v>Территория 1</v>
      </c>
      <c r="X26" s="7461" t="str">
        <f>IF(X24="","",INDEX(DIFFERENTIATION_UNMERGE_AREA,MATCH(X24,DIFFERENTIATION_ID_DIFF,0)))</f>
        <v>Территория 1</v>
      </c>
      <c r="Y26" s="7461" t="str">
        <f>IF(Y24="","",INDEX(DIFFERENTIATION_UNMERGE_AREA,MATCH(Y24,DIFFERENTIATION_ID_DIFF,0)))</f>
        <v>Территория 1</v>
      </c>
      <c r="Z26" s="7461" t="str">
        <f>IF(Z24="","",INDEX(DIFFERENTIATION_UNMERGE_AREA,MATCH(Z24,DIFFERENTIATION_ID_DIFF,0)))</f>
        <v>Территория 1</v>
      </c>
      <c r="AA26" s="7461" t="str">
        <f>IF(AA24="","",INDEX(DIFFERENTIATION_UNMERGE_AREA,MATCH(AA24,DIFFERENTIATION_ID_DIFF,0)))</f>
        <v>Территория 1</v>
      </c>
      <c r="AB26" s="7461" t="str">
        <f>IF(AB24="","",INDEX(DIFFERENTIATION_UNMERGE_AREA,MATCH(AB24,DIFFERENTIATION_ID_DIFF,0)))</f>
        <v>Территория 1</v>
      </c>
      <c r="AC26" s="7461" t="str">
        <f>IF(AC24="","",INDEX(DIFFERENTIATION_UNMERGE_AREA,MATCH(AC24,DIFFERENTIATION_ID_DIFF,0)))</f>
        <v>Территория 1</v>
      </c>
      <c r="AD26" s="7461" t="str">
        <f>IF(AD24="","",INDEX(DIFFERENTIATION_UNMERGE_AREA,MATCH(AD24,DIFFERENTIATION_ID_DIFF,0)))</f>
        <v>Территория 1</v>
      </c>
      <c r="AE26" s="7461" t="str">
        <f>IF(AE24="","",INDEX(DIFFERENTIATION_UNMERGE_AREA,MATCH(AE24,DIFFERENTIATION_ID_DIFF,0)))</f>
        <v>Территория 1</v>
      </c>
      <c r="AF26" s="7461" t="str">
        <f>IF(AF24="","",INDEX(DIFFERENTIATION_UNMERGE_AREA,MATCH(AF24,DIFFERENTIATION_ID_DIFF,0)))</f>
        <v>Территория 1</v>
      </c>
      <c r="AG26" s="7461" t="str">
        <f>IF(AG24="","",INDEX(DIFFERENTIATION_UNMERGE_AREA,MATCH(AG24,DIFFERENTIATION_ID_DIFF,0)))</f>
        <v>Территория 1</v>
      </c>
      <c r="AH26" s="7461" t="str">
        <f>IF(AH24="","",INDEX(DIFFERENTIATION_UNMERGE_AREA,MATCH(AH24,DIFFERENTIATION_ID_DIFF,0)))</f>
        <v>Территория 1</v>
      </c>
      <c r="AI26" s="7461" t="str">
        <f>IF(AI24="","",INDEX(DIFFERENTIATION_UNMERGE_AREA,MATCH(AI24,DIFFERENTIATION_ID_DIFF,0)))</f>
        <v>Территория 1</v>
      </c>
      <c r="AJ26" s="7461" t="str">
        <f>IF(AJ24="","",INDEX(DIFFERENTIATION_UNMERGE_AREA,MATCH(AJ24,DIFFERENTIATION_ID_DIFF,0)))</f>
        <v>Территория 1</v>
      </c>
      <c r="AK26" s="7461" t="str">
        <f>IF(AK24="","",INDEX(DIFFERENTIATION_UNMERGE_AREA,MATCH(AK24,DIFFERENTIATION_ID_DIFF,0)))</f>
        <v/>
      </c>
    </row>
    <row customHeight="1" ht="11.25">
      <c r="E27" s="948"/>
      <c r="F27" s="2545" t="s">
        <v>1477</v>
      </c>
      <c r="G27" s="2546"/>
      <c r="H27" s="1965" t="str">
        <f>IF(H24="","",INDEX(DIFFERENTIATION_UNMERGE_SYSTEM,MATCH(H24,DIFFERENTIATION_ID_DIFF,0)))</f>
        <v/>
      </c>
      <c r="I27" s="1965" t="str">
        <f>IF(I24="","",INDEX(DIFFERENTIATION_UNMERGE_SYSTEM,MATCH(I24,DIFFERENTIATION_ID_DIFF,0)))</f>
        <v>Котельная №1 по ул.Ново-Самарская, д.12</v>
      </c>
      <c r="J27" s="7461" t="str">
        <f>IF(J24="","",INDEX(DIFFERENTIATION_UNMERGE_SYSTEM,MATCH(J24,DIFFERENTIATION_ID_DIFF,0)))</f>
        <v>Котельная №2,  ул.Пирогова около д.4</v>
      </c>
      <c r="K27" s="7461" t="str">
        <f>IF(K24="","",INDEX(DIFFERENTIATION_UNMERGE_SYSTEM,MATCH(K24,DIFFERENTIATION_ID_DIFF,0)))</f>
        <v>Котельная №3, ул.Комсомольская около д.1 по ул.Ленина</v>
      </c>
      <c r="L27" s="7461" t="str">
        <f>IF(L24="","",INDEX(DIFFERENTIATION_UNMERGE_SYSTEM,MATCH(L24,DIFFERENTIATION_ID_DIFF,0)))</f>
        <v>Тепловой центр №1 ул.Вокзальная ок д.№8</v>
      </c>
      <c r="M27" s="7461" t="str">
        <f>IF(M24="","",INDEX(DIFFERENTIATION_UNMERGE_SYSTEM,MATCH(M24,DIFFERENTIATION_ID_DIFF,0)))</f>
        <v>Котельная №5, Александр. Поле, около д.30 по ул.Советская </v>
      </c>
      <c r="N27" s="7461" t="str">
        <f>IF(N24="","",INDEX(DIFFERENTIATION_UNMERGE_SYSTEM,MATCH(N24,DIFFERENTIATION_ID_DIFF,0)))</f>
        <v>Котельная №6, ул.Пушкина </v>
      </c>
      <c r="O27" s="7461" t="str">
        <f>IF(O24="","",INDEX(DIFFERENTIATION_UNMERGE_SYSTEM,MATCH(O24,DIFFERENTIATION_ID_DIFF,0)))</f>
        <v>Тепловой центр №2 ул.Вокзальная ок д.№20</v>
      </c>
      <c r="P27" s="7461" t="str">
        <f>IF(P24="","",INDEX(DIFFERENTIATION_UNMERGE_SYSTEM,MATCH(P24,DIFFERENTIATION_ID_DIFF,0)))</f>
        <v>Котельная №8, ул.Мира</v>
      </c>
      <c r="Q27" s="7461" t="str">
        <f>IF(Q24="","",INDEX(DIFFERENTIATION_UNMERGE_SYSTEM,MATCH(Q24,DIFFERENTIATION_ID_DIFF,0)))</f>
        <v>Котельная №9, ул.Гоголя</v>
      </c>
      <c r="R27" s="7461" t="str">
        <f>IF(R24="","",INDEX(DIFFERENTIATION_UNMERGE_SYSTEM,MATCH(R24,DIFFERENTIATION_ID_DIFF,0)))</f>
        <v>Котельная №10, ул.Гоголя</v>
      </c>
      <c r="S27" s="7461" t="str">
        <f>IF(S24="","",INDEX(DIFFERENTIATION_UNMERGE_SYSTEM,MATCH(S24,DIFFERENTIATION_ID_DIFF,0)))</f>
        <v>Котельная №12а, ул.Мира</v>
      </c>
      <c r="T27" s="7461" t="str">
        <f>IF(T24="","",INDEX(DIFFERENTIATION_UNMERGE_SYSTEM,MATCH(T24,DIFFERENTIATION_ID_DIFF,0)))</f>
        <v>Котельная №13, ул.Морквашинская</v>
      </c>
      <c r="U27" s="7461" t="str">
        <f>IF(U24="","",INDEX(DIFFERENTIATION_UNMERGE_SYSTEM,MATCH(U24,DIFFERENTIATION_ID_DIFF,0)))</f>
        <v>ЦТП-1 ул.Морквашинская ок.д№7</v>
      </c>
      <c r="V27" s="7461" t="str">
        <f>IF(V24="","",INDEX(DIFFERENTIATION_UNMERGE_SYSTEM,MATCH(V24,DIFFERENTIATION_ID_DIFF,0)))</f>
        <v>ЦТП-2, В-1,ок.д.№10</v>
      </c>
      <c r="W27" s="7461" t="str">
        <f>IF(W24="","",INDEX(DIFFERENTIATION_UNMERGE_SYSTEM,MATCH(W24,DIFFERENTIATION_ID_DIFF,0)))</f>
        <v>ЦТП-9, ул.Пролетарская д.23/ул.Транспортная д.10</v>
      </c>
      <c r="X27" s="7461" t="str">
        <f>IF(X24="","",INDEX(DIFFERENTIATION_UNMERGE_SYSTEM,MATCH(X24,DIFFERENTIATION_ID_DIFF,0)))</f>
        <v>ПНС№1-  Пролет, 5</v>
      </c>
      <c r="Y27" s="7461" t="str">
        <f>IF(Y24="","",INDEX(DIFFERENTIATION_UNMERGE_SYSTEM,MATCH(Y24,DIFFERENTIATION_ID_DIFF,0)))</f>
        <v>ПНС№2, ул.Репина,3</v>
      </c>
      <c r="Z27" s="7461" t="str">
        <f>IF(Z24="","",INDEX(DIFFERENTIATION_UNMERGE_SYSTEM,MATCH(Z24,DIFFERENTIATION_ID_DIFF,0)))</f>
        <v>Котельная №14, ул.Радиозаводская</v>
      </c>
      <c r="AA27" s="7461" t="str">
        <f>IF(AA24="","",INDEX(DIFFERENTIATION_UNMERGE_SYSTEM,MATCH(AA24,DIFFERENTIATION_ID_DIFF,0)))</f>
        <v>ЦТП-3, ул.Радиозаводская,ок.д.№6</v>
      </c>
      <c r="AB27" s="7461" t="str">
        <f>IF(AB24="","",INDEX(DIFFERENTIATION_UNMERGE_SYSTEM,MATCH(AB24,DIFFERENTIATION_ID_DIFF,0)))</f>
        <v>Котельная №17а с.Зольное , ул.Первомайская.</v>
      </c>
      <c r="AC27" s="7461" t="str">
        <f>IF(AC24="","",INDEX(DIFFERENTIATION_UNMERGE_SYSTEM,MATCH(AC24,DIFFERENTIATION_ID_DIFF,0)))</f>
        <v>Котельная №18А, с.Солнечная Поляна, ул. 4-я Линия</v>
      </c>
      <c r="AD27" s="7461" t="str">
        <f>IF(AD24="","",INDEX(DIFFERENTIATION_UNMERGE_SYSTEM,MATCH(AD24,DIFFERENTIATION_ID_DIFF,0)))</f>
        <v>Котельная №20,пос.Яблоневый Овраг , ул Никитина</v>
      </c>
      <c r="AE27" s="7461" t="str">
        <f>IF(AE24="","",INDEX(DIFFERENTIATION_UNMERGE_SYSTEM,MATCH(AE24,DIFFERENTIATION_ID_DIFF,0)))</f>
        <v>Котельная №22, ул.Магистральная</v>
      </c>
      <c r="AF27" s="7461" t="str">
        <f>IF(AF24="","",INDEX(DIFFERENTIATION_UNMERGE_SYSTEM,MATCH(AF24,DIFFERENTIATION_ID_DIFF,0)))</f>
        <v>Котельная №25,  МКР Г-1, ул.Гидротехническая</v>
      </c>
      <c r="AG27" s="7461" t="str">
        <f>IF(AG24="","",INDEX(DIFFERENTIATION_UNMERGE_SYSTEM,MATCH(AG24,DIFFERENTIATION_ID_DIFF,0)))</f>
        <v>ЦТП-7, ул.Оборонная</v>
      </c>
      <c r="AH27" s="7461" t="str">
        <f>IF(AH24="","",INDEX(DIFFERENTIATION_UNMERGE_SYSTEM,MATCH(AH24,DIFFERENTIATION_ID_DIFF,0)))</f>
        <v>ЦТП-8, ул.Шевченко</v>
      </c>
      <c r="AI27" s="7461" t="str">
        <f>IF(AI24="","",INDEX(DIFFERENTIATION_UNMERGE_SYSTEM,MATCH(AI24,DIFFERENTIATION_ID_DIFF,0)))</f>
        <v>ПНС, ул.Парковая</v>
      </c>
      <c r="AJ27" s="7461" t="str">
        <f>IF(AJ24="","",INDEX(DIFFERENTIATION_UNMERGE_SYSTEM,MATCH(AJ24,DIFFERENTIATION_ID_DIFF,0)))</f>
        <v>Котельная №27, п.Богатырь, ул.Управленческая</v>
      </c>
      <c r="AK27" s="7461" t="str">
        <f>IF(AK24="","",INDEX(DIFFERENTIATION_UNMERGE_SYSTEM,MATCH(AK24,DIFFERENTIATION_ID_DIFF,0)))</f>
        <v/>
      </c>
    </row>
    <row customHeight="1" ht="11.25">
      <c r="E28" s="2547" t="s">
        <v>362</v>
      </c>
      <c r="F28" s="2548"/>
      <c r="G28" s="2548"/>
      <c r="H28" s="1958"/>
      <c r="I28" s="1958"/>
      <c r="J28" s="7001"/>
      <c r="K28" s="7001"/>
      <c r="L28" s="7001"/>
      <c r="M28" s="7001"/>
      <c r="N28" s="7001"/>
      <c r="O28" s="7001"/>
      <c r="P28" s="7001"/>
      <c r="Q28" s="7001"/>
      <c r="R28" s="7001"/>
      <c r="S28" s="7001"/>
      <c r="T28" s="7001"/>
      <c r="U28" s="7001"/>
      <c r="V28" s="7001"/>
      <c r="W28" s="7001"/>
      <c r="X28" s="7001"/>
      <c r="Y28" s="7001"/>
      <c r="Z28" s="7001"/>
      <c r="AA28" s="7001"/>
      <c r="AB28" s="7001"/>
      <c r="AC28" s="7001"/>
      <c r="AD28" s="7001"/>
      <c r="AE28" s="7001"/>
      <c r="AF28" s="7001"/>
      <c r="AG28" s="7001"/>
      <c r="AH28" s="7001"/>
      <c r="AI28" s="7001"/>
      <c r="AJ28" s="7001"/>
      <c r="AK28" s="7001"/>
    </row>
    <row customHeight="1" ht="22.5">
      <c r="E29" s="1959" t="s">
        <v>88</v>
      </c>
      <c r="F29" s="1966" t="s">
        <v>364</v>
      </c>
      <c r="G29" s="1966" t="s">
        <v>1655</v>
      </c>
      <c r="H29" s="1966" t="s">
        <v>365</v>
      </c>
      <c r="I29" s="1966" t="s">
        <v>365</v>
      </c>
      <c r="J29" s="7006" t="s">
        <v>365</v>
      </c>
      <c r="K29" s="7006" t="s">
        <v>365</v>
      </c>
      <c r="L29" s="7006" t="s">
        <v>365</v>
      </c>
      <c r="M29" s="7006" t="s">
        <v>365</v>
      </c>
      <c r="N29" s="7006" t="s">
        <v>365</v>
      </c>
      <c r="O29" s="7006" t="s">
        <v>365</v>
      </c>
      <c r="P29" s="7006" t="s">
        <v>365</v>
      </c>
      <c r="Q29" s="7006" t="s">
        <v>365</v>
      </c>
      <c r="R29" s="7006" t="s">
        <v>365</v>
      </c>
      <c r="S29" s="7006" t="s">
        <v>365</v>
      </c>
      <c r="T29" s="7006" t="s">
        <v>365</v>
      </c>
      <c r="U29" s="7006" t="s">
        <v>365</v>
      </c>
      <c r="V29" s="7006" t="s">
        <v>365</v>
      </c>
      <c r="W29" s="7006" t="s">
        <v>365</v>
      </c>
      <c r="X29" s="7006" t="s">
        <v>365</v>
      </c>
      <c r="Y29" s="7006" t="s">
        <v>365</v>
      </c>
      <c r="Z29" s="7006" t="s">
        <v>365</v>
      </c>
      <c r="AA29" s="7006" t="s">
        <v>365</v>
      </c>
      <c r="AB29" s="7006" t="s">
        <v>365</v>
      </c>
      <c r="AC29" s="7006" t="s">
        <v>365</v>
      </c>
      <c r="AD29" s="7006" t="s">
        <v>365</v>
      </c>
      <c r="AE29" s="7006" t="s">
        <v>365</v>
      </c>
      <c r="AF29" s="7006" t="s">
        <v>365</v>
      </c>
      <c r="AG29" s="7006" t="s">
        <v>365</v>
      </c>
      <c r="AH29" s="7006" t="s">
        <v>365</v>
      </c>
      <c r="AI29" s="7006" t="s">
        <v>365</v>
      </c>
      <c r="AJ29" s="7006" t="s">
        <v>365</v>
      </c>
      <c r="AK29" s="7006" t="s">
        <v>365</v>
      </c>
    </row>
    <row customHeight="1" ht="18.75">
      <c r="D30" s="1951"/>
      <c r="E30" s="783">
        <f>FHD_NUM_P_1</f>
        <v>1</v>
      </c>
      <c r="F30" s="944" t="str">
        <f>FHD_P_1</f>
        <v>Выручка от регулируемого вида деятельности с распределением по видам деятельности</v>
      </c>
      <c r="G30" s="1959" t="s">
        <v>1772</v>
      </c>
      <c r="H30" s="794"/>
      <c r="I30" s="794"/>
      <c r="J30" s="7466"/>
      <c r="K30" s="7466"/>
      <c r="L30" s="7466"/>
      <c r="M30" s="7466"/>
      <c r="N30" s="7466"/>
      <c r="O30" s="7466"/>
      <c r="P30" s="7466"/>
      <c r="Q30" s="7466"/>
      <c r="R30" s="7466"/>
      <c r="S30" s="7466"/>
      <c r="T30" s="7466"/>
      <c r="U30" s="7466"/>
      <c r="V30" s="7466"/>
      <c r="W30" s="7466"/>
      <c r="X30" s="7466"/>
      <c r="Y30" s="7466"/>
      <c r="Z30" s="7466"/>
      <c r="AA30" s="7466"/>
      <c r="AB30" s="7466"/>
      <c r="AC30" s="7466"/>
      <c r="AD30" s="7466"/>
      <c r="AE30" s="7466"/>
      <c r="AF30" s="7466"/>
      <c r="AG30" s="7466"/>
      <c r="AH30" s="7466"/>
      <c r="AI30" s="7466"/>
      <c r="AJ30" s="7466"/>
      <c r="AK30" s="7466"/>
      <c r="AL30" s="780"/>
    </row>
    <row customHeight="1" ht="11.25">
      <c r="D31" s="1951"/>
      <c r="E31" s="783">
        <f>FHD_NUM_P_2</f>
        <v>2</v>
      </c>
      <c r="F31" s="944" t="str">
        <f>FHD_P_2</f>
        <v>Себестоимость производимых товаров (оказываемых услуг) по регулируемому виду деятельности, включая:</v>
      </c>
      <c r="G31" s="1959" t="s">
        <v>1772</v>
      </c>
      <c r="H31" s="795">
        <f>SUMIF($AL33:$AL71,$AL31,H33:H71)</f>
        <v>0</v>
      </c>
      <c r="I31" s="795">
        <f>SUMIF($AL33:$AL71,$AL31,I33:I71)</f>
        <v>0</v>
      </c>
      <c r="J31" s="7467">
        <f>SUMIF($AL33:$AL71,$AL31,J33:J71)</f>
        <v>0</v>
      </c>
      <c r="K31" s="7467">
        <f>SUMIF($AL33:$AL71,$AL31,K33:K71)</f>
        <v>0</v>
      </c>
      <c r="L31" s="7467">
        <f>SUMIF($AL33:$AL71,$AL31,L33:L71)</f>
        <v>0</v>
      </c>
      <c r="M31" s="7467">
        <f>SUMIF($AL33:$AL71,$AL31,M33:M71)</f>
        <v>0</v>
      </c>
      <c r="N31" s="7467">
        <f>SUMIF($AL33:$AL71,$AL31,N33:N71)</f>
        <v>0</v>
      </c>
      <c r="O31" s="7467">
        <f>SUMIF($AL33:$AL71,$AL31,O33:O71)</f>
        <v>0</v>
      </c>
      <c r="P31" s="7467">
        <f>SUMIF($AL33:$AL71,$AL31,P33:P71)</f>
        <v>0</v>
      </c>
      <c r="Q31" s="7467">
        <f>SUMIF($AL33:$AL71,$AL31,Q33:Q71)</f>
        <v>0</v>
      </c>
      <c r="R31" s="7467">
        <f>SUMIF($AL33:$AL71,$AL31,R33:R71)</f>
        <v>0</v>
      </c>
      <c r="S31" s="7467">
        <f>SUMIF($AL33:$AL71,$AL31,S33:S71)</f>
        <v>0</v>
      </c>
      <c r="T31" s="7467">
        <f>SUMIF($AL33:$AL71,$AL31,T33:T71)</f>
        <v>0</v>
      </c>
      <c r="U31" s="7467">
        <f>SUMIF($AL33:$AL71,$AL31,U33:U71)</f>
        <v>0</v>
      </c>
      <c r="V31" s="7467">
        <f>SUMIF($AL33:$AL71,$AL31,V33:V71)</f>
        <v>0</v>
      </c>
      <c r="W31" s="7467">
        <f>SUMIF($AL33:$AL71,$AL31,W33:W71)</f>
        <v>0</v>
      </c>
      <c r="X31" s="7467">
        <f>SUMIF($AL33:$AL71,$AL31,X33:X71)</f>
        <v>0</v>
      </c>
      <c r="Y31" s="7467">
        <f>SUMIF($AL33:$AL71,$AL31,Y33:Y71)</f>
        <v>0</v>
      </c>
      <c r="Z31" s="7467">
        <f>SUMIF($AL33:$AL71,$AL31,Z33:Z71)</f>
        <v>0</v>
      </c>
      <c r="AA31" s="7467">
        <f>SUMIF($AL33:$AL71,$AL31,AA33:AA71)</f>
        <v>0</v>
      </c>
      <c r="AB31" s="7467">
        <f>SUMIF($AL33:$AL71,$AL31,AB33:AB71)</f>
        <v>0</v>
      </c>
      <c r="AC31" s="7467">
        <f>SUMIF($AL33:$AL71,$AL31,AC33:AC71)</f>
        <v>0</v>
      </c>
      <c r="AD31" s="7467">
        <f>SUMIF($AL33:$AL71,$AL31,AD33:AD71)</f>
        <v>0</v>
      </c>
      <c r="AE31" s="7467">
        <f>SUMIF($AL33:$AL71,$AL31,AE33:AE71)</f>
        <v>0</v>
      </c>
      <c r="AF31" s="7467">
        <f>SUMIF($AL33:$AL71,$AL31,AF33:AF71)</f>
        <v>0</v>
      </c>
      <c r="AG31" s="7467">
        <f>SUMIF($AL33:$AL71,$AL31,AG33:AG71)</f>
        <v>0</v>
      </c>
      <c r="AH31" s="7467">
        <f>SUMIF($AL33:$AL71,$AL31,AH33:AH71)</f>
        <v>0</v>
      </c>
      <c r="AI31" s="7467">
        <f>SUMIF($AL33:$AL71,$AL31,AI33:AI71)</f>
        <v>0</v>
      </c>
      <c r="AJ31" s="7467">
        <f>SUMIF($AL33:$AL71,$AL31,AJ33:AJ71)</f>
        <v>0</v>
      </c>
      <c r="AK31" s="7467">
        <f>SUMIF($AL33:$AL71,$AL31,AK33:AK71)</f>
        <v>0</v>
      </c>
      <c r="AL31" s="1949" t="s">
        <v>1777</v>
      </c>
    </row>
    <row customHeight="1" ht="11.25">
      <c r="D32" s="1951"/>
      <c r="E32" s="783" t="str">
        <f>FHD_NUM_P_3</f>
        <v>2.1</v>
      </c>
      <c r="F32" s="1210" t="str">
        <f>FHD_P_3</f>
        <v>Расходы на приобретаемую тепловую энергию (мощность), теплоноситель</v>
      </c>
      <c r="G32" s="1959" t="s">
        <v>1772</v>
      </c>
      <c r="H32" s="794"/>
      <c r="I32" s="794"/>
      <c r="J32" s="7466"/>
      <c r="K32" s="7466"/>
      <c r="L32" s="7466"/>
      <c r="M32" s="7466"/>
      <c r="N32" s="7466"/>
      <c r="O32" s="7466"/>
      <c r="P32" s="7466"/>
      <c r="Q32" s="7466"/>
      <c r="R32" s="7466"/>
      <c r="S32" s="7466"/>
      <c r="T32" s="7466"/>
      <c r="U32" s="7466"/>
      <c r="V32" s="7466"/>
      <c r="W32" s="7466"/>
      <c r="X32" s="7466"/>
      <c r="Y32" s="7466"/>
      <c r="Z32" s="7466"/>
      <c r="AA32" s="7466"/>
      <c r="AB32" s="7466"/>
      <c r="AC32" s="7466"/>
      <c r="AD32" s="7466"/>
      <c r="AE32" s="7466"/>
      <c r="AF32" s="7466"/>
      <c r="AG32" s="7466"/>
      <c r="AH32" s="7466"/>
      <c r="AI32" s="7466"/>
      <c r="AJ32" s="7466"/>
      <c r="AK32" s="7466"/>
      <c r="AL32" s="1949" t="str">
        <f>IF((LEN(E32)-LEN(SUBSTITUTE(E32,".","")))/LEN(".")=1,"p","")</f>
        <v>p</v>
      </c>
    </row>
    <row customHeight="1" ht="11.25">
      <c r="A33" s="2591" t="s">
        <v>1778</v>
      </c>
      <c r="D33" s="1951"/>
      <c r="E33" s="783" t="str">
        <f>FHD_NUM_P_4</f>
        <v>2.2</v>
      </c>
      <c r="F33" s="1210" t="str">
        <f>FHD_P_4</f>
        <v>Расходы на топливо с указанием по каждому виду топлива стоимости (за единицу объема), объема и способа его приобретения, стоимости его доставки</v>
      </c>
      <c r="G33" s="1959" t="s">
        <v>1772</v>
      </c>
      <c r="H33" s="795">
        <f>SUMIF($F34:$F40,$F3,H34:H40)</f>
        <v>0</v>
      </c>
      <c r="I33" s="795">
        <f>SUMIF($F34:$F40,$F3,I34:I40)</f>
        <v>0</v>
      </c>
      <c r="J33" s="7467">
        <f>SUMIF($F34:$F40,$F3,J34:J40)</f>
        <v>0</v>
      </c>
      <c r="K33" s="7467">
        <f>SUMIF($F34:$F40,$F3,K34:K40)</f>
        <v>0</v>
      </c>
      <c r="L33" s="7467">
        <f>SUMIF($F34:$F40,$F3,L34:L40)</f>
        <v>0</v>
      </c>
      <c r="M33" s="7467">
        <f>SUMIF($F34:$F40,$F3,M34:M40)</f>
        <v>0</v>
      </c>
      <c r="N33" s="7467">
        <f>SUMIF($F34:$F40,$F3,N34:N40)</f>
        <v>0</v>
      </c>
      <c r="O33" s="7467">
        <f>SUMIF($F34:$F40,$F3,O34:O40)</f>
        <v>0</v>
      </c>
      <c r="P33" s="7467">
        <f>SUMIF($F34:$F40,$F3,P34:P40)</f>
        <v>0</v>
      </c>
      <c r="Q33" s="7467">
        <f>SUMIF($F34:$F40,$F3,Q34:Q40)</f>
        <v>0</v>
      </c>
      <c r="R33" s="7467">
        <f>SUMIF($F34:$F40,$F3,R34:R40)</f>
        <v>0</v>
      </c>
      <c r="S33" s="7467">
        <f>SUMIF($F34:$F40,$F3,S34:S40)</f>
        <v>0</v>
      </c>
      <c r="T33" s="7467">
        <f>SUMIF($F34:$F40,$F3,T34:T40)</f>
        <v>0</v>
      </c>
      <c r="U33" s="7467">
        <f>SUMIF($F34:$F40,$F3,U34:U40)</f>
        <v>0</v>
      </c>
      <c r="V33" s="7467">
        <f>SUMIF($F34:$F40,$F3,V34:V40)</f>
        <v>0</v>
      </c>
      <c r="W33" s="7467">
        <f>SUMIF($F34:$F40,$F3,W34:W40)</f>
        <v>0</v>
      </c>
      <c r="X33" s="7467">
        <f>SUMIF($F34:$F40,$F3,X34:X40)</f>
        <v>0</v>
      </c>
      <c r="Y33" s="7467">
        <f>SUMIF($F34:$F40,$F3,Y34:Y40)</f>
        <v>0</v>
      </c>
      <c r="Z33" s="7467">
        <f>SUMIF($F34:$F40,$F3,Z34:Z40)</f>
        <v>0</v>
      </c>
      <c r="AA33" s="7467">
        <f>SUMIF($F34:$F40,$F3,AA34:AA40)</f>
        <v>0</v>
      </c>
      <c r="AB33" s="7467">
        <f>SUMIF($F34:$F40,$F3,AB34:AB40)</f>
        <v>0</v>
      </c>
      <c r="AC33" s="7467">
        <f>SUMIF($F34:$F40,$F3,AC34:AC40)</f>
        <v>0</v>
      </c>
      <c r="AD33" s="7467">
        <f>SUMIF($F34:$F40,$F3,AD34:AD40)</f>
        <v>0</v>
      </c>
      <c r="AE33" s="7467">
        <f>SUMIF($F34:$F40,$F3,AE34:AE40)</f>
        <v>0</v>
      </c>
      <c r="AF33" s="7467">
        <f>SUMIF($F34:$F40,$F3,AF34:AF40)</f>
        <v>0</v>
      </c>
      <c r="AG33" s="7467">
        <f>SUMIF($F34:$F40,$F3,AG34:AG40)</f>
        <v>0</v>
      </c>
      <c r="AH33" s="7467">
        <f>SUMIF($F34:$F40,$F3,AH34:AH40)</f>
        <v>0</v>
      </c>
      <c r="AI33" s="7467">
        <f>SUMIF($F34:$F40,$F3,AI34:AI40)</f>
        <v>0</v>
      </c>
      <c r="AJ33" s="7467">
        <f>SUMIF($F34:$F40,$F3,AJ34:AJ40)</f>
        <v>0</v>
      </c>
      <c r="AK33" s="7467">
        <f>SUMIF($F34:$F40,$F3,AK34:AK40)</f>
        <v>0</v>
      </c>
      <c r="AL33" s="1949" t="str">
        <f>IF((LEN(E33)-LEN(SUBSTITUTE(E33,".","")))/LEN(".")=1,"p","")</f>
        <v>p</v>
      </c>
    </row>
    <row s="10822" customFormat="1" customHeight="1" ht="0.75">
      <c r="A34" s="2591"/>
      <c r="B34" s="2592" t="str">
        <f>E33&amp;".0"</f>
        <v>2.2.0</v>
      </c>
      <c r="C34" s="1428"/>
      <c r="D34" s="797"/>
      <c r="E34" s="798"/>
      <c r="F34" s="799"/>
      <c r="G34" s="800"/>
      <c r="H34" s="734"/>
      <c r="I34" s="734"/>
      <c r="J34" s="7476"/>
      <c r="K34" s="7476"/>
      <c r="L34" s="7476"/>
      <c r="M34" s="7476"/>
      <c r="N34" s="7476"/>
      <c r="O34" s="7476"/>
      <c r="P34" s="7476"/>
      <c r="Q34" s="7476"/>
      <c r="R34" s="7476"/>
      <c r="S34" s="7476"/>
      <c r="T34" s="7476"/>
      <c r="U34" s="7476"/>
      <c r="V34" s="7476"/>
      <c r="W34" s="7476"/>
      <c r="X34" s="7476"/>
      <c r="Y34" s="7476"/>
      <c r="Z34" s="7476"/>
      <c r="AA34" s="7476"/>
      <c r="AB34" s="7476"/>
      <c r="AC34" s="7476"/>
      <c r="AD34" s="7476"/>
      <c r="AE34" s="7476"/>
      <c r="AF34" s="7476"/>
      <c r="AG34" s="7476"/>
      <c r="AH34" s="7476"/>
      <c r="AI34" s="7476"/>
      <c r="AJ34" s="7476"/>
      <c r="AK34" s="7476"/>
      <c r="AL34" s="1949" t="str">
        <f>IF((LEN(E34)-LEN(SUBSTITUTE(E34,".","")))/LEN(".")=1,"p","")</f>
        <v/>
      </c>
      <c r="AM34" s="1949"/>
      <c r="AN34" s="1949"/>
      <c r="AO34" s="1949"/>
      <c r="AP34" s="1949"/>
      <c r="AQ34" s="1949"/>
      <c r="AR34" s="1949"/>
      <c r="AS34" s="1949"/>
      <c r="AT34" s="1949"/>
      <c r="AU34" s="1949"/>
      <c r="AV34" s="802"/>
      <c r="AW34" s="1949"/>
      <c r="AX34" s="1949"/>
      <c r="AY34" s="1949"/>
      <c r="AZ34" s="1949"/>
      <c r="BA34" s="1949"/>
      <c r="BB34" s="803"/>
      <c r="BC34" s="803"/>
      <c r="BD34" s="803"/>
      <c r="BE34" s="803"/>
      <c r="BF34" s="803"/>
    </row>
    <row s="10822" customFormat="1" customHeight="1" ht="0.75">
      <c r="A35" s="2591"/>
      <c r="B35" s="2592"/>
      <c r="C35" s="1428"/>
      <c r="D35" s="797"/>
      <c r="E35" s="804"/>
      <c r="F35" s="805"/>
      <c r="G35" s="800"/>
      <c r="H35" s="806"/>
      <c r="I35" s="806"/>
      <c r="J35" s="7482"/>
      <c r="K35" s="7482"/>
      <c r="L35" s="7482"/>
      <c r="M35" s="7482"/>
      <c r="N35" s="7482"/>
      <c r="O35" s="7482"/>
      <c r="P35" s="7482"/>
      <c r="Q35" s="7482"/>
      <c r="R35" s="7482"/>
      <c r="S35" s="7482"/>
      <c r="T35" s="7482"/>
      <c r="U35" s="7482"/>
      <c r="V35" s="7482"/>
      <c r="W35" s="7482"/>
      <c r="X35" s="7482"/>
      <c r="Y35" s="7482"/>
      <c r="Z35" s="7482"/>
      <c r="AA35" s="7482"/>
      <c r="AB35" s="7482"/>
      <c r="AC35" s="7482"/>
      <c r="AD35" s="7482"/>
      <c r="AE35" s="7482"/>
      <c r="AF35" s="7482"/>
      <c r="AG35" s="7482"/>
      <c r="AH35" s="7482"/>
      <c r="AI35" s="7482"/>
      <c r="AJ35" s="7482"/>
      <c r="AK35" s="7482"/>
      <c r="AL35" s="1949" t="str">
        <f>IF((LEN(E35)-LEN(SUBSTITUTE(E35,".","")))/LEN(".")=1,"p","")</f>
        <v/>
      </c>
      <c r="AM35" s="1949"/>
      <c r="AN35" s="1949"/>
      <c r="AO35" s="1949"/>
      <c r="AP35" s="1949"/>
      <c r="AQ35" s="1949"/>
      <c r="AR35" s="1949"/>
      <c r="AS35" s="1949"/>
      <c r="AT35" s="1949"/>
      <c r="AU35" s="1949"/>
      <c r="AV35" s="802"/>
      <c r="AW35" s="1949"/>
      <c r="AX35" s="1949"/>
      <c r="AY35" s="1949"/>
      <c r="AZ35" s="1949"/>
      <c r="BA35" s="1949"/>
      <c r="BB35" s="803"/>
      <c r="BC35" s="803"/>
      <c r="BD35" s="803"/>
      <c r="BE35" s="803"/>
      <c r="BF35" s="803"/>
    </row>
    <row s="10822" customFormat="1" customHeight="1" ht="0.75">
      <c r="A36" s="2591"/>
      <c r="B36" s="2592"/>
      <c r="C36" s="1428"/>
      <c r="D36" s="797"/>
      <c r="E36" s="804"/>
      <c r="F36" s="805"/>
      <c r="G36" s="800"/>
      <c r="H36" s="806"/>
      <c r="I36" s="806"/>
      <c r="J36" s="7482"/>
      <c r="K36" s="7482"/>
      <c r="L36" s="7482"/>
      <c r="M36" s="7482"/>
      <c r="N36" s="7482"/>
      <c r="O36" s="7482"/>
      <c r="P36" s="7482"/>
      <c r="Q36" s="7482"/>
      <c r="R36" s="7482"/>
      <c r="S36" s="7482"/>
      <c r="T36" s="7482"/>
      <c r="U36" s="7482"/>
      <c r="V36" s="7482"/>
      <c r="W36" s="7482"/>
      <c r="X36" s="7482"/>
      <c r="Y36" s="7482"/>
      <c r="Z36" s="7482"/>
      <c r="AA36" s="7482"/>
      <c r="AB36" s="7482"/>
      <c r="AC36" s="7482"/>
      <c r="AD36" s="7482"/>
      <c r="AE36" s="7482"/>
      <c r="AF36" s="7482"/>
      <c r="AG36" s="7482"/>
      <c r="AH36" s="7482"/>
      <c r="AI36" s="7482"/>
      <c r="AJ36" s="7482"/>
      <c r="AK36" s="7482"/>
      <c r="AL36" s="1949" t="str">
        <f>IF((LEN(E36)-LEN(SUBSTITUTE(E36,".","")))/LEN(".")=1,"p","")</f>
        <v/>
      </c>
      <c r="AM36" s="1949"/>
      <c r="AN36" s="1949"/>
      <c r="AO36" s="1949"/>
      <c r="AP36" s="1949"/>
      <c r="AQ36" s="1949"/>
      <c r="AR36" s="1949"/>
      <c r="AS36" s="1949"/>
      <c r="AT36" s="1949"/>
      <c r="AU36" s="1949"/>
      <c r="AV36" s="802"/>
      <c r="AW36" s="1949"/>
      <c r="AX36" s="1949"/>
      <c r="AY36" s="1949"/>
      <c r="AZ36" s="1949"/>
      <c r="BA36" s="1949"/>
      <c r="BB36" s="803"/>
      <c r="BC36" s="803"/>
      <c r="BD36" s="803"/>
      <c r="BE36" s="803"/>
      <c r="BF36" s="803"/>
    </row>
    <row s="10822" customFormat="1" customHeight="1" ht="0.75">
      <c r="A37" s="2591"/>
      <c r="B37" s="2592"/>
      <c r="C37" s="1428"/>
      <c r="D37" s="797"/>
      <c r="E37" s="804"/>
      <c r="F37" s="805"/>
      <c r="G37" s="800"/>
      <c r="H37" s="806"/>
      <c r="I37" s="806"/>
      <c r="J37" s="7482"/>
      <c r="K37" s="7482"/>
      <c r="L37" s="7482"/>
      <c r="M37" s="7482"/>
      <c r="N37" s="7482"/>
      <c r="O37" s="7482"/>
      <c r="P37" s="7482"/>
      <c r="Q37" s="7482"/>
      <c r="R37" s="7482"/>
      <c r="S37" s="7482"/>
      <c r="T37" s="7482"/>
      <c r="U37" s="7482"/>
      <c r="V37" s="7482"/>
      <c r="W37" s="7482"/>
      <c r="X37" s="7482"/>
      <c r="Y37" s="7482"/>
      <c r="Z37" s="7482"/>
      <c r="AA37" s="7482"/>
      <c r="AB37" s="7482"/>
      <c r="AC37" s="7482"/>
      <c r="AD37" s="7482"/>
      <c r="AE37" s="7482"/>
      <c r="AF37" s="7482"/>
      <c r="AG37" s="7482"/>
      <c r="AH37" s="7482"/>
      <c r="AI37" s="7482"/>
      <c r="AJ37" s="7482"/>
      <c r="AK37" s="7482"/>
      <c r="AL37" s="1949" t="str">
        <f>IF((LEN(E37)-LEN(SUBSTITUTE(E37,".","")))/LEN(".")=1,"p","")</f>
        <v/>
      </c>
      <c r="AM37" s="1949"/>
      <c r="AN37" s="1949"/>
      <c r="AO37" s="1949"/>
      <c r="AP37" s="1949"/>
      <c r="AQ37" s="1949"/>
      <c r="AR37" s="1949"/>
      <c r="AS37" s="1949"/>
      <c r="AT37" s="1949"/>
      <c r="AU37" s="1949"/>
      <c r="AV37" s="802"/>
      <c r="AW37" s="1949"/>
      <c r="AX37" s="1949"/>
      <c r="AY37" s="1949"/>
      <c r="AZ37" s="1949"/>
      <c r="BA37" s="1949"/>
      <c r="BB37" s="803"/>
      <c r="BC37" s="803"/>
      <c r="BD37" s="803"/>
      <c r="BE37" s="803"/>
      <c r="BF37" s="803"/>
    </row>
    <row s="10822" customFormat="1" customHeight="1" ht="0.75">
      <c r="A38" s="2591"/>
      <c r="B38" s="2592"/>
      <c r="C38" s="1428"/>
      <c r="D38" s="797"/>
      <c r="E38" s="804"/>
      <c r="F38" s="805"/>
      <c r="G38" s="800"/>
      <c r="H38" s="806"/>
      <c r="I38" s="806"/>
      <c r="J38" s="7482"/>
      <c r="K38" s="7482"/>
      <c r="L38" s="7482"/>
      <c r="M38" s="7482"/>
      <c r="N38" s="7482"/>
      <c r="O38" s="7482"/>
      <c r="P38" s="7482"/>
      <c r="Q38" s="7482"/>
      <c r="R38" s="7482"/>
      <c r="S38" s="7482"/>
      <c r="T38" s="7482"/>
      <c r="U38" s="7482"/>
      <c r="V38" s="7482"/>
      <c r="W38" s="7482"/>
      <c r="X38" s="7482"/>
      <c r="Y38" s="7482"/>
      <c r="Z38" s="7482"/>
      <c r="AA38" s="7482"/>
      <c r="AB38" s="7482"/>
      <c r="AC38" s="7482"/>
      <c r="AD38" s="7482"/>
      <c r="AE38" s="7482"/>
      <c r="AF38" s="7482"/>
      <c r="AG38" s="7482"/>
      <c r="AH38" s="7482"/>
      <c r="AI38" s="7482"/>
      <c r="AJ38" s="7482"/>
      <c r="AK38" s="7482"/>
      <c r="AL38" s="1949" t="str">
        <f>IF((LEN(E38)-LEN(SUBSTITUTE(E38,".","")))/LEN(".")=1,"p","")</f>
        <v/>
      </c>
      <c r="AM38" s="1949"/>
      <c r="AN38" s="1949"/>
      <c r="AO38" s="1949"/>
      <c r="AP38" s="1949"/>
      <c r="AQ38" s="1949"/>
      <c r="AR38" s="1949"/>
      <c r="AS38" s="1949"/>
      <c r="AT38" s="1949"/>
      <c r="AU38" s="1949"/>
      <c r="AV38" s="802"/>
      <c r="AW38" s="1949"/>
      <c r="AX38" s="1949"/>
      <c r="AY38" s="1949"/>
      <c r="AZ38" s="1949"/>
      <c r="BA38" s="1949"/>
      <c r="BB38" s="803"/>
      <c r="BC38" s="803"/>
      <c r="BD38" s="803"/>
      <c r="BE38" s="803"/>
      <c r="BF38" s="803"/>
    </row>
    <row s="10822" customFormat="1" customHeight="1" ht="0.75">
      <c r="A39" s="2591"/>
      <c r="B39" s="2592"/>
      <c r="C39" s="1428"/>
      <c r="D39" s="797"/>
      <c r="E39" s="804"/>
      <c r="F39" s="805"/>
      <c r="G39" s="800"/>
      <c r="H39" s="734"/>
      <c r="I39" s="734"/>
      <c r="J39" s="7476"/>
      <c r="K39" s="7476"/>
      <c r="L39" s="7476"/>
      <c r="M39" s="7476"/>
      <c r="N39" s="7476"/>
      <c r="O39" s="7476"/>
      <c r="P39" s="7476"/>
      <c r="Q39" s="7476"/>
      <c r="R39" s="7476"/>
      <c r="S39" s="7476"/>
      <c r="T39" s="7476"/>
      <c r="U39" s="7476"/>
      <c r="V39" s="7476"/>
      <c r="W39" s="7476"/>
      <c r="X39" s="7476"/>
      <c r="Y39" s="7476"/>
      <c r="Z39" s="7476"/>
      <c r="AA39" s="7476"/>
      <c r="AB39" s="7476"/>
      <c r="AC39" s="7476"/>
      <c r="AD39" s="7476"/>
      <c r="AE39" s="7476"/>
      <c r="AF39" s="7476"/>
      <c r="AG39" s="7476"/>
      <c r="AH39" s="7476"/>
      <c r="AI39" s="7476"/>
      <c r="AJ39" s="7476"/>
      <c r="AK39" s="7476"/>
      <c r="AL39" s="1949" t="str">
        <f>IF((LEN(E39)-LEN(SUBSTITUTE(E39,".","")))/LEN(".")=1,"p","")</f>
        <v/>
      </c>
      <c r="AM39" s="1949"/>
      <c r="AN39" s="1949"/>
      <c r="AO39" s="1949"/>
      <c r="AP39" s="1949"/>
      <c r="AQ39" s="1949"/>
      <c r="AR39" s="1949"/>
      <c r="AS39" s="1949"/>
      <c r="AT39" s="1949"/>
      <c r="AU39" s="1949"/>
      <c r="AV39" s="802"/>
      <c r="AW39" s="1949"/>
      <c r="AX39" s="1949"/>
      <c r="AY39" s="1949"/>
      <c r="AZ39" s="1949"/>
      <c r="BA39" s="1949"/>
      <c r="BB39" s="803"/>
      <c r="BC39" s="803"/>
      <c r="BD39" s="803"/>
      <c r="BE39" s="803"/>
      <c r="BF39" s="803"/>
    </row>
    <row s="11074" customFormat="1" customHeight="1" ht="15">
      <c r="A40" s="2591"/>
      <c r="C40" s="1949"/>
      <c r="D40" s="1946"/>
      <c r="E40" s="807"/>
      <c r="F40" s="808" t="s">
        <v>1779</v>
      </c>
      <c r="G40" s="809"/>
      <c r="H40" s="810"/>
      <c r="I40" s="810"/>
      <c r="J40" s="7485"/>
      <c r="K40" s="7486"/>
      <c r="L40" s="7487"/>
      <c r="M40" s="7488"/>
      <c r="N40" s="7489"/>
      <c r="O40" s="7490"/>
      <c r="P40" s="7491"/>
      <c r="Q40" s="7492"/>
      <c r="R40" s="7493"/>
      <c r="S40" s="7494"/>
      <c r="T40" s="7495"/>
      <c r="U40" s="7496"/>
      <c r="V40" s="7497"/>
      <c r="W40" s="7498"/>
      <c r="X40" s="7499"/>
      <c r="Y40" s="7500"/>
      <c r="Z40" s="7501"/>
      <c r="AA40" s="7502"/>
      <c r="AB40" s="7503"/>
      <c r="AC40" s="7504"/>
      <c r="AD40" s="7505"/>
      <c r="AE40" s="7506"/>
      <c r="AF40" s="7507"/>
      <c r="AG40" s="7508"/>
      <c r="AH40" s="7509"/>
      <c r="AI40" s="7510"/>
      <c r="AJ40" s="7511"/>
      <c r="AK40" s="7512"/>
      <c r="AL40" s="1949" t="str">
        <f>IF((LEN(E40)-LEN(SUBSTITUTE(E40,".","")))/LEN(".")=1,"p","")</f>
        <v/>
      </c>
      <c r="AM40" s="1949"/>
      <c r="AN40" s="1949"/>
      <c r="AS40" s="1949"/>
      <c r="AV40" s="781"/>
      <c r="BB40" s="1945"/>
      <c r="BC40" s="1945"/>
      <c r="BD40" s="1945"/>
      <c r="BE40" s="1945"/>
      <c r="BF40" s="1945"/>
    </row>
    <row customHeight="1" ht="11.25" hidden="1">
      <c r="A41" s="2591" t="s">
        <v>1780</v>
      </c>
      <c r="D41" s="1951"/>
      <c r="E41" s="783" t="str">
        <f>FHD_NUM_P_5</f>
        <v/>
      </c>
      <c r="F41" s="1210" t="str">
        <f>FHD_P_5</f>
        <v/>
      </c>
      <c r="G41" s="1959" t="s">
        <v>1772</v>
      </c>
      <c r="H41" s="794"/>
      <c r="I41" s="794"/>
      <c r="J41" s="7466"/>
      <c r="K41" s="7466"/>
      <c r="L41" s="7466"/>
      <c r="M41" s="7466"/>
      <c r="N41" s="7466"/>
      <c r="O41" s="7466"/>
      <c r="P41" s="7466"/>
      <c r="Q41" s="7466"/>
      <c r="R41" s="7466"/>
      <c r="S41" s="7466"/>
      <c r="T41" s="7466"/>
      <c r="U41" s="7466"/>
      <c r="V41" s="7466"/>
      <c r="W41" s="7466"/>
      <c r="X41" s="7466"/>
      <c r="Y41" s="7466"/>
      <c r="Z41" s="7466"/>
      <c r="AA41" s="7466"/>
      <c r="AB41" s="7466"/>
      <c r="AC41" s="7466"/>
      <c r="AD41" s="7466"/>
      <c r="AE41" s="7466"/>
      <c r="AF41" s="7466"/>
      <c r="AG41" s="7466"/>
      <c r="AH41" s="7466"/>
      <c r="AI41" s="7466"/>
      <c r="AJ41" s="7466"/>
      <c r="AK41" s="7466"/>
      <c r="AL41" s="1949" t="str">
        <f>IF((LEN(E41)-LEN(SUBSTITUTE(E41,".","")))/LEN(".")=1,"p","")</f>
        <v/>
      </c>
    </row>
    <row customHeight="1" ht="11.25" hidden="1">
      <c r="A42" s="2591"/>
      <c r="D42" s="1951"/>
      <c r="E42" s="783" t="str">
        <f>FHD_NUM_P_6</f>
        <v/>
      </c>
      <c r="F42" s="1210" t="str">
        <f>FHD_P_6</f>
        <v/>
      </c>
      <c r="G42" s="1959" t="s">
        <v>1772</v>
      </c>
      <c r="H42" s="794"/>
      <c r="I42" s="794"/>
      <c r="J42" s="7466"/>
      <c r="K42" s="7466"/>
      <c r="L42" s="7466"/>
      <c r="M42" s="7466"/>
      <c r="N42" s="7466"/>
      <c r="O42" s="7466"/>
      <c r="P42" s="7466"/>
      <c r="Q42" s="7466"/>
      <c r="R42" s="7466"/>
      <c r="S42" s="7466"/>
      <c r="T42" s="7466"/>
      <c r="U42" s="7466"/>
      <c r="V42" s="7466"/>
      <c r="W42" s="7466"/>
      <c r="X42" s="7466"/>
      <c r="Y42" s="7466"/>
      <c r="Z42" s="7466"/>
      <c r="AA42" s="7466"/>
      <c r="AB42" s="7466"/>
      <c r="AC42" s="7466"/>
      <c r="AD42" s="7466"/>
      <c r="AE42" s="7466"/>
      <c r="AF42" s="7466"/>
      <c r="AG42" s="7466"/>
      <c r="AH42" s="7466"/>
      <c r="AI42" s="7466"/>
      <c r="AJ42" s="7466"/>
      <c r="AK42" s="7466"/>
      <c r="AL42" s="1949" t="str">
        <f>IF((LEN(E42)-LEN(SUBSTITUTE(E42,".","")))/LEN(".")=1,"p","")</f>
        <v/>
      </c>
    </row>
    <row customHeight="1" ht="11.25" hidden="1">
      <c r="A43" s="2591"/>
      <c r="D43" s="1951"/>
      <c r="E43" s="783" t="str">
        <f>FHD_NUM_P_7</f>
        <v/>
      </c>
      <c r="F43" s="1210" t="str">
        <f>FHD_P_7</f>
        <v/>
      </c>
      <c r="G43" s="1959" t="s">
        <v>1772</v>
      </c>
      <c r="H43" s="794"/>
      <c r="I43" s="794"/>
      <c r="J43" s="7466"/>
      <c r="K43" s="7466"/>
      <c r="L43" s="7466"/>
      <c r="M43" s="7466"/>
      <c r="N43" s="7466"/>
      <c r="O43" s="7466"/>
      <c r="P43" s="7466"/>
      <c r="Q43" s="7466"/>
      <c r="R43" s="7466"/>
      <c r="S43" s="7466"/>
      <c r="T43" s="7466"/>
      <c r="U43" s="7466"/>
      <c r="V43" s="7466"/>
      <c r="W43" s="7466"/>
      <c r="X43" s="7466"/>
      <c r="Y43" s="7466"/>
      <c r="Z43" s="7466"/>
      <c r="AA43" s="7466"/>
      <c r="AB43" s="7466"/>
      <c r="AC43" s="7466"/>
      <c r="AD43" s="7466"/>
      <c r="AE43" s="7466"/>
      <c r="AF43" s="7466"/>
      <c r="AG43" s="7466"/>
      <c r="AH43" s="7466"/>
      <c r="AI43" s="7466"/>
      <c r="AJ43" s="7466"/>
      <c r="AK43" s="7466"/>
      <c r="AL43" s="1949" t="str">
        <f>IF((LEN(E43)-LEN(SUBSTITUTE(E43,".","")))/LEN(".")=1,"p","")</f>
        <v/>
      </c>
    </row>
    <row customHeight="1" ht="11.25">
      <c r="D44" s="1951"/>
      <c r="E44" s="783" t="str">
        <f>FHD_NUM_P_8</f>
        <v>2.3</v>
      </c>
      <c r="F44" s="1210" t="str">
        <f>FHD_P_8</f>
        <v>Расходы на приобретаемую электрическую энергию (мощность), используемую в технологическом процессе</v>
      </c>
      <c r="G44" s="1959" t="s">
        <v>1772</v>
      </c>
      <c r="H44" s="794"/>
      <c r="I44" s="794"/>
      <c r="J44" s="7466"/>
      <c r="K44" s="7466"/>
      <c r="L44" s="7466"/>
      <c r="M44" s="7466"/>
      <c r="N44" s="7466"/>
      <c r="O44" s="7466"/>
      <c r="P44" s="7466"/>
      <c r="Q44" s="7466"/>
      <c r="R44" s="7466"/>
      <c r="S44" s="7466"/>
      <c r="T44" s="7466"/>
      <c r="U44" s="7466"/>
      <c r="V44" s="7466"/>
      <c r="W44" s="7466"/>
      <c r="X44" s="7466"/>
      <c r="Y44" s="7466"/>
      <c r="Z44" s="7466"/>
      <c r="AA44" s="7466"/>
      <c r="AB44" s="7466"/>
      <c r="AC44" s="7466"/>
      <c r="AD44" s="7466"/>
      <c r="AE44" s="7466"/>
      <c r="AF44" s="7466"/>
      <c r="AG44" s="7466"/>
      <c r="AH44" s="7466"/>
      <c r="AI44" s="7466"/>
      <c r="AJ44" s="7466"/>
      <c r="AK44" s="7466"/>
      <c r="AL44" s="1949" t="str">
        <f>IF((LEN(E44)-LEN(SUBSTITUTE(E44,".","")))/LEN(".")=1,"p","")</f>
        <v>p</v>
      </c>
    </row>
    <row customHeight="1" ht="11.25">
      <c r="D45" s="1951"/>
      <c r="E45" s="783" t="str">
        <f>FHD_NUM_P_9</f>
        <v>2.3.1</v>
      </c>
      <c r="F45" s="1963" t="str">
        <f>FHD_P_9</f>
        <v>Средневзвешенная стоимость 1 кВт.ч (с учетом мощности)</v>
      </c>
      <c r="G45" s="1959" t="s">
        <v>1672</v>
      </c>
      <c r="H45" s="794"/>
      <c r="I45" s="794"/>
      <c r="J45" s="7466"/>
      <c r="K45" s="7466"/>
      <c r="L45" s="7466"/>
      <c r="M45" s="7466"/>
      <c r="N45" s="7466"/>
      <c r="O45" s="7466"/>
      <c r="P45" s="7466"/>
      <c r="Q45" s="7466"/>
      <c r="R45" s="7466"/>
      <c r="S45" s="7466"/>
      <c r="T45" s="7466"/>
      <c r="U45" s="7466"/>
      <c r="V45" s="7466"/>
      <c r="W45" s="7466"/>
      <c r="X45" s="7466"/>
      <c r="Y45" s="7466"/>
      <c r="Z45" s="7466"/>
      <c r="AA45" s="7466"/>
      <c r="AB45" s="7466"/>
      <c r="AC45" s="7466"/>
      <c r="AD45" s="7466"/>
      <c r="AE45" s="7466"/>
      <c r="AF45" s="7466"/>
      <c r="AG45" s="7466"/>
      <c r="AH45" s="7466"/>
      <c r="AI45" s="7466"/>
      <c r="AJ45" s="7466"/>
      <c r="AK45" s="7466"/>
      <c r="AL45" s="1949" t="str">
        <f>IF((LEN(E45)-LEN(SUBSTITUTE(E45,".","")))/LEN(".")=1,"p","")</f>
        <v/>
      </c>
    </row>
    <row s="11074" customFormat="1" customHeight="1" ht="11.25">
      <c r="A46" s="1243"/>
      <c r="C46" s="1949"/>
      <c r="D46" s="811"/>
      <c r="E46" s="783" t="str">
        <f>FHD_NUM_P_10</f>
        <v>2.3.2</v>
      </c>
      <c r="F46" s="1963" t="str">
        <f>FHD_P_10</f>
        <v>Объём приобретения электрической энергии</v>
      </c>
      <c r="G46" s="1959" t="s">
        <v>1781</v>
      </c>
      <c r="H46" s="794"/>
      <c r="I46" s="794"/>
      <c r="J46" s="7466"/>
      <c r="K46" s="7466"/>
      <c r="L46" s="7466"/>
      <c r="M46" s="7466"/>
      <c r="N46" s="7466"/>
      <c r="O46" s="7466"/>
      <c r="P46" s="7466"/>
      <c r="Q46" s="7466"/>
      <c r="R46" s="7466"/>
      <c r="S46" s="7466"/>
      <c r="T46" s="7466"/>
      <c r="U46" s="7466"/>
      <c r="V46" s="7466"/>
      <c r="W46" s="7466"/>
      <c r="X46" s="7466"/>
      <c r="Y46" s="7466"/>
      <c r="Z46" s="7466"/>
      <c r="AA46" s="7466"/>
      <c r="AB46" s="7466"/>
      <c r="AC46" s="7466"/>
      <c r="AD46" s="7466"/>
      <c r="AE46" s="7466"/>
      <c r="AF46" s="7466"/>
      <c r="AG46" s="7466"/>
      <c r="AH46" s="7466"/>
      <c r="AI46" s="7466"/>
      <c r="AJ46" s="7466"/>
      <c r="AK46" s="7466"/>
      <c r="AL46" s="1949" t="str">
        <f>IF((LEN(E46)-LEN(SUBSTITUTE(E46,".","")))/LEN(".")=1,"p","")</f>
        <v/>
      </c>
      <c r="AM46" s="1949"/>
      <c r="AN46" s="1949"/>
      <c r="AS46" s="1949"/>
      <c r="AV46" s="781"/>
      <c r="BB46" s="1945"/>
      <c r="BC46" s="1945"/>
      <c r="BD46" s="1945"/>
      <c r="BE46" s="1945"/>
      <c r="BF46" s="1945"/>
    </row>
    <row s="11074" customFormat="1" customHeight="1" ht="11.25">
      <c r="A47" s="1245" t="s">
        <v>1782</v>
      </c>
      <c r="C47" s="1949"/>
      <c r="D47" s="812"/>
      <c r="E47" s="783" t="str">
        <f>FHD_NUM_P_11</f>
        <v>2.4</v>
      </c>
      <c r="F47" s="1210" t="str">
        <f>FHD_P_11</f>
        <v>Расходы на приобретение холодной воды, используемой в технологическом процессе</v>
      </c>
      <c r="G47" s="1959" t="s">
        <v>1772</v>
      </c>
      <c r="H47" s="794"/>
      <c r="I47" s="794"/>
      <c r="J47" s="7466"/>
      <c r="K47" s="7466"/>
      <c r="L47" s="7466"/>
      <c r="M47" s="7466"/>
      <c r="N47" s="7466"/>
      <c r="O47" s="7466"/>
      <c r="P47" s="7466"/>
      <c r="Q47" s="7466"/>
      <c r="R47" s="7466"/>
      <c r="S47" s="7466"/>
      <c r="T47" s="7466"/>
      <c r="U47" s="7466"/>
      <c r="V47" s="7466"/>
      <c r="W47" s="7466"/>
      <c r="X47" s="7466"/>
      <c r="Y47" s="7466"/>
      <c r="Z47" s="7466"/>
      <c r="AA47" s="7466"/>
      <c r="AB47" s="7466"/>
      <c r="AC47" s="7466"/>
      <c r="AD47" s="7466"/>
      <c r="AE47" s="7466"/>
      <c r="AF47" s="7466"/>
      <c r="AG47" s="7466"/>
      <c r="AH47" s="7466"/>
      <c r="AI47" s="7466"/>
      <c r="AJ47" s="7466"/>
      <c r="AK47" s="7466"/>
      <c r="AL47" s="1949" t="str">
        <f>IF((LEN(E47)-LEN(SUBSTITUTE(E47,".","")))/LEN(".")=1,"p","")</f>
        <v>p</v>
      </c>
      <c r="AM47" s="1949"/>
      <c r="AN47" s="1949"/>
      <c r="AS47" s="1949"/>
      <c r="AV47" s="781"/>
      <c r="BB47" s="1945"/>
      <c r="BC47" s="1945"/>
      <c r="BD47" s="1945"/>
      <c r="BE47" s="1945"/>
      <c r="BF47" s="1945"/>
    </row>
    <row s="11074" customFormat="1" customHeight="1" ht="18">
      <c r="A48" s="1245" t="s">
        <v>1783</v>
      </c>
      <c r="C48" s="1949"/>
      <c r="D48" s="1951"/>
      <c r="E48" s="783" t="str">
        <f>FHD_NUM_P_12</f>
        <v>2.5</v>
      </c>
      <c r="F48" s="1210" t="str">
        <f>FHD_P_12</f>
        <v>Расходы на химические реагенты, используемые в технологическом процессе</v>
      </c>
      <c r="G48" s="1959" t="s">
        <v>1772</v>
      </c>
      <c r="H48" s="814"/>
      <c r="I48" s="814"/>
      <c r="J48" s="7518"/>
      <c r="K48" s="7518"/>
      <c r="L48" s="7518"/>
      <c r="M48" s="7518"/>
      <c r="N48" s="7518"/>
      <c r="O48" s="7518"/>
      <c r="P48" s="7518"/>
      <c r="Q48" s="7518"/>
      <c r="R48" s="7518"/>
      <c r="S48" s="7518"/>
      <c r="T48" s="7518"/>
      <c r="U48" s="7518"/>
      <c r="V48" s="7518"/>
      <c r="W48" s="7518"/>
      <c r="X48" s="7518"/>
      <c r="Y48" s="7518"/>
      <c r="Z48" s="7518"/>
      <c r="AA48" s="7518"/>
      <c r="AB48" s="7518"/>
      <c r="AC48" s="7518"/>
      <c r="AD48" s="7518"/>
      <c r="AE48" s="7518"/>
      <c r="AF48" s="7518"/>
      <c r="AG48" s="7518"/>
      <c r="AH48" s="7518"/>
      <c r="AI48" s="7518"/>
      <c r="AJ48" s="7518"/>
      <c r="AK48" s="7518"/>
      <c r="AL48" s="1949" t="str">
        <f>IF((LEN(E48)-LEN(SUBSTITUTE(E48,".","")))/LEN(".")=1,"p","")</f>
        <v>p</v>
      </c>
      <c r="AM48" s="1949"/>
      <c r="AN48" s="1949"/>
      <c r="AS48" s="1949"/>
      <c r="AV48" s="781"/>
      <c r="BB48" s="1945"/>
      <c r="BC48" s="1945"/>
      <c r="BD48" s="1945"/>
      <c r="BE48" s="1945"/>
      <c r="BF48" s="1945"/>
    </row>
    <row s="10626" customFormat="1" customHeight="1" ht="11.25">
      <c r="A49" s="1244"/>
      <c r="C49" s="968"/>
      <c r="D49" s="910"/>
      <c r="E49" s="783" t="str">
        <f>FHD_NUM_P_13</f>
        <v>2.6</v>
      </c>
      <c r="F49" s="1210" t="str">
        <f>FHD_P_13</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G49" s="1959" t="s">
        <v>1772</v>
      </c>
      <c r="H49" s="794"/>
      <c r="I49" s="794"/>
      <c r="J49" s="7466"/>
      <c r="K49" s="7466"/>
      <c r="L49" s="7466"/>
      <c r="M49" s="7466"/>
      <c r="N49" s="7466"/>
      <c r="O49" s="7466"/>
      <c r="P49" s="7466"/>
      <c r="Q49" s="7466"/>
      <c r="R49" s="7466"/>
      <c r="S49" s="7466"/>
      <c r="T49" s="7466"/>
      <c r="U49" s="7466"/>
      <c r="V49" s="7466"/>
      <c r="W49" s="7466"/>
      <c r="X49" s="7466"/>
      <c r="Y49" s="7466"/>
      <c r="Z49" s="7466"/>
      <c r="AA49" s="7466"/>
      <c r="AB49" s="7466"/>
      <c r="AC49" s="7466"/>
      <c r="AD49" s="7466"/>
      <c r="AE49" s="7466"/>
      <c r="AF49" s="7466"/>
      <c r="AG49" s="7466"/>
      <c r="AH49" s="7466"/>
      <c r="AI49" s="7466"/>
      <c r="AJ49" s="7466"/>
      <c r="AK49" s="7466"/>
      <c r="AL49" s="1949" t="str">
        <f>IF((LEN(E49)-LEN(SUBSTITUTE(E49,".","")))/LEN(".")=1,"p","")</f>
        <v>p</v>
      </c>
      <c r="AM49" s="968"/>
      <c r="AN49" s="968"/>
      <c r="AS49" s="968"/>
      <c r="AV49" s="969"/>
      <c r="BB49" s="970"/>
      <c r="BC49" s="970"/>
      <c r="BD49" s="970"/>
      <c r="BE49" s="970"/>
      <c r="BF49" s="970"/>
    </row>
    <row s="10626" customFormat="1" customHeight="1" ht="11.25">
      <c r="A50" s="1244"/>
      <c r="C50" s="968"/>
      <c r="D50" s="910"/>
      <c r="E50" s="783" t="str">
        <f>FHD_NUM_P_14</f>
        <v>2.6.1</v>
      </c>
      <c r="F50" s="1963" t="str">
        <f>FHD_P_14</f>
        <v>Расходы на оплату труда основного производственного персонала</v>
      </c>
      <c r="G50" s="1959" t="s">
        <v>1772</v>
      </c>
      <c r="H50" s="794"/>
      <c r="I50" s="794"/>
      <c r="J50" s="7466"/>
      <c r="K50" s="7466"/>
      <c r="L50" s="7466"/>
      <c r="M50" s="7466"/>
      <c r="N50" s="7466"/>
      <c r="O50" s="7466"/>
      <c r="P50" s="7466"/>
      <c r="Q50" s="7466"/>
      <c r="R50" s="7466"/>
      <c r="S50" s="7466"/>
      <c r="T50" s="7466"/>
      <c r="U50" s="7466"/>
      <c r="V50" s="7466"/>
      <c r="W50" s="7466"/>
      <c r="X50" s="7466"/>
      <c r="Y50" s="7466"/>
      <c r="Z50" s="7466"/>
      <c r="AA50" s="7466"/>
      <c r="AB50" s="7466"/>
      <c r="AC50" s="7466"/>
      <c r="AD50" s="7466"/>
      <c r="AE50" s="7466"/>
      <c r="AF50" s="7466"/>
      <c r="AG50" s="7466"/>
      <c r="AH50" s="7466"/>
      <c r="AI50" s="7466"/>
      <c r="AJ50" s="7466"/>
      <c r="AK50" s="7466"/>
      <c r="AL50" s="1949" t="str">
        <f>IF((LEN(E50)-LEN(SUBSTITUTE(E50,".","")))/LEN(".")=1,"p","")</f>
        <v/>
      </c>
      <c r="AM50" s="968"/>
      <c r="AN50" s="968"/>
      <c r="AS50" s="968"/>
      <c r="AV50" s="969"/>
      <c r="BB50" s="970"/>
      <c r="BC50" s="970"/>
      <c r="BD50" s="970"/>
      <c r="BE50" s="970"/>
      <c r="BF50" s="970"/>
    </row>
    <row s="10626" customFormat="1" customHeight="1" ht="11.25">
      <c r="A51" s="1244"/>
      <c r="C51" s="968"/>
      <c r="D51" s="910"/>
      <c r="E51" s="783" t="str">
        <f>FHD_NUM_P_15</f>
        <v>2.6.2</v>
      </c>
      <c r="F51" s="1963" t="str">
        <f>FHD_P_15</f>
        <v>Страховые взносы на обязательное социальное страхование, выплачиваемые из фонда оплаты труда основного производственного персонала</v>
      </c>
      <c r="G51" s="1959" t="s">
        <v>1772</v>
      </c>
      <c r="H51" s="794"/>
      <c r="I51" s="794"/>
      <c r="J51" s="7466"/>
      <c r="K51" s="7466"/>
      <c r="L51" s="7466"/>
      <c r="M51" s="7466"/>
      <c r="N51" s="7466"/>
      <c r="O51" s="7466"/>
      <c r="P51" s="7466"/>
      <c r="Q51" s="7466"/>
      <c r="R51" s="7466"/>
      <c r="S51" s="7466"/>
      <c r="T51" s="7466"/>
      <c r="U51" s="7466"/>
      <c r="V51" s="7466"/>
      <c r="W51" s="7466"/>
      <c r="X51" s="7466"/>
      <c r="Y51" s="7466"/>
      <c r="Z51" s="7466"/>
      <c r="AA51" s="7466"/>
      <c r="AB51" s="7466"/>
      <c r="AC51" s="7466"/>
      <c r="AD51" s="7466"/>
      <c r="AE51" s="7466"/>
      <c r="AF51" s="7466"/>
      <c r="AG51" s="7466"/>
      <c r="AH51" s="7466"/>
      <c r="AI51" s="7466"/>
      <c r="AJ51" s="7466"/>
      <c r="AK51" s="7466"/>
      <c r="AL51" s="1949" t="str">
        <f>IF((LEN(E51)-LEN(SUBSTITUTE(E51,".","")))/LEN(".")=1,"p","")</f>
        <v/>
      </c>
      <c r="AM51" s="968"/>
      <c r="AN51" s="968"/>
      <c r="AS51" s="968"/>
      <c r="AV51" s="969"/>
      <c r="BB51" s="970"/>
      <c r="BC51" s="970"/>
      <c r="BD51" s="970"/>
      <c r="BE51" s="970"/>
      <c r="BF51" s="970"/>
    </row>
    <row s="11074" customFormat="1" customHeight="1" ht="11.25">
      <c r="A52" s="1243"/>
      <c r="C52" s="1949"/>
      <c r="D52" s="1951"/>
      <c r="E52" s="783" t="str">
        <f>FHD_NUM_P_16</f>
        <v>2.7</v>
      </c>
      <c r="F52" s="1210" t="str">
        <f>FHD_P_16</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G52" s="1959" t="s">
        <v>1772</v>
      </c>
      <c r="H52" s="794"/>
      <c r="I52" s="794"/>
      <c r="J52" s="7466"/>
      <c r="K52" s="7466"/>
      <c r="L52" s="7466"/>
      <c r="M52" s="7466"/>
      <c r="N52" s="7466"/>
      <c r="O52" s="7466"/>
      <c r="P52" s="7466"/>
      <c r="Q52" s="7466"/>
      <c r="R52" s="7466"/>
      <c r="S52" s="7466"/>
      <c r="T52" s="7466"/>
      <c r="U52" s="7466"/>
      <c r="V52" s="7466"/>
      <c r="W52" s="7466"/>
      <c r="X52" s="7466"/>
      <c r="Y52" s="7466"/>
      <c r="Z52" s="7466"/>
      <c r="AA52" s="7466"/>
      <c r="AB52" s="7466"/>
      <c r="AC52" s="7466"/>
      <c r="AD52" s="7466"/>
      <c r="AE52" s="7466"/>
      <c r="AF52" s="7466"/>
      <c r="AG52" s="7466"/>
      <c r="AH52" s="7466"/>
      <c r="AI52" s="7466"/>
      <c r="AJ52" s="7466"/>
      <c r="AK52" s="7466"/>
      <c r="AL52" s="1949" t="str">
        <f>IF((LEN(E52)-LEN(SUBSTITUTE(E52,".","")))/LEN(".")=1,"p","")</f>
        <v>p</v>
      </c>
      <c r="AM52" s="1949"/>
      <c r="AN52" s="1955"/>
      <c r="AO52" s="774"/>
      <c r="AP52" s="774"/>
      <c r="AS52" s="1949"/>
      <c r="AV52" s="781"/>
      <c r="BB52" s="1945"/>
      <c r="BC52" s="1945"/>
      <c r="BD52" s="1945"/>
      <c r="BE52" s="1945"/>
      <c r="BF52" s="1945"/>
    </row>
    <row s="11074" customFormat="1" customHeight="1" ht="11.25">
      <c r="A53" s="1243"/>
      <c r="C53" s="1949"/>
      <c r="D53" s="1951"/>
      <c r="E53" s="783" t="str">
        <f>FHD_NUM_P_17</f>
        <v>2.7.1</v>
      </c>
      <c r="F53" s="1963" t="str">
        <f>FHD_P_17</f>
        <v>Расходы на оплату труда административно-управленческого персонала</v>
      </c>
      <c r="G53" s="1959" t="s">
        <v>1772</v>
      </c>
      <c r="H53" s="794"/>
      <c r="I53" s="794"/>
      <c r="J53" s="7466"/>
      <c r="K53" s="7466"/>
      <c r="L53" s="7466"/>
      <c r="M53" s="7466"/>
      <c r="N53" s="7466"/>
      <c r="O53" s="7466"/>
      <c r="P53" s="7466"/>
      <c r="Q53" s="7466"/>
      <c r="R53" s="7466"/>
      <c r="S53" s="7466"/>
      <c r="T53" s="7466"/>
      <c r="U53" s="7466"/>
      <c r="V53" s="7466"/>
      <c r="W53" s="7466"/>
      <c r="X53" s="7466"/>
      <c r="Y53" s="7466"/>
      <c r="Z53" s="7466"/>
      <c r="AA53" s="7466"/>
      <c r="AB53" s="7466"/>
      <c r="AC53" s="7466"/>
      <c r="AD53" s="7466"/>
      <c r="AE53" s="7466"/>
      <c r="AF53" s="7466"/>
      <c r="AG53" s="7466"/>
      <c r="AH53" s="7466"/>
      <c r="AI53" s="7466"/>
      <c r="AJ53" s="7466"/>
      <c r="AK53" s="7466"/>
      <c r="AL53" s="1949" t="str">
        <f>IF((LEN(E53)-LEN(SUBSTITUTE(E53,".","")))/LEN(".")=1,"p","")</f>
        <v/>
      </c>
      <c r="AM53" s="1949"/>
      <c r="AN53" s="1955"/>
      <c r="AO53" s="774"/>
      <c r="AP53" s="774"/>
      <c r="AS53" s="1949"/>
      <c r="AV53" s="781"/>
      <c r="BB53" s="1945"/>
      <c r="BC53" s="1945"/>
      <c r="BD53" s="1945"/>
      <c r="BE53" s="1945"/>
      <c r="BF53" s="1945"/>
    </row>
    <row s="11074" customFormat="1" customHeight="1" ht="11.25">
      <c r="A54" s="1243"/>
      <c r="C54" s="1949"/>
      <c r="D54" s="1951"/>
      <c r="E54" s="783" t="str">
        <f>FHD_NUM_P_18</f>
        <v>2.7.2</v>
      </c>
      <c r="F54" s="1963" t="str">
        <f>FHD_P_18</f>
        <v>Страховые взносы на обязательное социальное страхование, выплачиваемые из фонда оплаты труда административно-управленческого персонала</v>
      </c>
      <c r="G54" s="1959" t="s">
        <v>1772</v>
      </c>
      <c r="H54" s="794"/>
      <c r="I54" s="794"/>
      <c r="J54" s="7466"/>
      <c r="K54" s="7466"/>
      <c r="L54" s="7466"/>
      <c r="M54" s="7466"/>
      <c r="N54" s="7466"/>
      <c r="O54" s="7466"/>
      <c r="P54" s="7466"/>
      <c r="Q54" s="7466"/>
      <c r="R54" s="7466"/>
      <c r="S54" s="7466"/>
      <c r="T54" s="7466"/>
      <c r="U54" s="7466"/>
      <c r="V54" s="7466"/>
      <c r="W54" s="7466"/>
      <c r="X54" s="7466"/>
      <c r="Y54" s="7466"/>
      <c r="Z54" s="7466"/>
      <c r="AA54" s="7466"/>
      <c r="AB54" s="7466"/>
      <c r="AC54" s="7466"/>
      <c r="AD54" s="7466"/>
      <c r="AE54" s="7466"/>
      <c r="AF54" s="7466"/>
      <c r="AG54" s="7466"/>
      <c r="AH54" s="7466"/>
      <c r="AI54" s="7466"/>
      <c r="AJ54" s="7466"/>
      <c r="AK54" s="7466"/>
      <c r="AL54" s="1949" t="str">
        <f>IF((LEN(E54)-LEN(SUBSTITUTE(E54,".","")))/LEN(".")=1,"p","")</f>
        <v/>
      </c>
      <c r="AM54" s="1949"/>
      <c r="AN54" s="1955"/>
      <c r="AO54" s="774"/>
      <c r="AP54" s="774"/>
      <c r="AS54" s="1949"/>
      <c r="AV54" s="781"/>
      <c r="BB54" s="1945"/>
      <c r="BC54" s="1945"/>
      <c r="BD54" s="1945"/>
      <c r="BE54" s="1945"/>
      <c r="BF54" s="1945"/>
    </row>
    <row s="11074" customFormat="1" customHeight="1" ht="11.25">
      <c r="A55" s="1243"/>
      <c r="C55" s="1949"/>
      <c r="D55" s="812"/>
      <c r="E55" s="783" t="str">
        <f>FHD_NUM_P_19</f>
        <v>2.8</v>
      </c>
      <c r="F55" s="1210" t="str">
        <f>FHD_P_19</f>
        <v>Расходы на амортизацию основных средств и нематериальных активов</v>
      </c>
      <c r="G55" s="1959" t="s">
        <v>1772</v>
      </c>
      <c r="H55" s="794"/>
      <c r="I55" s="794"/>
      <c r="J55" s="7466"/>
      <c r="K55" s="7466"/>
      <c r="L55" s="7466"/>
      <c r="M55" s="7466"/>
      <c r="N55" s="7466"/>
      <c r="O55" s="7466"/>
      <c r="P55" s="7466"/>
      <c r="Q55" s="7466"/>
      <c r="R55" s="7466"/>
      <c r="S55" s="7466"/>
      <c r="T55" s="7466"/>
      <c r="U55" s="7466"/>
      <c r="V55" s="7466"/>
      <c r="W55" s="7466"/>
      <c r="X55" s="7466"/>
      <c r="Y55" s="7466"/>
      <c r="Z55" s="7466"/>
      <c r="AA55" s="7466"/>
      <c r="AB55" s="7466"/>
      <c r="AC55" s="7466"/>
      <c r="AD55" s="7466"/>
      <c r="AE55" s="7466"/>
      <c r="AF55" s="7466"/>
      <c r="AG55" s="7466"/>
      <c r="AH55" s="7466"/>
      <c r="AI55" s="7466"/>
      <c r="AJ55" s="7466"/>
      <c r="AK55" s="7466"/>
      <c r="AL55" s="1949" t="str">
        <f>IF((LEN(E55)-LEN(SUBSTITUTE(E55,".","")))/LEN(".")=1,"p","")</f>
        <v>p</v>
      </c>
      <c r="AM55" s="1949"/>
      <c r="AN55" s="1949"/>
      <c r="AS55" s="1949"/>
      <c r="AV55" s="781"/>
      <c r="BB55" s="1945"/>
      <c r="BC55" s="1945"/>
      <c r="BD55" s="1945"/>
      <c r="BE55" s="1945"/>
      <c r="BF55" s="1945"/>
    </row>
    <row s="11074" customFormat="1" customHeight="1" ht="11.25">
      <c r="A56" s="1243"/>
      <c r="C56" s="1949"/>
      <c r="D56" s="812"/>
      <c r="E56" s="783" t="str">
        <f>FHD_NUM_P_20</f>
        <v>2.8.1</v>
      </c>
      <c r="F56" s="1963" t="str">
        <f>FHD_P_20</f>
        <v>Расходы на амортизацию основных средств</v>
      </c>
      <c r="G56" s="1959" t="s">
        <v>1772</v>
      </c>
      <c r="H56" s="794"/>
      <c r="I56" s="794"/>
      <c r="J56" s="7466"/>
      <c r="K56" s="7466"/>
      <c r="L56" s="7466"/>
      <c r="M56" s="7466"/>
      <c r="N56" s="7466"/>
      <c r="O56" s="7466"/>
      <c r="P56" s="7466"/>
      <c r="Q56" s="7466"/>
      <c r="R56" s="7466"/>
      <c r="S56" s="7466"/>
      <c r="T56" s="7466"/>
      <c r="U56" s="7466"/>
      <c r="V56" s="7466"/>
      <c r="W56" s="7466"/>
      <c r="X56" s="7466"/>
      <c r="Y56" s="7466"/>
      <c r="Z56" s="7466"/>
      <c r="AA56" s="7466"/>
      <c r="AB56" s="7466"/>
      <c r="AC56" s="7466"/>
      <c r="AD56" s="7466"/>
      <c r="AE56" s="7466"/>
      <c r="AF56" s="7466"/>
      <c r="AG56" s="7466"/>
      <c r="AH56" s="7466"/>
      <c r="AI56" s="7466"/>
      <c r="AJ56" s="7466"/>
      <c r="AK56" s="7466"/>
      <c r="AL56" s="1949" t="str">
        <f>IF((LEN(E56)-LEN(SUBSTITUTE(E56,".","")))/LEN(".")=1,"p","")</f>
        <v/>
      </c>
      <c r="AM56" s="1949"/>
      <c r="AN56" s="1949"/>
      <c r="AS56" s="1949"/>
      <c r="AV56" s="781"/>
      <c r="BB56" s="1945"/>
      <c r="BC56" s="1945"/>
      <c r="BD56" s="1945"/>
      <c r="BE56" s="1945"/>
      <c r="BF56" s="1945"/>
    </row>
    <row s="11074" customFormat="1" customHeight="1" ht="11.25">
      <c r="A57" s="1243"/>
      <c r="C57" s="1949"/>
      <c r="D57" s="812"/>
      <c r="E57" s="783" t="str">
        <f>FHD_NUM_P_21</f>
        <v>2.8.2</v>
      </c>
      <c r="F57" s="1963" t="str">
        <f>FHD_P_21</f>
        <v>Расходы на амортизацию нематериальных активов</v>
      </c>
      <c r="G57" s="1959" t="s">
        <v>1772</v>
      </c>
      <c r="H57" s="794"/>
      <c r="I57" s="794"/>
      <c r="J57" s="7466"/>
      <c r="K57" s="7466"/>
      <c r="L57" s="7466"/>
      <c r="M57" s="7466"/>
      <c r="N57" s="7466"/>
      <c r="O57" s="7466"/>
      <c r="P57" s="7466"/>
      <c r="Q57" s="7466"/>
      <c r="R57" s="7466"/>
      <c r="S57" s="7466"/>
      <c r="T57" s="7466"/>
      <c r="U57" s="7466"/>
      <c r="V57" s="7466"/>
      <c r="W57" s="7466"/>
      <c r="X57" s="7466"/>
      <c r="Y57" s="7466"/>
      <c r="Z57" s="7466"/>
      <c r="AA57" s="7466"/>
      <c r="AB57" s="7466"/>
      <c r="AC57" s="7466"/>
      <c r="AD57" s="7466"/>
      <c r="AE57" s="7466"/>
      <c r="AF57" s="7466"/>
      <c r="AG57" s="7466"/>
      <c r="AH57" s="7466"/>
      <c r="AI57" s="7466"/>
      <c r="AJ57" s="7466"/>
      <c r="AK57" s="7466"/>
      <c r="AL57" s="1949" t="str">
        <f>IF((LEN(E57)-LEN(SUBSTITUTE(E57,".","")))/LEN(".")=1,"p","")</f>
        <v/>
      </c>
      <c r="AM57" s="1949"/>
      <c r="AN57" s="1949"/>
      <c r="AS57" s="1949"/>
      <c r="AV57" s="781"/>
      <c r="BB57" s="1945"/>
      <c r="BC57" s="1945"/>
      <c r="BD57" s="1945"/>
      <c r="BE57" s="1945"/>
      <c r="BF57" s="1945"/>
    </row>
    <row s="11074" customFormat="1" customHeight="1" ht="11.25">
      <c r="A58" s="1243"/>
      <c r="C58" s="1949"/>
      <c r="D58" s="1951"/>
      <c r="E58" s="783" t="str">
        <f>FHD_NUM_P_22</f>
        <v>2.9</v>
      </c>
      <c r="F58" s="1210" t="str">
        <f>FHD_P_22</f>
        <v>Расходы на аренду имущества, используемого для осуществления регулируемого вида деятельности</v>
      </c>
      <c r="G58" s="1959" t="s">
        <v>1772</v>
      </c>
      <c r="H58" s="794"/>
      <c r="I58" s="794"/>
      <c r="J58" s="7466"/>
      <c r="K58" s="7466"/>
      <c r="L58" s="7466"/>
      <c r="M58" s="7466"/>
      <c r="N58" s="7466"/>
      <c r="O58" s="7466"/>
      <c r="P58" s="7466"/>
      <c r="Q58" s="7466"/>
      <c r="R58" s="7466"/>
      <c r="S58" s="7466"/>
      <c r="T58" s="7466"/>
      <c r="U58" s="7466"/>
      <c r="V58" s="7466"/>
      <c r="W58" s="7466"/>
      <c r="X58" s="7466"/>
      <c r="Y58" s="7466"/>
      <c r="Z58" s="7466"/>
      <c r="AA58" s="7466"/>
      <c r="AB58" s="7466"/>
      <c r="AC58" s="7466"/>
      <c r="AD58" s="7466"/>
      <c r="AE58" s="7466"/>
      <c r="AF58" s="7466"/>
      <c r="AG58" s="7466"/>
      <c r="AH58" s="7466"/>
      <c r="AI58" s="7466"/>
      <c r="AJ58" s="7466"/>
      <c r="AK58" s="7466"/>
      <c r="AL58" s="1949" t="str">
        <f>IF((LEN(E58)-LEN(SUBSTITUTE(E58,".","")))/LEN(".")=1,"p","")</f>
        <v>p</v>
      </c>
      <c r="AM58" s="1949"/>
      <c r="AN58" s="1949"/>
      <c r="AS58" s="1949"/>
      <c r="AV58" s="781"/>
      <c r="BB58" s="1945"/>
      <c r="BC58" s="1945"/>
      <c r="BD58" s="1945"/>
      <c r="BE58" s="1945"/>
      <c r="BF58" s="1945"/>
    </row>
    <row s="11074" customFormat="1" customHeight="1" ht="11.25">
      <c r="A59" s="1243"/>
      <c r="C59" s="1949"/>
      <c r="D59" s="812"/>
      <c r="E59" s="783" t="str">
        <f>FHD_NUM_P_23</f>
        <v>2.10</v>
      </c>
      <c r="F59" s="1210" t="str">
        <f>FHD_P_23</f>
        <v>Общепроизводственные расходы, в том числе:</v>
      </c>
      <c r="G59" s="1959" t="s">
        <v>1772</v>
      </c>
      <c r="H59" s="794"/>
      <c r="I59" s="794"/>
      <c r="J59" s="7466"/>
      <c r="K59" s="7466"/>
      <c r="L59" s="7466"/>
      <c r="M59" s="7466"/>
      <c r="N59" s="7466"/>
      <c r="O59" s="7466"/>
      <c r="P59" s="7466"/>
      <c r="Q59" s="7466"/>
      <c r="R59" s="7466"/>
      <c r="S59" s="7466"/>
      <c r="T59" s="7466"/>
      <c r="U59" s="7466"/>
      <c r="V59" s="7466"/>
      <c r="W59" s="7466"/>
      <c r="X59" s="7466"/>
      <c r="Y59" s="7466"/>
      <c r="Z59" s="7466"/>
      <c r="AA59" s="7466"/>
      <c r="AB59" s="7466"/>
      <c r="AC59" s="7466"/>
      <c r="AD59" s="7466"/>
      <c r="AE59" s="7466"/>
      <c r="AF59" s="7466"/>
      <c r="AG59" s="7466"/>
      <c r="AH59" s="7466"/>
      <c r="AI59" s="7466"/>
      <c r="AJ59" s="7466"/>
      <c r="AK59" s="7466"/>
      <c r="AL59" s="1949" t="str">
        <f>IF((LEN(E59)-LEN(SUBSTITUTE(E59,".","")))/LEN(".")=1,"p","")</f>
        <v>p</v>
      </c>
      <c r="AM59" s="1949"/>
      <c r="AN59" s="1949"/>
      <c r="AS59" s="1949"/>
      <c r="AV59" s="781"/>
      <c r="BB59" s="1945"/>
      <c r="BC59" s="1945"/>
      <c r="BD59" s="1945"/>
      <c r="BE59" s="1945"/>
      <c r="BF59" s="1945"/>
    </row>
    <row s="11074" customFormat="1" customHeight="1" ht="11.25">
      <c r="A60" s="1243"/>
      <c r="C60" s="1949"/>
      <c r="D60" s="812"/>
      <c r="E60" s="783" t="str">
        <f>FHD_NUM_P_24</f>
        <v>2.10.1</v>
      </c>
      <c r="F60" s="1963" t="str">
        <f>FHD_P_24</f>
        <v>Расходы на текущий ремонт</v>
      </c>
      <c r="G60" s="1959" t="s">
        <v>1772</v>
      </c>
      <c r="H60" s="794"/>
      <c r="I60" s="794"/>
      <c r="J60" s="7466"/>
      <c r="K60" s="7466"/>
      <c r="L60" s="7466"/>
      <c r="M60" s="7466"/>
      <c r="N60" s="7466"/>
      <c r="O60" s="7466"/>
      <c r="P60" s="7466"/>
      <c r="Q60" s="7466"/>
      <c r="R60" s="7466"/>
      <c r="S60" s="7466"/>
      <c r="T60" s="7466"/>
      <c r="U60" s="7466"/>
      <c r="V60" s="7466"/>
      <c r="W60" s="7466"/>
      <c r="X60" s="7466"/>
      <c r="Y60" s="7466"/>
      <c r="Z60" s="7466"/>
      <c r="AA60" s="7466"/>
      <c r="AB60" s="7466"/>
      <c r="AC60" s="7466"/>
      <c r="AD60" s="7466"/>
      <c r="AE60" s="7466"/>
      <c r="AF60" s="7466"/>
      <c r="AG60" s="7466"/>
      <c r="AH60" s="7466"/>
      <c r="AI60" s="7466"/>
      <c r="AJ60" s="7466"/>
      <c r="AK60" s="7466"/>
      <c r="AL60" s="1949" t="str">
        <f>IF((LEN(E60)-LEN(SUBSTITUTE(E60,".","")))/LEN(".")=1,"p","")</f>
        <v/>
      </c>
      <c r="AM60" s="1949"/>
      <c r="AN60" s="1949"/>
      <c r="AS60" s="1949"/>
      <c r="AV60" s="781"/>
      <c r="BB60" s="1945"/>
      <c r="BC60" s="1945"/>
      <c r="BD60" s="1945"/>
      <c r="BE60" s="1945"/>
      <c r="BF60" s="1945"/>
    </row>
    <row s="11074" customFormat="1" customHeight="1" ht="11.25">
      <c r="A61" s="1243"/>
      <c r="C61" s="1949"/>
      <c r="D61" s="812"/>
      <c r="E61" s="783" t="str">
        <f>FHD_NUM_P_25</f>
        <v>2.10.2</v>
      </c>
      <c r="F61" s="1963" t="str">
        <f>FHD_P_25</f>
        <v>Расходы на капитальный ремонт</v>
      </c>
      <c r="G61" s="1959" t="s">
        <v>1772</v>
      </c>
      <c r="H61" s="794"/>
      <c r="I61" s="794"/>
      <c r="J61" s="7466"/>
      <c r="K61" s="7466"/>
      <c r="L61" s="7466"/>
      <c r="M61" s="7466"/>
      <c r="N61" s="7466"/>
      <c r="O61" s="7466"/>
      <c r="P61" s="7466"/>
      <c r="Q61" s="7466"/>
      <c r="R61" s="7466"/>
      <c r="S61" s="7466"/>
      <c r="T61" s="7466"/>
      <c r="U61" s="7466"/>
      <c r="V61" s="7466"/>
      <c r="W61" s="7466"/>
      <c r="X61" s="7466"/>
      <c r="Y61" s="7466"/>
      <c r="Z61" s="7466"/>
      <c r="AA61" s="7466"/>
      <c r="AB61" s="7466"/>
      <c r="AC61" s="7466"/>
      <c r="AD61" s="7466"/>
      <c r="AE61" s="7466"/>
      <c r="AF61" s="7466"/>
      <c r="AG61" s="7466"/>
      <c r="AH61" s="7466"/>
      <c r="AI61" s="7466"/>
      <c r="AJ61" s="7466"/>
      <c r="AK61" s="7466"/>
      <c r="AL61" s="1949" t="str">
        <f>IF((LEN(E61)-LEN(SUBSTITUTE(E61,".","")))/LEN(".")=1,"p","")</f>
        <v/>
      </c>
      <c r="AM61" s="1949"/>
      <c r="AN61" s="1949"/>
      <c r="AS61" s="1949"/>
      <c r="AV61" s="781"/>
      <c r="BB61" s="1945"/>
      <c r="BC61" s="1945"/>
      <c r="BD61" s="1945"/>
      <c r="BE61" s="1945"/>
      <c r="BF61" s="1945"/>
    </row>
    <row s="11074" customFormat="1" customHeight="1" ht="11.25">
      <c r="A62" s="1243"/>
      <c r="C62" s="1949"/>
      <c r="D62" s="1951"/>
      <c r="E62" s="783" t="str">
        <f>FHD_NUM_P_26</f>
        <v>2.11</v>
      </c>
      <c r="F62" s="1210" t="str">
        <f>FHD_P_26</f>
        <v>Общехозяйственные расходы, в том числе:</v>
      </c>
      <c r="G62" s="1959" t="s">
        <v>1772</v>
      </c>
      <c r="H62" s="794"/>
      <c r="I62" s="794"/>
      <c r="J62" s="7466"/>
      <c r="K62" s="7466"/>
      <c r="L62" s="7466"/>
      <c r="M62" s="7466"/>
      <c r="N62" s="7466"/>
      <c r="O62" s="7466"/>
      <c r="P62" s="7466"/>
      <c r="Q62" s="7466"/>
      <c r="R62" s="7466"/>
      <c r="S62" s="7466"/>
      <c r="T62" s="7466"/>
      <c r="U62" s="7466"/>
      <c r="V62" s="7466"/>
      <c r="W62" s="7466"/>
      <c r="X62" s="7466"/>
      <c r="Y62" s="7466"/>
      <c r="Z62" s="7466"/>
      <c r="AA62" s="7466"/>
      <c r="AB62" s="7466"/>
      <c r="AC62" s="7466"/>
      <c r="AD62" s="7466"/>
      <c r="AE62" s="7466"/>
      <c r="AF62" s="7466"/>
      <c r="AG62" s="7466"/>
      <c r="AH62" s="7466"/>
      <c r="AI62" s="7466"/>
      <c r="AJ62" s="7466"/>
      <c r="AK62" s="7466"/>
      <c r="AL62" s="1949" t="str">
        <f>IF((LEN(E62)-LEN(SUBSTITUTE(E62,".","")))/LEN(".")=1,"p","")</f>
        <v>p</v>
      </c>
      <c r="AM62" s="1949"/>
      <c r="AN62" s="1949"/>
      <c r="AS62" s="1949"/>
      <c r="AV62" s="781"/>
      <c r="BB62" s="1945"/>
      <c r="BC62" s="1945"/>
      <c r="BD62" s="1945"/>
      <c r="BE62" s="1945"/>
      <c r="BF62" s="1945"/>
    </row>
    <row s="11074" customFormat="1" customHeight="1" ht="11.25">
      <c r="A63" s="1243"/>
      <c r="C63" s="1949"/>
      <c r="D63" s="1951"/>
      <c r="E63" s="783" t="str">
        <f>FHD_NUM_P_27</f>
        <v>2.11.1</v>
      </c>
      <c r="F63" s="1963" t="str">
        <f>FHD_P_27</f>
        <v>Расходы на текущий ремонт</v>
      </c>
      <c r="G63" s="1959" t="s">
        <v>1772</v>
      </c>
      <c r="H63" s="794"/>
      <c r="I63" s="794"/>
      <c r="J63" s="7466"/>
      <c r="K63" s="7466"/>
      <c r="L63" s="7466"/>
      <c r="M63" s="7466"/>
      <c r="N63" s="7466"/>
      <c r="O63" s="7466"/>
      <c r="P63" s="7466"/>
      <c r="Q63" s="7466"/>
      <c r="R63" s="7466"/>
      <c r="S63" s="7466"/>
      <c r="T63" s="7466"/>
      <c r="U63" s="7466"/>
      <c r="V63" s="7466"/>
      <c r="W63" s="7466"/>
      <c r="X63" s="7466"/>
      <c r="Y63" s="7466"/>
      <c r="Z63" s="7466"/>
      <c r="AA63" s="7466"/>
      <c r="AB63" s="7466"/>
      <c r="AC63" s="7466"/>
      <c r="AD63" s="7466"/>
      <c r="AE63" s="7466"/>
      <c r="AF63" s="7466"/>
      <c r="AG63" s="7466"/>
      <c r="AH63" s="7466"/>
      <c r="AI63" s="7466"/>
      <c r="AJ63" s="7466"/>
      <c r="AK63" s="7466"/>
      <c r="AL63" s="1949" t="str">
        <f>IF((LEN(E63)-LEN(SUBSTITUTE(E63,".","")))/LEN(".")=1,"p","")</f>
        <v/>
      </c>
      <c r="AM63" s="1949"/>
      <c r="AN63" s="1949"/>
      <c r="AS63" s="1949"/>
      <c r="AV63" s="781"/>
      <c r="BB63" s="1945"/>
      <c r="BC63" s="1945"/>
      <c r="BD63" s="1945"/>
      <c r="BE63" s="1945"/>
      <c r="BF63" s="1945"/>
    </row>
    <row s="11074" customFormat="1" customHeight="1" ht="11.25">
      <c r="A64" s="1243"/>
      <c r="C64" s="1949"/>
      <c r="D64" s="1951"/>
      <c r="E64" s="783" t="str">
        <f>FHD_NUM_P_28</f>
        <v>2.11.2</v>
      </c>
      <c r="F64" s="1963" t="str">
        <f>FHD_P_28</f>
        <v>Расходы на капитальный ремонт</v>
      </c>
      <c r="G64" s="1959" t="s">
        <v>1772</v>
      </c>
      <c r="H64" s="794"/>
      <c r="I64" s="794"/>
      <c r="J64" s="7466"/>
      <c r="K64" s="7466"/>
      <c r="L64" s="7466"/>
      <c r="M64" s="7466"/>
      <c r="N64" s="7466"/>
      <c r="O64" s="7466"/>
      <c r="P64" s="7466"/>
      <c r="Q64" s="7466"/>
      <c r="R64" s="7466"/>
      <c r="S64" s="7466"/>
      <c r="T64" s="7466"/>
      <c r="U64" s="7466"/>
      <c r="V64" s="7466"/>
      <c r="W64" s="7466"/>
      <c r="X64" s="7466"/>
      <c r="Y64" s="7466"/>
      <c r="Z64" s="7466"/>
      <c r="AA64" s="7466"/>
      <c r="AB64" s="7466"/>
      <c r="AC64" s="7466"/>
      <c r="AD64" s="7466"/>
      <c r="AE64" s="7466"/>
      <c r="AF64" s="7466"/>
      <c r="AG64" s="7466"/>
      <c r="AH64" s="7466"/>
      <c r="AI64" s="7466"/>
      <c r="AJ64" s="7466"/>
      <c r="AK64" s="7466"/>
      <c r="AL64" s="1949" t="str">
        <f>IF((LEN(E64)-LEN(SUBSTITUTE(E64,".","")))/LEN(".")=1,"p","")</f>
        <v/>
      </c>
      <c r="AM64" s="1949"/>
      <c r="AN64" s="1949"/>
      <c r="AS64" s="1949"/>
      <c r="AV64" s="781"/>
      <c r="BB64" s="1945"/>
      <c r="BC64" s="1945"/>
      <c r="BD64" s="1945"/>
      <c r="BE64" s="1945"/>
      <c r="BF64" s="1945"/>
    </row>
    <row s="11074" customFormat="1" customHeight="1" ht="11.25">
      <c r="A65" s="1243"/>
      <c r="C65" s="1949"/>
      <c r="D65" s="1951"/>
      <c r="E65" s="783" t="str">
        <f>FHD_NUM_P_29</f>
        <v>2.12</v>
      </c>
      <c r="F65" s="1210" t="str">
        <f>FHD_P_29</f>
        <v>Расходы на капитальный и текущий ремонт основных средств</v>
      </c>
      <c r="G65" s="1959" t="s">
        <v>1772</v>
      </c>
      <c r="H65" s="794"/>
      <c r="I65" s="794"/>
      <c r="J65" s="7466"/>
      <c r="K65" s="7466"/>
      <c r="L65" s="7466"/>
      <c r="M65" s="7466"/>
      <c r="N65" s="7466"/>
      <c r="O65" s="7466"/>
      <c r="P65" s="7466"/>
      <c r="Q65" s="7466"/>
      <c r="R65" s="7466"/>
      <c r="S65" s="7466"/>
      <c r="T65" s="7466"/>
      <c r="U65" s="7466"/>
      <c r="V65" s="7466"/>
      <c r="W65" s="7466"/>
      <c r="X65" s="7466"/>
      <c r="Y65" s="7466"/>
      <c r="Z65" s="7466"/>
      <c r="AA65" s="7466"/>
      <c r="AB65" s="7466"/>
      <c r="AC65" s="7466"/>
      <c r="AD65" s="7466"/>
      <c r="AE65" s="7466"/>
      <c r="AF65" s="7466"/>
      <c r="AG65" s="7466"/>
      <c r="AH65" s="7466"/>
      <c r="AI65" s="7466"/>
      <c r="AJ65" s="7466"/>
      <c r="AK65" s="7466"/>
      <c r="AL65" s="1949" t="str">
        <f>IF((LEN(E65)-LEN(SUBSTITUTE(E65,".","")))/LEN(".")=1,"p","")</f>
        <v>p</v>
      </c>
      <c r="AM65" s="1949"/>
      <c r="AN65" s="1949"/>
      <c r="AS65" s="1949"/>
      <c r="AV65" s="781"/>
      <c r="BB65" s="1945"/>
      <c r="BC65" s="1945"/>
      <c r="BD65" s="1945"/>
      <c r="BE65" s="1945"/>
      <c r="BF65" s="1945"/>
    </row>
    <row s="11074" customFormat="1" customHeight="1" ht="11.25">
      <c r="A66" s="1243"/>
      <c r="C66" s="1949"/>
      <c r="D66" s="1951"/>
      <c r="E66" s="783" t="str">
        <f>FHD_NUM_P_30</f>
        <v>2.12.1</v>
      </c>
      <c r="F66" s="1963" t="str">
        <f>FHD_P_30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6" s="1959" t="s">
        <v>368</v>
      </c>
      <c r="H66" s="1962" t="s">
        <v>1481</v>
      </c>
      <c r="I66" s="1962" t="s">
        <v>1481</v>
      </c>
      <c r="J66" s="7525" t="s">
        <v>1481</v>
      </c>
      <c r="K66" s="7525" t="s">
        <v>1481</v>
      </c>
      <c r="L66" s="7525" t="s">
        <v>1481</v>
      </c>
      <c r="M66" s="7525" t="s">
        <v>1481</v>
      </c>
      <c r="N66" s="7525" t="s">
        <v>1481</v>
      </c>
      <c r="O66" s="7525" t="s">
        <v>1481</v>
      </c>
      <c r="P66" s="7525" t="s">
        <v>1481</v>
      </c>
      <c r="Q66" s="7525" t="s">
        <v>1481</v>
      </c>
      <c r="R66" s="7525" t="s">
        <v>1481</v>
      </c>
      <c r="S66" s="7525" t="s">
        <v>1481</v>
      </c>
      <c r="T66" s="7525" t="s">
        <v>1481</v>
      </c>
      <c r="U66" s="7525" t="s">
        <v>1481</v>
      </c>
      <c r="V66" s="7525" t="s">
        <v>1481</v>
      </c>
      <c r="W66" s="7525" t="s">
        <v>1481</v>
      </c>
      <c r="X66" s="7525" t="s">
        <v>1481</v>
      </c>
      <c r="Y66" s="7525" t="s">
        <v>1481</v>
      </c>
      <c r="Z66" s="7525" t="s">
        <v>1481</v>
      </c>
      <c r="AA66" s="7525" t="s">
        <v>1481</v>
      </c>
      <c r="AB66" s="7525" t="s">
        <v>1481</v>
      </c>
      <c r="AC66" s="7525" t="s">
        <v>1481</v>
      </c>
      <c r="AD66" s="7525" t="s">
        <v>1481</v>
      </c>
      <c r="AE66" s="7525" t="s">
        <v>1481</v>
      </c>
      <c r="AF66" s="7525" t="s">
        <v>1481</v>
      </c>
      <c r="AG66" s="7525" t="s">
        <v>1481</v>
      </c>
      <c r="AH66" s="7525" t="s">
        <v>1481</v>
      </c>
      <c r="AI66" s="7525" t="s">
        <v>1481</v>
      </c>
      <c r="AJ66" s="7525" t="s">
        <v>1481</v>
      </c>
      <c r="AK66" s="7525" t="s">
        <v>1481</v>
      </c>
      <c r="AL66" s="1949" t="str">
        <f>IF((LEN(E66)-LEN(SUBSTITUTE(E66,".","")))/LEN(".")=1,"p","")</f>
        <v/>
      </c>
      <c r="AM66" s="1949">
        <f>_xlfn.IFERROR(MATCH("есть",B_FHD_FLAG_INDEX_1,0),0)</f>
        <v>0</v>
      </c>
      <c r="AN66" s="1949"/>
      <c r="AS66" s="1949"/>
      <c r="AV66" s="781"/>
      <c r="BB66" s="1945"/>
      <c r="BC66" s="1945"/>
      <c r="BD66" s="1945"/>
      <c r="BE66" s="1945"/>
      <c r="BF66" s="1945"/>
    </row>
    <row s="11074" customFormat="1" customHeight="1" ht="11.25" hidden="1">
      <c r="A67" s="2591" t="s">
        <v>1784</v>
      </c>
      <c r="C67" s="1949"/>
      <c r="D67" s="1951"/>
      <c r="E67" s="783" t="str">
        <f>FHD_NUM_P_31</f>
        <v/>
      </c>
      <c r="F67" s="1210" t="str">
        <f>FHD_P_31</f>
        <v/>
      </c>
      <c r="G67" s="1959" t="s">
        <v>1772</v>
      </c>
      <c r="H67" s="794"/>
      <c r="I67" s="794"/>
      <c r="J67" s="7466"/>
      <c r="K67" s="7466"/>
      <c r="L67" s="7466"/>
      <c r="M67" s="7466"/>
      <c r="N67" s="7466"/>
      <c r="O67" s="7466"/>
      <c r="P67" s="7466"/>
      <c r="Q67" s="7466"/>
      <c r="R67" s="7466"/>
      <c r="S67" s="7466"/>
      <c r="T67" s="7466"/>
      <c r="U67" s="7466"/>
      <c r="V67" s="7466"/>
      <c r="W67" s="7466"/>
      <c r="X67" s="7466"/>
      <c r="Y67" s="7466"/>
      <c r="Z67" s="7466"/>
      <c r="AA67" s="7466"/>
      <c r="AB67" s="7466"/>
      <c r="AC67" s="7466"/>
      <c r="AD67" s="7466"/>
      <c r="AE67" s="7466"/>
      <c r="AF67" s="7466"/>
      <c r="AG67" s="7466"/>
      <c r="AH67" s="7466"/>
      <c r="AI67" s="7466"/>
      <c r="AJ67" s="7466"/>
      <c r="AK67" s="7466"/>
      <c r="AL67" s="1949" t="str">
        <f>IF((LEN(E67)-LEN(SUBSTITUTE(E67,".","")))/LEN(".")=1,"p","")</f>
        <v/>
      </c>
      <c r="AM67" s="1949"/>
      <c r="AN67" s="1949"/>
      <c r="AS67" s="1949"/>
      <c r="AV67" s="781"/>
      <c r="BB67" s="1945"/>
      <c r="BC67" s="1945"/>
      <c r="BD67" s="1945"/>
      <c r="BE67" s="1945"/>
      <c r="BF67" s="1945"/>
    </row>
    <row s="11074" customFormat="1" customHeight="1" ht="11.25" hidden="1">
      <c r="A68" s="2591"/>
      <c r="C68" s="1949"/>
      <c r="D68" s="1951"/>
      <c r="E68" s="783" t="str">
        <f>FHD_NUM_P_32</f>
        <v/>
      </c>
      <c r="F68" s="1963" t="str">
        <f>FHD_P_32</f>
        <v/>
      </c>
      <c r="G68" s="1959" t="s">
        <v>368</v>
      </c>
      <c r="H68" s="1962" t="s">
        <v>1481</v>
      </c>
      <c r="I68" s="1962" t="s">
        <v>1481</v>
      </c>
      <c r="J68" s="7525" t="s">
        <v>1481</v>
      </c>
      <c r="K68" s="7525" t="s">
        <v>1481</v>
      </c>
      <c r="L68" s="7525" t="s">
        <v>1481</v>
      </c>
      <c r="M68" s="7525" t="s">
        <v>1481</v>
      </c>
      <c r="N68" s="7525" t="s">
        <v>1481</v>
      </c>
      <c r="O68" s="7525" t="s">
        <v>1481</v>
      </c>
      <c r="P68" s="7525" t="s">
        <v>1481</v>
      </c>
      <c r="Q68" s="7525" t="s">
        <v>1481</v>
      </c>
      <c r="R68" s="7525" t="s">
        <v>1481</v>
      </c>
      <c r="S68" s="7525" t="s">
        <v>1481</v>
      </c>
      <c r="T68" s="7525" t="s">
        <v>1481</v>
      </c>
      <c r="U68" s="7525" t="s">
        <v>1481</v>
      </c>
      <c r="V68" s="7525" t="s">
        <v>1481</v>
      </c>
      <c r="W68" s="7525" t="s">
        <v>1481</v>
      </c>
      <c r="X68" s="7525" t="s">
        <v>1481</v>
      </c>
      <c r="Y68" s="7525" t="s">
        <v>1481</v>
      </c>
      <c r="Z68" s="7525" t="s">
        <v>1481</v>
      </c>
      <c r="AA68" s="7525" t="s">
        <v>1481</v>
      </c>
      <c r="AB68" s="7525" t="s">
        <v>1481</v>
      </c>
      <c r="AC68" s="7525" t="s">
        <v>1481</v>
      </c>
      <c r="AD68" s="7525" t="s">
        <v>1481</v>
      </c>
      <c r="AE68" s="7525" t="s">
        <v>1481</v>
      </c>
      <c r="AF68" s="7525" t="s">
        <v>1481</v>
      </c>
      <c r="AG68" s="7525" t="s">
        <v>1481</v>
      </c>
      <c r="AH68" s="7525" t="s">
        <v>1481</v>
      </c>
      <c r="AI68" s="7525" t="s">
        <v>1481</v>
      </c>
      <c r="AJ68" s="7525" t="s">
        <v>1481</v>
      </c>
      <c r="AK68" s="7525" t="s">
        <v>1481</v>
      </c>
      <c r="AL68" s="1949" t="str">
        <f>IF((LEN(E68)-LEN(SUBSTITUTE(E68,".","")))/LEN(".")=1,"p","")</f>
        <v/>
      </c>
      <c r="AM68" s="1949">
        <f>_xlfn.IFERROR(MATCH("есть",B_FHD_FLAG_INDEX_2,0),0)</f>
        <v>0</v>
      </c>
      <c r="AN68" s="1949"/>
      <c r="AS68" s="1949"/>
      <c r="AV68" s="781"/>
      <c r="BB68" s="1945"/>
      <c r="BC68" s="1945"/>
      <c r="BD68" s="1945"/>
      <c r="BE68" s="1945"/>
      <c r="BF68" s="1945"/>
    </row>
    <row s="11074" customFormat="1" customHeight="1" ht="11.25">
      <c r="A69" s="1243"/>
      <c r="C69" s="1949"/>
      <c r="D69" s="1951"/>
      <c r="E69" s="783" t="str">
        <f>FHD_NUM_P_33</f>
        <v>2.13</v>
      </c>
      <c r="F69" s="1210" t="str">
        <f>FHD_P_33</f>
        <v>Прочие расходы, которые подлежат отнесению на регулируемые виды деятельности в соответствии с законодательством Российской Федерации</v>
      </c>
      <c r="G69" s="1957" t="s">
        <v>1772</v>
      </c>
      <c r="H69" s="816">
        <f>SUM(H70:H71)</f>
        <v>0</v>
      </c>
      <c r="I69" s="816">
        <f>SUM(I70:I71)</f>
        <v>0</v>
      </c>
      <c r="J69" s="7528">
        <f>SUM(J70:J71)</f>
        <v>0</v>
      </c>
      <c r="K69" s="7528">
        <f>SUM(K70:K71)</f>
        <v>0</v>
      </c>
      <c r="L69" s="7528">
        <f>SUM(L70:L71)</f>
        <v>0</v>
      </c>
      <c r="M69" s="7528">
        <f>SUM(M70:M71)</f>
        <v>0</v>
      </c>
      <c r="N69" s="7528">
        <f>SUM(N70:N71)</f>
        <v>0</v>
      </c>
      <c r="O69" s="7528">
        <f>SUM(O70:O71)</f>
        <v>0</v>
      </c>
      <c r="P69" s="7528">
        <f>SUM(P70:P71)</f>
        <v>0</v>
      </c>
      <c r="Q69" s="7528">
        <f>SUM(Q70:Q71)</f>
        <v>0</v>
      </c>
      <c r="R69" s="7528">
        <f>SUM(R70:R71)</f>
        <v>0</v>
      </c>
      <c r="S69" s="7528">
        <f>SUM(S70:S71)</f>
        <v>0</v>
      </c>
      <c r="T69" s="7528">
        <f>SUM(T70:T71)</f>
        <v>0</v>
      </c>
      <c r="U69" s="7528">
        <f>SUM(U70:U71)</f>
        <v>0</v>
      </c>
      <c r="V69" s="7528">
        <f>SUM(V70:V71)</f>
        <v>0</v>
      </c>
      <c r="W69" s="7528">
        <f>SUM(W70:W71)</f>
        <v>0</v>
      </c>
      <c r="X69" s="7528">
        <f>SUM(X70:X71)</f>
        <v>0</v>
      </c>
      <c r="Y69" s="7528">
        <f>SUM(Y70:Y71)</f>
        <v>0</v>
      </c>
      <c r="Z69" s="7528">
        <f>SUM(Z70:Z71)</f>
        <v>0</v>
      </c>
      <c r="AA69" s="7528">
        <f>SUM(AA70:AA71)</f>
        <v>0</v>
      </c>
      <c r="AB69" s="7528">
        <f>SUM(AB70:AB71)</f>
        <v>0</v>
      </c>
      <c r="AC69" s="7528">
        <f>SUM(AC70:AC71)</f>
        <v>0</v>
      </c>
      <c r="AD69" s="7528">
        <f>SUM(AD70:AD71)</f>
        <v>0</v>
      </c>
      <c r="AE69" s="7528">
        <f>SUM(AE70:AE71)</f>
        <v>0</v>
      </c>
      <c r="AF69" s="7528">
        <f>SUM(AF70:AF71)</f>
        <v>0</v>
      </c>
      <c r="AG69" s="7528">
        <f>SUM(AG70:AG71)</f>
        <v>0</v>
      </c>
      <c r="AH69" s="7528">
        <f>SUM(AH70:AH71)</f>
        <v>0</v>
      </c>
      <c r="AI69" s="7528">
        <f>SUM(AI70:AI71)</f>
        <v>0</v>
      </c>
      <c r="AJ69" s="7528">
        <f>SUM(AJ70:AJ71)</f>
        <v>0</v>
      </c>
      <c r="AK69" s="7528">
        <f>SUM(AK70:AK71)</f>
        <v>0</v>
      </c>
      <c r="AL69" s="1949" t="str">
        <f>IF((LEN(E69)-LEN(SUBSTITUTE(E69,".","")))/LEN(".")=1,"p","")</f>
        <v>p</v>
      </c>
      <c r="AM69" s="1949"/>
      <c r="AN69" s="1949"/>
      <c r="AS69" s="1949"/>
      <c r="AV69" s="781"/>
      <c r="BB69" s="1945"/>
      <c r="BC69" s="1945"/>
      <c r="BD69" s="1945"/>
      <c r="BE69" s="1945"/>
      <c r="BF69" s="1945"/>
    </row>
    <row s="10863" customFormat="1" customHeight="1" ht="0.75">
      <c r="A70" s="1428"/>
      <c r="D70" s="785"/>
      <c r="E70" s="1042" t="str">
        <f>E69&amp;".0"</f>
        <v>2.13.0</v>
      </c>
      <c r="F70" s="1247"/>
      <c r="G70" s="788"/>
      <c r="H70" s="1248"/>
      <c r="I70" s="1248"/>
      <c r="J70" s="7531"/>
      <c r="K70" s="7531"/>
      <c r="L70" s="7531"/>
      <c r="M70" s="7531"/>
      <c r="N70" s="7531"/>
      <c r="O70" s="7531"/>
      <c r="P70" s="7531"/>
      <c r="Q70" s="7531"/>
      <c r="R70" s="7531"/>
      <c r="S70" s="7531"/>
      <c r="T70" s="7531"/>
      <c r="U70" s="7531"/>
      <c r="V70" s="7531"/>
      <c r="W70" s="7531"/>
      <c r="X70" s="7531"/>
      <c r="Y70" s="7531"/>
      <c r="Z70" s="7531"/>
      <c r="AA70" s="7531"/>
      <c r="AB70" s="7531"/>
      <c r="AC70" s="7531"/>
      <c r="AD70" s="7531"/>
      <c r="AE70" s="7531"/>
      <c r="AF70" s="7531"/>
      <c r="AG70" s="7531"/>
      <c r="AH70" s="7531"/>
      <c r="AI70" s="7531"/>
      <c r="AJ70" s="7531"/>
      <c r="AK70" s="7531"/>
      <c r="AL70" s="1949" t="str">
        <f>IF((LEN(E70)-LEN(SUBSTITUTE(E70,".","")))/LEN(".")=1,"p","")</f>
        <v/>
      </c>
    </row>
    <row s="11074" customFormat="1" customHeight="1" ht="14.25">
      <c r="A71" s="1243"/>
      <c r="C71" s="1949"/>
      <c r="D71" s="1946"/>
      <c r="E71" s="807"/>
      <c r="F71" s="808" t="s">
        <v>1785</v>
      </c>
      <c r="G71" s="809"/>
      <c r="H71" s="810"/>
      <c r="I71" s="810"/>
      <c r="J71" s="7532"/>
      <c r="K71" s="7533"/>
      <c r="L71" s="7534"/>
      <c r="M71" s="7535"/>
      <c r="N71" s="7536"/>
      <c r="O71" s="7537"/>
      <c r="P71" s="7538"/>
      <c r="Q71" s="7539"/>
      <c r="R71" s="7540"/>
      <c r="S71" s="7541"/>
      <c r="T71" s="7542"/>
      <c r="U71" s="7543"/>
      <c r="V71" s="7544"/>
      <c r="W71" s="7545"/>
      <c r="X71" s="7546"/>
      <c r="Y71" s="7547"/>
      <c r="Z71" s="7548"/>
      <c r="AA71" s="7549"/>
      <c r="AB71" s="7550"/>
      <c r="AC71" s="7551"/>
      <c r="AD71" s="7552"/>
      <c r="AE71" s="7553"/>
      <c r="AF71" s="7554"/>
      <c r="AG71" s="7555"/>
      <c r="AH71" s="7556"/>
      <c r="AI71" s="7557"/>
      <c r="AJ71" s="7558"/>
      <c r="AK71" s="7559"/>
      <c r="AL71" s="1949"/>
      <c r="AM71" s="1949"/>
      <c r="AN71" s="1949"/>
      <c r="AS71" s="1949"/>
      <c r="AV71" s="781"/>
      <c r="BB71" s="1945"/>
      <c r="BC71" s="1945"/>
      <c r="BD71" s="1945"/>
      <c r="BE71" s="1945"/>
      <c r="BF71" s="1945"/>
    </row>
    <row s="11074" customFormat="1" customHeight="1" ht="18.75">
      <c r="A72" s="1245" t="s">
        <v>1786</v>
      </c>
      <c r="C72" s="1949"/>
      <c r="D72" s="1951"/>
      <c r="E72" s="783" t="str">
        <f>FHD_NUM_P_34</f>
        <v>3</v>
      </c>
      <c r="F72" s="944" t="str">
        <f>FHD_P_34</f>
        <v>Валовая прибыль (убытки) от реализации товаров и оказания услуг по регулируемому виду деятельности</v>
      </c>
      <c r="G72" s="1959" t="s">
        <v>1772</v>
      </c>
      <c r="H72" s="794"/>
      <c r="I72" s="794"/>
      <c r="J72" s="7466"/>
      <c r="K72" s="7466"/>
      <c r="L72" s="7466"/>
      <c r="M72" s="7466"/>
      <c r="N72" s="7466"/>
      <c r="O72" s="7466"/>
      <c r="P72" s="7466"/>
      <c r="Q72" s="7466"/>
      <c r="R72" s="7466"/>
      <c r="S72" s="7466"/>
      <c r="T72" s="7466"/>
      <c r="U72" s="7466"/>
      <c r="V72" s="7466"/>
      <c r="W72" s="7466"/>
      <c r="X72" s="7466"/>
      <c r="Y72" s="7466"/>
      <c r="Z72" s="7466"/>
      <c r="AA72" s="7466"/>
      <c r="AB72" s="7466"/>
      <c r="AC72" s="7466"/>
      <c r="AD72" s="7466"/>
      <c r="AE72" s="7466"/>
      <c r="AF72" s="7466"/>
      <c r="AG72" s="7466"/>
      <c r="AH72" s="7466"/>
      <c r="AI72" s="7466"/>
      <c r="AJ72" s="7466"/>
      <c r="AK72" s="7466"/>
      <c r="AL72" s="780"/>
      <c r="AM72" s="1949"/>
      <c r="AN72" s="1949"/>
      <c r="AS72" s="1949"/>
      <c r="AV72" s="781"/>
      <c r="BB72" s="1945"/>
      <c r="BC72" s="1945"/>
      <c r="BD72" s="1945"/>
      <c r="BE72" s="1945"/>
      <c r="BF72" s="1945"/>
    </row>
    <row s="11074" customFormat="1" customHeight="1" ht="18.75">
      <c r="A73" s="1243"/>
      <c r="C73" s="1949"/>
      <c r="D73" s="812"/>
      <c r="E73" s="783" t="str">
        <f>FHD_NUM_P_35</f>
        <v>4</v>
      </c>
      <c r="F73" s="944" t="str">
        <f>FHD_P_35</f>
        <v>Чистая прибыль, полученная от регулируемого вида деятельности, в том числе:</v>
      </c>
      <c r="G73" s="1959" t="s">
        <v>1772</v>
      </c>
      <c r="H73" s="794"/>
      <c r="I73" s="794"/>
      <c r="J73" s="7466"/>
      <c r="K73" s="7466"/>
      <c r="L73" s="7466"/>
      <c r="M73" s="7466"/>
      <c r="N73" s="7466"/>
      <c r="O73" s="7466"/>
      <c r="P73" s="7466"/>
      <c r="Q73" s="7466"/>
      <c r="R73" s="7466"/>
      <c r="S73" s="7466"/>
      <c r="T73" s="7466"/>
      <c r="U73" s="7466"/>
      <c r="V73" s="7466"/>
      <c r="W73" s="7466"/>
      <c r="X73" s="7466"/>
      <c r="Y73" s="7466"/>
      <c r="Z73" s="7466"/>
      <c r="AA73" s="7466"/>
      <c r="AB73" s="7466"/>
      <c r="AC73" s="7466"/>
      <c r="AD73" s="7466"/>
      <c r="AE73" s="7466"/>
      <c r="AF73" s="7466"/>
      <c r="AG73" s="7466"/>
      <c r="AH73" s="7466"/>
      <c r="AI73" s="7466"/>
      <c r="AJ73" s="7466"/>
      <c r="AK73" s="7466"/>
      <c r="AL73" s="780"/>
      <c r="AM73" s="1949"/>
      <c r="AN73" s="1949"/>
      <c r="AS73" s="1949"/>
      <c r="AV73" s="781"/>
      <c r="BB73" s="1945"/>
      <c r="BC73" s="1945"/>
      <c r="BD73" s="1945"/>
      <c r="BE73" s="1945"/>
      <c r="BF73" s="1945"/>
    </row>
    <row s="11074" customFormat="1" customHeight="1" ht="18.75">
      <c r="A74" s="1243"/>
      <c r="C74" s="1949"/>
      <c r="D74" s="1951"/>
      <c r="E74" s="783" t="str">
        <f>FHD_NUM_P_36</f>
        <v>4.1</v>
      </c>
      <c r="F74" s="1210" t="str">
        <f>FHD_P_36</f>
        <v>Размер расходования чистой прибыли на финансирование мероприятий, предусмотренных инвестиционной программой регулируемой организации</v>
      </c>
      <c r="G74" s="1959" t="s">
        <v>1772</v>
      </c>
      <c r="H74" s="794"/>
      <c r="I74" s="794"/>
      <c r="J74" s="7466"/>
      <c r="K74" s="7466"/>
      <c r="L74" s="7466"/>
      <c r="M74" s="7466"/>
      <c r="N74" s="7466"/>
      <c r="O74" s="7466"/>
      <c r="P74" s="7466"/>
      <c r="Q74" s="7466"/>
      <c r="R74" s="7466"/>
      <c r="S74" s="7466"/>
      <c r="T74" s="7466"/>
      <c r="U74" s="7466"/>
      <c r="V74" s="7466"/>
      <c r="W74" s="7466"/>
      <c r="X74" s="7466"/>
      <c r="Y74" s="7466"/>
      <c r="Z74" s="7466"/>
      <c r="AA74" s="7466"/>
      <c r="AB74" s="7466"/>
      <c r="AC74" s="7466"/>
      <c r="AD74" s="7466"/>
      <c r="AE74" s="7466"/>
      <c r="AF74" s="7466"/>
      <c r="AG74" s="7466"/>
      <c r="AH74" s="7466"/>
      <c r="AI74" s="7466"/>
      <c r="AJ74" s="7466"/>
      <c r="AK74" s="7466"/>
      <c r="AL74" s="780"/>
      <c r="AM74" s="1949"/>
      <c r="AN74" s="1949"/>
      <c r="AS74" s="1949"/>
      <c r="AV74" s="781"/>
      <c r="BB74" s="1945"/>
      <c r="BC74" s="1945"/>
      <c r="BD74" s="1945"/>
      <c r="BE74" s="1945"/>
      <c r="BF74" s="1945"/>
    </row>
    <row s="11074" customFormat="1" customHeight="1" ht="18.75">
      <c r="A75" s="1243"/>
      <c r="C75" s="1949"/>
      <c r="D75" s="1951"/>
      <c r="E75" s="783" t="str">
        <f>FHD_NUM_P_37</f>
        <v>5</v>
      </c>
      <c r="F75" s="944" t="str">
        <f>FHD_P_37</f>
        <v>Изменение стоимости основных фондов, в том числе:</v>
      </c>
      <c r="G75" s="1959" t="s">
        <v>1772</v>
      </c>
      <c r="H75" s="794"/>
      <c r="I75" s="794"/>
      <c r="J75" s="7466"/>
      <c r="K75" s="7466"/>
      <c r="L75" s="7466"/>
      <c r="M75" s="7466"/>
      <c r="N75" s="7466"/>
      <c r="O75" s="7466"/>
      <c r="P75" s="7466"/>
      <c r="Q75" s="7466"/>
      <c r="R75" s="7466"/>
      <c r="S75" s="7466"/>
      <c r="T75" s="7466"/>
      <c r="U75" s="7466"/>
      <c r="V75" s="7466"/>
      <c r="W75" s="7466"/>
      <c r="X75" s="7466"/>
      <c r="Y75" s="7466"/>
      <c r="Z75" s="7466"/>
      <c r="AA75" s="7466"/>
      <c r="AB75" s="7466"/>
      <c r="AC75" s="7466"/>
      <c r="AD75" s="7466"/>
      <c r="AE75" s="7466"/>
      <c r="AF75" s="7466"/>
      <c r="AG75" s="7466"/>
      <c r="AH75" s="7466"/>
      <c r="AI75" s="7466"/>
      <c r="AJ75" s="7466"/>
      <c r="AK75" s="7466"/>
      <c r="AL75" s="780"/>
      <c r="AM75" s="1949"/>
      <c r="AN75" s="1949"/>
      <c r="AS75" s="1949"/>
      <c r="AV75" s="781"/>
      <c r="BB75" s="1945"/>
      <c r="BC75" s="1945"/>
      <c r="BD75" s="1945"/>
      <c r="BE75" s="1945"/>
      <c r="BF75" s="1945"/>
    </row>
    <row s="11074" customFormat="1" customHeight="1" ht="18.75">
      <c r="A76" s="1243"/>
      <c r="C76" s="1949"/>
      <c r="D76" s="1951"/>
      <c r="E76" s="783" t="str">
        <f>FHD_NUM_P_38</f>
        <v>5.1</v>
      </c>
      <c r="F76" s="1210" t="str">
        <f>FHD_P_38</f>
        <v>Изменение стоимости основных фондов за счет:</v>
      </c>
      <c r="G76" s="1959" t="s">
        <v>1772</v>
      </c>
      <c r="H76" s="794"/>
      <c r="I76" s="794"/>
      <c r="J76" s="7466"/>
      <c r="K76" s="7466"/>
      <c r="L76" s="7466"/>
      <c r="M76" s="7466"/>
      <c r="N76" s="7466"/>
      <c r="O76" s="7466"/>
      <c r="P76" s="7466"/>
      <c r="Q76" s="7466"/>
      <c r="R76" s="7466"/>
      <c r="S76" s="7466"/>
      <c r="T76" s="7466"/>
      <c r="U76" s="7466"/>
      <c r="V76" s="7466"/>
      <c r="W76" s="7466"/>
      <c r="X76" s="7466"/>
      <c r="Y76" s="7466"/>
      <c r="Z76" s="7466"/>
      <c r="AA76" s="7466"/>
      <c r="AB76" s="7466"/>
      <c r="AC76" s="7466"/>
      <c r="AD76" s="7466"/>
      <c r="AE76" s="7466"/>
      <c r="AF76" s="7466"/>
      <c r="AG76" s="7466"/>
      <c r="AH76" s="7466"/>
      <c r="AI76" s="7466"/>
      <c r="AJ76" s="7466"/>
      <c r="AK76" s="7466"/>
      <c r="AL76" s="780"/>
      <c r="AM76" s="1949"/>
      <c r="AN76" s="1949"/>
      <c r="AS76" s="1949"/>
      <c r="AV76" s="781"/>
      <c r="BB76" s="1945"/>
      <c r="BC76" s="1945"/>
      <c r="BD76" s="1945"/>
      <c r="BE76" s="1945"/>
      <c r="BF76" s="1945"/>
    </row>
    <row s="11074" customFormat="1" customHeight="1" ht="18.75">
      <c r="A77" s="1243"/>
      <c r="C77" s="1949"/>
      <c r="D77" s="1951"/>
      <c r="E77" s="783" t="str">
        <f>FHD_NUM_P_39</f>
        <v>5.1.1</v>
      </c>
      <c r="F77" s="1963" t="str">
        <f>FHD_P_39</f>
        <v>Изменения стоимости основных фондов за счет их ввода в эксплуатацию</v>
      </c>
      <c r="G77" s="1959" t="s">
        <v>1772</v>
      </c>
      <c r="H77" s="794"/>
      <c r="I77" s="794"/>
      <c r="J77" s="7466"/>
      <c r="K77" s="7466"/>
      <c r="L77" s="7466"/>
      <c r="M77" s="7466"/>
      <c r="N77" s="7466"/>
      <c r="O77" s="7466"/>
      <c r="P77" s="7466"/>
      <c r="Q77" s="7466"/>
      <c r="R77" s="7466"/>
      <c r="S77" s="7466"/>
      <c r="T77" s="7466"/>
      <c r="U77" s="7466"/>
      <c r="V77" s="7466"/>
      <c r="W77" s="7466"/>
      <c r="X77" s="7466"/>
      <c r="Y77" s="7466"/>
      <c r="Z77" s="7466"/>
      <c r="AA77" s="7466"/>
      <c r="AB77" s="7466"/>
      <c r="AC77" s="7466"/>
      <c r="AD77" s="7466"/>
      <c r="AE77" s="7466"/>
      <c r="AF77" s="7466"/>
      <c r="AG77" s="7466"/>
      <c r="AH77" s="7466"/>
      <c r="AI77" s="7466"/>
      <c r="AJ77" s="7466"/>
      <c r="AK77" s="7466"/>
      <c r="AL77" s="780"/>
      <c r="AM77" s="1949"/>
      <c r="AN77" s="1949"/>
      <c r="AS77" s="1949"/>
      <c r="AV77" s="781"/>
      <c r="BB77" s="1945"/>
      <c r="BC77" s="1945"/>
      <c r="BD77" s="1945"/>
      <c r="BE77" s="1945"/>
      <c r="BF77" s="1945"/>
    </row>
    <row s="11074" customFormat="1" customHeight="1" ht="18.75">
      <c r="A78" s="1243"/>
      <c r="C78" s="1949"/>
      <c r="D78" s="1951"/>
      <c r="E78" s="783" t="str">
        <f>FHD_NUM_P_40</f>
        <v>5.1.2</v>
      </c>
      <c r="F78" s="1963" t="str">
        <f>FHD_P_40</f>
        <v>Изменения стоимости основных фондов за счет их вывода в эксплуатацию</v>
      </c>
      <c r="G78" s="1959" t="s">
        <v>1772</v>
      </c>
      <c r="H78" s="794"/>
      <c r="I78" s="794"/>
      <c r="J78" s="7466"/>
      <c r="K78" s="7466"/>
      <c r="L78" s="7466"/>
      <c r="M78" s="7466"/>
      <c r="N78" s="7466"/>
      <c r="O78" s="7466"/>
      <c r="P78" s="7466"/>
      <c r="Q78" s="7466"/>
      <c r="R78" s="7466"/>
      <c r="S78" s="7466"/>
      <c r="T78" s="7466"/>
      <c r="U78" s="7466"/>
      <c r="V78" s="7466"/>
      <c r="W78" s="7466"/>
      <c r="X78" s="7466"/>
      <c r="Y78" s="7466"/>
      <c r="Z78" s="7466"/>
      <c r="AA78" s="7466"/>
      <c r="AB78" s="7466"/>
      <c r="AC78" s="7466"/>
      <c r="AD78" s="7466"/>
      <c r="AE78" s="7466"/>
      <c r="AF78" s="7466"/>
      <c r="AG78" s="7466"/>
      <c r="AH78" s="7466"/>
      <c r="AI78" s="7466"/>
      <c r="AJ78" s="7466"/>
      <c r="AK78" s="7466"/>
      <c r="AL78" s="780"/>
      <c r="AM78" s="1949"/>
      <c r="AN78" s="1949"/>
      <c r="AS78" s="1949"/>
      <c r="AV78" s="781"/>
      <c r="BB78" s="1945"/>
      <c r="BC78" s="1945"/>
      <c r="BD78" s="1945"/>
      <c r="BE78" s="1945"/>
      <c r="BF78" s="1945"/>
    </row>
    <row s="11074" customFormat="1" customHeight="1" ht="18.75">
      <c r="A79" s="1243"/>
      <c r="C79" s="1949"/>
      <c r="D79" s="1951"/>
      <c r="E79" s="783" t="str">
        <f>FHD_NUM_P_41</f>
        <v>5.2</v>
      </c>
      <c r="F79" s="1210" t="str">
        <f>FHD_P_41</f>
        <v>Изменение стоимости основных фондов за счет их переоценки</v>
      </c>
      <c r="G79" s="1957" t="s">
        <v>1772</v>
      </c>
      <c r="H79" s="794"/>
      <c r="I79" s="794"/>
      <c r="J79" s="7466"/>
      <c r="K79" s="7466"/>
      <c r="L79" s="7466"/>
      <c r="M79" s="7466"/>
      <c r="N79" s="7466"/>
      <c r="O79" s="7466"/>
      <c r="P79" s="7466"/>
      <c r="Q79" s="7466"/>
      <c r="R79" s="7466"/>
      <c r="S79" s="7466"/>
      <c r="T79" s="7466"/>
      <c r="U79" s="7466"/>
      <c r="V79" s="7466"/>
      <c r="W79" s="7466"/>
      <c r="X79" s="7466"/>
      <c r="Y79" s="7466"/>
      <c r="Z79" s="7466"/>
      <c r="AA79" s="7466"/>
      <c r="AB79" s="7466"/>
      <c r="AC79" s="7466"/>
      <c r="AD79" s="7466"/>
      <c r="AE79" s="7466"/>
      <c r="AF79" s="7466"/>
      <c r="AG79" s="7466"/>
      <c r="AH79" s="7466"/>
      <c r="AI79" s="7466"/>
      <c r="AJ79" s="7466"/>
      <c r="AK79" s="7466"/>
      <c r="AL79" s="780"/>
      <c r="AM79" s="1949"/>
      <c r="AN79" s="1949"/>
      <c r="AS79" s="1949"/>
      <c r="AV79" s="781"/>
      <c r="BB79" s="1945"/>
      <c r="BC79" s="1945"/>
      <c r="BD79" s="1945"/>
      <c r="BE79" s="1945"/>
      <c r="BF79" s="1945"/>
    </row>
    <row s="11074" customFormat="1" customHeight="1" ht="18.75" hidden="1">
      <c r="A80" s="1245" t="s">
        <v>1787</v>
      </c>
      <c r="C80" s="1949"/>
      <c r="D80" s="1951"/>
      <c r="E80" s="783" t="str">
        <f>FHD_NUM_P_42</f>
        <v/>
      </c>
      <c r="F80" s="944" t="str">
        <f>FHD_P_42</f>
        <v/>
      </c>
      <c r="G80" s="1959" t="s">
        <v>1772</v>
      </c>
      <c r="H80" s="1232"/>
      <c r="I80" s="794"/>
      <c r="J80" s="7561"/>
      <c r="K80" s="7561"/>
      <c r="L80" s="7561"/>
      <c r="M80" s="7561"/>
      <c r="N80" s="7561"/>
      <c r="O80" s="7561"/>
      <c r="P80" s="7561"/>
      <c r="Q80" s="7561"/>
      <c r="R80" s="7561"/>
      <c r="S80" s="7561"/>
      <c r="T80" s="7561"/>
      <c r="U80" s="7561"/>
      <c r="V80" s="7561"/>
      <c r="W80" s="7561"/>
      <c r="X80" s="7561"/>
      <c r="Y80" s="7561"/>
      <c r="Z80" s="7561"/>
      <c r="AA80" s="7561"/>
      <c r="AB80" s="7561"/>
      <c r="AC80" s="7561"/>
      <c r="AD80" s="7561"/>
      <c r="AE80" s="7561"/>
      <c r="AF80" s="7561"/>
      <c r="AG80" s="7561"/>
      <c r="AH80" s="7561"/>
      <c r="AI80" s="7561"/>
      <c r="AJ80" s="7561"/>
      <c r="AK80" s="7561"/>
      <c r="AL80" s="780"/>
      <c r="AM80" s="1949"/>
      <c r="AN80" s="1949"/>
      <c r="AS80" s="1949"/>
      <c r="AV80" s="781"/>
      <c r="BB80" s="1945"/>
      <c r="BC80" s="1945"/>
      <c r="BD80" s="1945"/>
      <c r="BE80" s="1945"/>
      <c r="BF80" s="1945"/>
    </row>
    <row s="11074" customFormat="1" customHeight="1" ht="18.75">
      <c r="A81" s="1243"/>
      <c r="C81" s="1949"/>
      <c r="D81" s="1951"/>
      <c r="E81" s="783" t="str">
        <f>FHD_NUM_P_43</f>
        <v>6</v>
      </c>
      <c r="F81" s="944" t="str">
        <f>FHD_P_43</f>
        <v>Годовая бухгалтерская (финансовая) отчетность, включая бухгалтерский баланс и приложения к нему</v>
      </c>
      <c r="G81" s="1959" t="s">
        <v>368</v>
      </c>
      <c r="H81" s="1315"/>
      <c r="I81" s="1061"/>
      <c r="J81" s="7563"/>
      <c r="K81" s="7563"/>
      <c r="L81" s="7563"/>
      <c r="M81" s="7563"/>
      <c r="N81" s="7563"/>
      <c r="O81" s="7563"/>
      <c r="P81" s="7563"/>
      <c r="Q81" s="7563"/>
      <c r="R81" s="7563"/>
      <c r="S81" s="7563"/>
      <c r="T81" s="7563"/>
      <c r="U81" s="7563"/>
      <c r="V81" s="7563"/>
      <c r="W81" s="7563"/>
      <c r="X81" s="7563"/>
      <c r="Y81" s="7563"/>
      <c r="Z81" s="7563"/>
      <c r="AA81" s="7563"/>
      <c r="AB81" s="7563"/>
      <c r="AC81" s="7563"/>
      <c r="AD81" s="7563"/>
      <c r="AE81" s="7563"/>
      <c r="AF81" s="7563"/>
      <c r="AG81" s="7563"/>
      <c r="AH81" s="7563"/>
      <c r="AI81" s="7563"/>
      <c r="AJ81" s="7563"/>
      <c r="AK81" s="7563"/>
      <c r="AL81" s="780"/>
      <c r="AM81" s="1949"/>
      <c r="AN81" s="1949"/>
      <c r="AS81" s="1949"/>
      <c r="AV81" s="781"/>
      <c r="BB81" s="1945"/>
      <c r="BC81" s="1945"/>
      <c r="BD81" s="1945"/>
      <c r="BE81" s="1945"/>
      <c r="BF81" s="1945"/>
    </row>
    <row s="11074" customFormat="1" customHeight="1" ht="18.75" hidden="1">
      <c r="A82" s="2591" t="s">
        <v>1788</v>
      </c>
      <c r="C82" s="973"/>
      <c r="D82" s="971"/>
      <c r="E82" s="783" t="str">
        <f>FHD_NUM_P_44</f>
        <v/>
      </c>
      <c r="F82" s="944" t="str">
        <f>FHD_P_44</f>
        <v/>
      </c>
      <c r="G82" s="958" t="s">
        <v>1789</v>
      </c>
      <c r="H82" s="1233"/>
      <c r="I82" s="814"/>
      <c r="J82" s="7569"/>
      <c r="K82" s="7569"/>
      <c r="L82" s="7569"/>
      <c r="M82" s="7569"/>
      <c r="N82" s="7569"/>
      <c r="O82" s="7569"/>
      <c r="P82" s="7569"/>
      <c r="Q82" s="7569"/>
      <c r="R82" s="7569"/>
      <c r="S82" s="7569"/>
      <c r="T82" s="7569"/>
      <c r="U82" s="7569"/>
      <c r="V82" s="7569"/>
      <c r="W82" s="7569"/>
      <c r="X82" s="7569"/>
      <c r="Y82" s="7569"/>
      <c r="Z82" s="7569"/>
      <c r="AA82" s="7569"/>
      <c r="AB82" s="7569"/>
      <c r="AC82" s="7569"/>
      <c r="AD82" s="7569"/>
      <c r="AE82" s="7569"/>
      <c r="AF82" s="7569"/>
      <c r="AG82" s="7569"/>
      <c r="AH82" s="7569"/>
      <c r="AI82" s="7569"/>
      <c r="AJ82" s="7569"/>
      <c r="AK82" s="7569"/>
      <c r="AL82" s="972"/>
      <c r="AM82" s="973"/>
      <c r="AN82" s="973"/>
      <c r="AS82" s="973"/>
      <c r="AV82" s="974"/>
      <c r="BB82" s="975"/>
      <c r="BC82" s="975"/>
      <c r="BD82" s="975"/>
      <c r="BE82" s="975"/>
      <c r="BF82" s="975"/>
    </row>
    <row s="11074" customFormat="1" customHeight="1" ht="18.75" hidden="1">
      <c r="A83" s="2591"/>
      <c r="C83" s="973"/>
      <c r="D83" s="971"/>
      <c r="E83" s="783" t="str">
        <f>FHD_NUM_P_45</f>
        <v/>
      </c>
      <c r="F83" s="944" t="str">
        <f>FHD_P_45</f>
        <v/>
      </c>
      <c r="G83" s="958" t="s">
        <v>1789</v>
      </c>
      <c r="H83" s="1233"/>
      <c r="I83" s="814"/>
      <c r="J83" s="7569"/>
      <c r="K83" s="7569"/>
      <c r="L83" s="7569"/>
      <c r="M83" s="7569"/>
      <c r="N83" s="7569"/>
      <c r="O83" s="7569"/>
      <c r="P83" s="7569"/>
      <c r="Q83" s="7569"/>
      <c r="R83" s="7569"/>
      <c r="S83" s="7569"/>
      <c r="T83" s="7569"/>
      <c r="U83" s="7569"/>
      <c r="V83" s="7569"/>
      <c r="W83" s="7569"/>
      <c r="X83" s="7569"/>
      <c r="Y83" s="7569"/>
      <c r="Z83" s="7569"/>
      <c r="AA83" s="7569"/>
      <c r="AB83" s="7569"/>
      <c r="AC83" s="7569"/>
      <c r="AD83" s="7569"/>
      <c r="AE83" s="7569"/>
      <c r="AF83" s="7569"/>
      <c r="AG83" s="7569"/>
      <c r="AH83" s="7569"/>
      <c r="AI83" s="7569"/>
      <c r="AJ83" s="7569"/>
      <c r="AK83" s="7569"/>
      <c r="AL83" s="972"/>
      <c r="AM83" s="973"/>
      <c r="AN83" s="973"/>
      <c r="AS83" s="973"/>
      <c r="AV83" s="974"/>
      <c r="BB83" s="975"/>
      <c r="BC83" s="975"/>
      <c r="BD83" s="975"/>
      <c r="BE83" s="975"/>
      <c r="BF83" s="975"/>
    </row>
    <row s="11074" customFormat="1" customHeight="1" ht="18.75" hidden="1">
      <c r="A84" s="2591"/>
      <c r="C84" s="973"/>
      <c r="D84" s="976"/>
      <c r="E84" s="783" t="str">
        <f>FHD_NUM_P_46</f>
        <v/>
      </c>
      <c r="F84" s="944" t="str">
        <f>FHD_P_46</f>
        <v/>
      </c>
      <c r="G84" s="958" t="s">
        <v>1789</v>
      </c>
      <c r="H84" s="1233"/>
      <c r="I84" s="814"/>
      <c r="J84" s="7569"/>
      <c r="K84" s="7569"/>
      <c r="L84" s="7569"/>
      <c r="M84" s="7569"/>
      <c r="N84" s="7569"/>
      <c r="O84" s="7569"/>
      <c r="P84" s="7569"/>
      <c r="Q84" s="7569"/>
      <c r="R84" s="7569"/>
      <c r="S84" s="7569"/>
      <c r="T84" s="7569"/>
      <c r="U84" s="7569"/>
      <c r="V84" s="7569"/>
      <c r="W84" s="7569"/>
      <c r="X84" s="7569"/>
      <c r="Y84" s="7569"/>
      <c r="Z84" s="7569"/>
      <c r="AA84" s="7569"/>
      <c r="AB84" s="7569"/>
      <c r="AC84" s="7569"/>
      <c r="AD84" s="7569"/>
      <c r="AE84" s="7569"/>
      <c r="AF84" s="7569"/>
      <c r="AG84" s="7569"/>
      <c r="AH84" s="7569"/>
      <c r="AI84" s="7569"/>
      <c r="AJ84" s="7569"/>
      <c r="AK84" s="7569"/>
      <c r="AL84" s="972"/>
      <c r="AM84" s="973"/>
      <c r="AN84" s="973"/>
      <c r="AS84" s="973"/>
      <c r="AV84" s="974"/>
      <c r="BB84" s="975"/>
      <c r="BC84" s="975"/>
      <c r="BD84" s="975"/>
      <c r="BE84" s="975"/>
      <c r="BF84" s="975"/>
    </row>
    <row s="11074" customFormat="1" customHeight="1" ht="18.75" hidden="1">
      <c r="A85" s="2591"/>
      <c r="C85" s="973"/>
      <c r="D85" s="971"/>
      <c r="E85" s="783" t="str">
        <f>FHD_NUM_P_47</f>
        <v/>
      </c>
      <c r="F85" s="944" t="str">
        <f>FHD_P_47</f>
        <v/>
      </c>
      <c r="G85" s="958" t="s">
        <v>1789</v>
      </c>
      <c r="H85" s="1233"/>
      <c r="I85" s="814"/>
      <c r="J85" s="7569"/>
      <c r="K85" s="7569"/>
      <c r="L85" s="7569"/>
      <c r="M85" s="7569"/>
      <c r="N85" s="7569"/>
      <c r="O85" s="7569"/>
      <c r="P85" s="7569"/>
      <c r="Q85" s="7569"/>
      <c r="R85" s="7569"/>
      <c r="S85" s="7569"/>
      <c r="T85" s="7569"/>
      <c r="U85" s="7569"/>
      <c r="V85" s="7569"/>
      <c r="W85" s="7569"/>
      <c r="X85" s="7569"/>
      <c r="Y85" s="7569"/>
      <c r="Z85" s="7569"/>
      <c r="AA85" s="7569"/>
      <c r="AB85" s="7569"/>
      <c r="AC85" s="7569"/>
      <c r="AD85" s="7569"/>
      <c r="AE85" s="7569"/>
      <c r="AF85" s="7569"/>
      <c r="AG85" s="7569"/>
      <c r="AH85" s="7569"/>
      <c r="AI85" s="7569"/>
      <c r="AJ85" s="7569"/>
      <c r="AK85" s="7569"/>
      <c r="AL85" s="972"/>
      <c r="AM85" s="973"/>
      <c r="AN85" s="973"/>
      <c r="AS85" s="973"/>
      <c r="AV85" s="974"/>
      <c r="BB85" s="975"/>
      <c r="BC85" s="975"/>
      <c r="BD85" s="975"/>
      <c r="BE85" s="975"/>
      <c r="BF85" s="975"/>
    </row>
    <row s="11126" customFormat="1" customHeight="1" ht="18.75" hidden="1">
      <c r="A86" s="2591"/>
      <c r="B86" s="1165"/>
      <c r="C86" s="973"/>
      <c r="D86" s="971"/>
      <c r="E86" s="783" t="str">
        <f>FHD_NUM_P_48</f>
        <v/>
      </c>
      <c r="F86" s="944" t="str">
        <f>FHD_P_48</f>
        <v/>
      </c>
      <c r="G86" s="958" t="s">
        <v>1789</v>
      </c>
      <c r="H86" s="1233"/>
      <c r="I86" s="814"/>
      <c r="J86" s="7569"/>
      <c r="K86" s="7569"/>
      <c r="L86" s="7569"/>
      <c r="M86" s="7569"/>
      <c r="N86" s="7569"/>
      <c r="O86" s="7569"/>
      <c r="P86" s="7569"/>
      <c r="Q86" s="7569"/>
      <c r="R86" s="7569"/>
      <c r="S86" s="7569"/>
      <c r="T86" s="7569"/>
      <c r="U86" s="7569"/>
      <c r="V86" s="7569"/>
      <c r="W86" s="7569"/>
      <c r="X86" s="7569"/>
      <c r="Y86" s="7569"/>
      <c r="Z86" s="7569"/>
      <c r="AA86" s="7569"/>
      <c r="AB86" s="7569"/>
      <c r="AC86" s="7569"/>
      <c r="AD86" s="7569"/>
      <c r="AE86" s="7569"/>
      <c r="AF86" s="7569"/>
      <c r="AG86" s="7569"/>
      <c r="AH86" s="7569"/>
      <c r="AI86" s="7569"/>
      <c r="AJ86" s="7569"/>
      <c r="AK86" s="7569"/>
      <c r="AL86" s="972"/>
      <c r="AM86" s="973"/>
      <c r="AN86" s="973"/>
      <c r="AO86" s="1165"/>
      <c r="AP86" s="1165"/>
      <c r="AQ86" s="1165"/>
      <c r="AR86" s="1165"/>
      <c r="AS86" s="973"/>
      <c r="AT86" s="1165"/>
      <c r="AU86" s="1165"/>
      <c r="AV86" s="974"/>
      <c r="AW86" s="1165"/>
      <c r="AX86" s="1165"/>
      <c r="AY86" s="1165"/>
      <c r="AZ86" s="1165"/>
      <c r="BA86" s="1165"/>
      <c r="BB86" s="975"/>
      <c r="BC86" s="975"/>
      <c r="BD86" s="975"/>
      <c r="BE86" s="975"/>
      <c r="BF86" s="975"/>
    </row>
    <row s="11126" customFormat="1" customHeight="1" ht="18.75" hidden="1">
      <c r="A87" s="2591"/>
      <c r="B87" s="1165"/>
      <c r="C87" s="973"/>
      <c r="D87" s="971"/>
      <c r="E87" s="783" t="str">
        <f>FHD_NUM_P_49</f>
        <v/>
      </c>
      <c r="F87" s="944" t="str">
        <f>FHD_P_49</f>
        <v/>
      </c>
      <c r="G87" s="958" t="s">
        <v>1789</v>
      </c>
      <c r="H87" s="1234">
        <f>SUM(H88:H89)</f>
        <v>0</v>
      </c>
      <c r="I87" s="987">
        <f>SUM(I88:I89)</f>
        <v>0</v>
      </c>
      <c r="J87" s="7578">
        <f>SUM(J88:J89)</f>
        <v>0</v>
      </c>
      <c r="K87" s="7578">
        <f>SUM(K88:K89)</f>
        <v>0</v>
      </c>
      <c r="L87" s="7578">
        <f>SUM(L88:L89)</f>
        <v>0</v>
      </c>
      <c r="M87" s="7578">
        <f>SUM(M88:M89)</f>
        <v>0</v>
      </c>
      <c r="N87" s="7578">
        <f>SUM(N88:N89)</f>
        <v>0</v>
      </c>
      <c r="O87" s="7578">
        <f>SUM(O88:O89)</f>
        <v>0</v>
      </c>
      <c r="P87" s="7578">
        <f>SUM(P88:P89)</f>
        <v>0</v>
      </c>
      <c r="Q87" s="7578">
        <f>SUM(Q88:Q89)</f>
        <v>0</v>
      </c>
      <c r="R87" s="7578">
        <f>SUM(R88:R89)</f>
        <v>0</v>
      </c>
      <c r="S87" s="7578">
        <f>SUM(S88:S89)</f>
        <v>0</v>
      </c>
      <c r="T87" s="7578">
        <f>SUM(T88:T89)</f>
        <v>0</v>
      </c>
      <c r="U87" s="7578">
        <f>SUM(U88:U89)</f>
        <v>0</v>
      </c>
      <c r="V87" s="7578">
        <f>SUM(V88:V89)</f>
        <v>0</v>
      </c>
      <c r="W87" s="7578">
        <f>SUM(W88:W89)</f>
        <v>0</v>
      </c>
      <c r="X87" s="7578">
        <f>SUM(X88:X89)</f>
        <v>0</v>
      </c>
      <c r="Y87" s="7578">
        <f>SUM(Y88:Y89)</f>
        <v>0</v>
      </c>
      <c r="Z87" s="7578">
        <f>SUM(Z88:Z89)</f>
        <v>0</v>
      </c>
      <c r="AA87" s="7578">
        <f>SUM(AA88:AA89)</f>
        <v>0</v>
      </c>
      <c r="AB87" s="7578">
        <f>SUM(AB88:AB89)</f>
        <v>0</v>
      </c>
      <c r="AC87" s="7578">
        <f>SUM(AC88:AC89)</f>
        <v>0</v>
      </c>
      <c r="AD87" s="7578">
        <f>SUM(AD88:AD89)</f>
        <v>0</v>
      </c>
      <c r="AE87" s="7578">
        <f>SUM(AE88:AE89)</f>
        <v>0</v>
      </c>
      <c r="AF87" s="7578">
        <f>SUM(AF88:AF89)</f>
        <v>0</v>
      </c>
      <c r="AG87" s="7578">
        <f>SUM(AG88:AG89)</f>
        <v>0</v>
      </c>
      <c r="AH87" s="7578">
        <f>SUM(AH88:AH89)</f>
        <v>0</v>
      </c>
      <c r="AI87" s="7578">
        <f>SUM(AI88:AI89)</f>
        <v>0</v>
      </c>
      <c r="AJ87" s="7578">
        <f>SUM(AJ88:AJ89)</f>
        <v>0</v>
      </c>
      <c r="AK87" s="7578">
        <f>SUM(AK88:AK89)</f>
        <v>0</v>
      </c>
      <c r="AL87" s="972"/>
      <c r="AM87" s="973"/>
      <c r="AN87" s="973"/>
      <c r="AO87" s="1165"/>
      <c r="AP87" s="1165"/>
      <c r="AQ87" s="1165"/>
      <c r="AR87" s="1165"/>
      <c r="AS87" s="973"/>
      <c r="AT87" s="1165"/>
      <c r="AU87" s="1165"/>
      <c r="AV87" s="974"/>
      <c r="AW87" s="1165"/>
      <c r="AX87" s="1165"/>
      <c r="AY87" s="1165"/>
      <c r="AZ87" s="1165"/>
      <c r="BA87" s="1165"/>
      <c r="BB87" s="975"/>
      <c r="BC87" s="975"/>
      <c r="BD87" s="975"/>
      <c r="BE87" s="975"/>
      <c r="BF87" s="975"/>
    </row>
    <row s="11126" customFormat="1" customHeight="1" ht="18.75" hidden="1">
      <c r="A88" s="2591"/>
      <c r="B88" s="1165"/>
      <c r="C88" s="973"/>
      <c r="D88" s="971"/>
      <c r="E88" s="783" t="str">
        <f>FHD_NUM_P_50</f>
        <v/>
      </c>
      <c r="F88" s="944" t="str">
        <f>FHD_P_50</f>
        <v/>
      </c>
      <c r="G88" s="958" t="s">
        <v>1789</v>
      </c>
      <c r="H88" s="1233"/>
      <c r="I88" s="814"/>
      <c r="J88" s="7569"/>
      <c r="K88" s="7569"/>
      <c r="L88" s="7569"/>
      <c r="M88" s="7569"/>
      <c r="N88" s="7569"/>
      <c r="O88" s="7569"/>
      <c r="P88" s="7569"/>
      <c r="Q88" s="7569"/>
      <c r="R88" s="7569"/>
      <c r="S88" s="7569"/>
      <c r="T88" s="7569"/>
      <c r="U88" s="7569"/>
      <c r="V88" s="7569"/>
      <c r="W88" s="7569"/>
      <c r="X88" s="7569"/>
      <c r="Y88" s="7569"/>
      <c r="Z88" s="7569"/>
      <c r="AA88" s="7569"/>
      <c r="AB88" s="7569"/>
      <c r="AC88" s="7569"/>
      <c r="AD88" s="7569"/>
      <c r="AE88" s="7569"/>
      <c r="AF88" s="7569"/>
      <c r="AG88" s="7569"/>
      <c r="AH88" s="7569"/>
      <c r="AI88" s="7569"/>
      <c r="AJ88" s="7569"/>
      <c r="AK88" s="7569"/>
      <c r="AL88" s="972"/>
      <c r="AM88" s="973"/>
      <c r="AN88" s="973"/>
      <c r="AO88" s="1165"/>
      <c r="AP88" s="1165"/>
      <c r="AQ88" s="1165"/>
      <c r="AR88" s="1165"/>
      <c r="AS88" s="973"/>
      <c r="AT88" s="1165"/>
      <c r="AU88" s="1165"/>
      <c r="AV88" s="974"/>
      <c r="AW88" s="1165"/>
      <c r="AX88" s="1165"/>
      <c r="AY88" s="1165"/>
      <c r="AZ88" s="1165"/>
      <c r="BA88" s="1165"/>
      <c r="BB88" s="975"/>
      <c r="BC88" s="975"/>
      <c r="BD88" s="975"/>
      <c r="BE88" s="975"/>
      <c r="BF88" s="975"/>
    </row>
    <row s="11126" customFormat="1" customHeight="1" ht="18.75" hidden="1">
      <c r="A89" s="2591"/>
      <c r="B89" s="1165"/>
      <c r="C89" s="973"/>
      <c r="D89" s="971"/>
      <c r="E89" s="783" t="str">
        <f>FHD_NUM_P_51</f>
        <v/>
      </c>
      <c r="F89" s="944" t="str">
        <f>FHD_P_51</f>
        <v/>
      </c>
      <c r="G89" s="958" t="s">
        <v>1789</v>
      </c>
      <c r="H89" s="1233"/>
      <c r="I89" s="814"/>
      <c r="J89" s="7569"/>
      <c r="K89" s="7569"/>
      <c r="L89" s="7569"/>
      <c r="M89" s="7569"/>
      <c r="N89" s="7569"/>
      <c r="O89" s="7569"/>
      <c r="P89" s="7569"/>
      <c r="Q89" s="7569"/>
      <c r="R89" s="7569"/>
      <c r="S89" s="7569"/>
      <c r="T89" s="7569"/>
      <c r="U89" s="7569"/>
      <c r="V89" s="7569"/>
      <c r="W89" s="7569"/>
      <c r="X89" s="7569"/>
      <c r="Y89" s="7569"/>
      <c r="Z89" s="7569"/>
      <c r="AA89" s="7569"/>
      <c r="AB89" s="7569"/>
      <c r="AC89" s="7569"/>
      <c r="AD89" s="7569"/>
      <c r="AE89" s="7569"/>
      <c r="AF89" s="7569"/>
      <c r="AG89" s="7569"/>
      <c r="AH89" s="7569"/>
      <c r="AI89" s="7569"/>
      <c r="AJ89" s="7569"/>
      <c r="AK89" s="7569"/>
      <c r="AL89" s="972"/>
      <c r="AM89" s="973"/>
      <c r="AN89" s="973"/>
      <c r="AO89" s="1165"/>
      <c r="AP89" s="1165"/>
      <c r="AQ89" s="1165"/>
      <c r="AR89" s="1165"/>
      <c r="AS89" s="973"/>
      <c r="AT89" s="1165"/>
      <c r="AU89" s="1165"/>
      <c r="AV89" s="974"/>
      <c r="AW89" s="1165"/>
      <c r="AX89" s="1165"/>
      <c r="AY89" s="1165"/>
      <c r="AZ89" s="1165"/>
      <c r="BA89" s="1165"/>
      <c r="BB89" s="975"/>
      <c r="BC89" s="975"/>
      <c r="BD89" s="975"/>
      <c r="BE89" s="975"/>
      <c r="BF89" s="975"/>
    </row>
    <row s="11126" customFormat="1" customHeight="1" ht="18.75" hidden="1">
      <c r="A90" s="2591"/>
      <c r="B90" s="1165"/>
      <c r="C90" s="973"/>
      <c r="D90" s="971"/>
      <c r="E90" s="783" t="str">
        <f>FHD_NUM_P_52</f>
        <v/>
      </c>
      <c r="F90" s="944" t="str">
        <f>FHD_P_52</f>
        <v/>
      </c>
      <c r="G90" s="958" t="s">
        <v>1674</v>
      </c>
      <c r="H90" s="1232"/>
      <c r="I90" s="794"/>
      <c r="J90" s="7561"/>
      <c r="K90" s="7561"/>
      <c r="L90" s="7561"/>
      <c r="M90" s="7561"/>
      <c r="N90" s="7561"/>
      <c r="O90" s="7561"/>
      <c r="P90" s="7561"/>
      <c r="Q90" s="7561"/>
      <c r="R90" s="7561"/>
      <c r="S90" s="7561"/>
      <c r="T90" s="7561"/>
      <c r="U90" s="7561"/>
      <c r="V90" s="7561"/>
      <c r="W90" s="7561"/>
      <c r="X90" s="7561"/>
      <c r="Y90" s="7561"/>
      <c r="Z90" s="7561"/>
      <c r="AA90" s="7561"/>
      <c r="AB90" s="7561"/>
      <c r="AC90" s="7561"/>
      <c r="AD90" s="7561"/>
      <c r="AE90" s="7561"/>
      <c r="AF90" s="7561"/>
      <c r="AG90" s="7561"/>
      <c r="AH90" s="7561"/>
      <c r="AI90" s="7561"/>
      <c r="AJ90" s="7561"/>
      <c r="AK90" s="7561"/>
      <c r="AL90" s="972"/>
      <c r="AM90" s="973"/>
      <c r="AN90" s="973"/>
      <c r="AO90" s="1165"/>
      <c r="AP90" s="1165"/>
      <c r="AQ90" s="1165"/>
      <c r="AR90" s="1165"/>
      <c r="AS90" s="973"/>
      <c r="AT90" s="1165"/>
      <c r="AU90" s="1165"/>
      <c r="AV90" s="974"/>
      <c r="AW90" s="1165"/>
      <c r="AX90" s="1165"/>
      <c r="AY90" s="1165"/>
      <c r="AZ90" s="1165"/>
      <c r="BA90" s="1165"/>
      <c r="BB90" s="975"/>
      <c r="BC90" s="975"/>
      <c r="BD90" s="975"/>
      <c r="BE90" s="975"/>
      <c r="BF90" s="975"/>
    </row>
    <row s="11074" customFormat="1" customHeight="1" ht="18.75" hidden="1">
      <c r="A91" s="2593" t="s">
        <v>1790</v>
      </c>
      <c r="C91" s="973"/>
      <c r="D91" s="971"/>
      <c r="E91" s="783" t="str">
        <f>FHD_NUM_P_53</f>
        <v/>
      </c>
      <c r="F91" s="944" t="str">
        <f>FHD_P_53</f>
        <v/>
      </c>
      <c r="G91" s="958" t="s">
        <v>1789</v>
      </c>
      <c r="H91" s="1233"/>
      <c r="I91" s="814"/>
      <c r="J91" s="7569"/>
      <c r="K91" s="7569"/>
      <c r="L91" s="7569"/>
      <c r="M91" s="7569"/>
      <c r="N91" s="7569"/>
      <c r="O91" s="7569"/>
      <c r="P91" s="7569"/>
      <c r="Q91" s="7569"/>
      <c r="R91" s="7569"/>
      <c r="S91" s="7569"/>
      <c r="T91" s="7569"/>
      <c r="U91" s="7569"/>
      <c r="V91" s="7569"/>
      <c r="W91" s="7569"/>
      <c r="X91" s="7569"/>
      <c r="Y91" s="7569"/>
      <c r="Z91" s="7569"/>
      <c r="AA91" s="7569"/>
      <c r="AB91" s="7569"/>
      <c r="AC91" s="7569"/>
      <c r="AD91" s="7569"/>
      <c r="AE91" s="7569"/>
      <c r="AF91" s="7569"/>
      <c r="AG91" s="7569"/>
      <c r="AH91" s="7569"/>
      <c r="AI91" s="7569"/>
      <c r="AJ91" s="7569"/>
      <c r="AK91" s="7569"/>
      <c r="AL91" s="972"/>
      <c r="AM91" s="973"/>
      <c r="AN91" s="973"/>
      <c r="AS91" s="973"/>
      <c r="AV91" s="974"/>
      <c r="BB91" s="975"/>
      <c r="BC91" s="975"/>
      <c r="BD91" s="975"/>
      <c r="BE91" s="975"/>
      <c r="BF91" s="975"/>
    </row>
    <row s="11074" customFormat="1" customHeight="1" ht="18.75" hidden="1">
      <c r="A92" s="2593"/>
      <c r="C92" s="973"/>
      <c r="D92" s="971"/>
      <c r="E92" s="783" t="str">
        <f>FHD_NUM_P_54</f>
        <v/>
      </c>
      <c r="F92" s="944" t="str">
        <f>FHD_P_54</f>
        <v/>
      </c>
      <c r="G92" s="958" t="s">
        <v>1789</v>
      </c>
      <c r="H92" s="1233"/>
      <c r="I92" s="814"/>
      <c r="J92" s="7569"/>
      <c r="K92" s="7569"/>
      <c r="L92" s="7569"/>
      <c r="M92" s="7569"/>
      <c r="N92" s="7569"/>
      <c r="O92" s="7569"/>
      <c r="P92" s="7569"/>
      <c r="Q92" s="7569"/>
      <c r="R92" s="7569"/>
      <c r="S92" s="7569"/>
      <c r="T92" s="7569"/>
      <c r="U92" s="7569"/>
      <c r="V92" s="7569"/>
      <c r="W92" s="7569"/>
      <c r="X92" s="7569"/>
      <c r="Y92" s="7569"/>
      <c r="Z92" s="7569"/>
      <c r="AA92" s="7569"/>
      <c r="AB92" s="7569"/>
      <c r="AC92" s="7569"/>
      <c r="AD92" s="7569"/>
      <c r="AE92" s="7569"/>
      <c r="AF92" s="7569"/>
      <c r="AG92" s="7569"/>
      <c r="AH92" s="7569"/>
      <c r="AI92" s="7569"/>
      <c r="AJ92" s="7569"/>
      <c r="AK92" s="7569"/>
      <c r="AL92" s="972"/>
      <c r="AM92" s="973"/>
      <c r="AN92" s="973"/>
      <c r="AS92" s="973"/>
      <c r="AV92" s="974"/>
      <c r="BB92" s="975"/>
      <c r="BC92" s="975"/>
      <c r="BD92" s="975"/>
      <c r="BE92" s="975"/>
      <c r="BF92" s="975"/>
    </row>
    <row s="11074" customFormat="1" customHeight="1" ht="18.75" hidden="1">
      <c r="A93" s="2593"/>
      <c r="C93" s="973"/>
      <c r="D93" s="976"/>
      <c r="E93" s="783" t="str">
        <f>FHD_NUM_P_55</f>
        <v/>
      </c>
      <c r="F93" s="944" t="str">
        <f>FHD_P_55</f>
        <v/>
      </c>
      <c r="G93" s="1139"/>
      <c r="H93" s="1233"/>
      <c r="I93" s="814"/>
      <c r="J93" s="7569"/>
      <c r="K93" s="7569"/>
      <c r="L93" s="7569"/>
      <c r="M93" s="7569"/>
      <c r="N93" s="7569"/>
      <c r="O93" s="7569"/>
      <c r="P93" s="7569"/>
      <c r="Q93" s="7569"/>
      <c r="R93" s="7569"/>
      <c r="S93" s="7569"/>
      <c r="T93" s="7569"/>
      <c r="U93" s="7569"/>
      <c r="V93" s="7569"/>
      <c r="W93" s="7569"/>
      <c r="X93" s="7569"/>
      <c r="Y93" s="7569"/>
      <c r="Z93" s="7569"/>
      <c r="AA93" s="7569"/>
      <c r="AB93" s="7569"/>
      <c r="AC93" s="7569"/>
      <c r="AD93" s="7569"/>
      <c r="AE93" s="7569"/>
      <c r="AF93" s="7569"/>
      <c r="AG93" s="7569"/>
      <c r="AH93" s="7569"/>
      <c r="AI93" s="7569"/>
      <c r="AJ93" s="7569"/>
      <c r="AK93" s="7569"/>
      <c r="AL93" s="972"/>
      <c r="AM93" s="973"/>
      <c r="AN93" s="973"/>
      <c r="AS93" s="973"/>
      <c r="AV93" s="974"/>
      <c r="BB93" s="975"/>
      <c r="BC93" s="975"/>
      <c r="BD93" s="975"/>
      <c r="BE93" s="975"/>
      <c r="BF93" s="975"/>
    </row>
    <row s="11074" customFormat="1" customHeight="1" ht="18.75" hidden="1">
      <c r="A94" s="2593"/>
      <c r="C94" s="973"/>
      <c r="D94" s="971"/>
      <c r="E94" s="783" t="str">
        <f>FHD_NUM_P_56</f>
        <v/>
      </c>
      <c r="F94" s="944" t="str">
        <f>FHD_P_56</f>
        <v/>
      </c>
      <c r="G94" s="958" t="s">
        <v>1077</v>
      </c>
      <c r="H94" s="1233"/>
      <c r="I94" s="814"/>
      <c r="J94" s="7569"/>
      <c r="K94" s="7569"/>
      <c r="L94" s="7569"/>
      <c r="M94" s="7569"/>
      <c r="N94" s="7569"/>
      <c r="O94" s="7569"/>
      <c r="P94" s="7569"/>
      <c r="Q94" s="7569"/>
      <c r="R94" s="7569"/>
      <c r="S94" s="7569"/>
      <c r="T94" s="7569"/>
      <c r="U94" s="7569"/>
      <c r="V94" s="7569"/>
      <c r="W94" s="7569"/>
      <c r="X94" s="7569"/>
      <c r="Y94" s="7569"/>
      <c r="Z94" s="7569"/>
      <c r="AA94" s="7569"/>
      <c r="AB94" s="7569"/>
      <c r="AC94" s="7569"/>
      <c r="AD94" s="7569"/>
      <c r="AE94" s="7569"/>
      <c r="AF94" s="7569"/>
      <c r="AG94" s="7569"/>
      <c r="AH94" s="7569"/>
      <c r="AI94" s="7569"/>
      <c r="AJ94" s="7569"/>
      <c r="AK94" s="7569"/>
      <c r="AL94" s="972"/>
      <c r="AM94" s="973"/>
      <c r="AN94" s="973"/>
      <c r="AS94" s="973"/>
      <c r="AV94" s="974"/>
      <c r="BB94" s="975"/>
      <c r="BC94" s="975"/>
      <c r="BD94" s="975"/>
      <c r="BE94" s="975"/>
      <c r="BF94" s="975"/>
    </row>
    <row s="11126" customFormat="1" customHeight="1" ht="18.75" hidden="1">
      <c r="A95" s="2593"/>
      <c r="B95" s="1165"/>
      <c r="C95" s="973"/>
      <c r="D95" s="971"/>
      <c r="E95" s="783" t="str">
        <f>FHD_NUM_P_57</f>
        <v/>
      </c>
      <c r="F95" s="944" t="str">
        <f>FHD_P_57</f>
        <v/>
      </c>
      <c r="G95" s="958" t="s">
        <v>1674</v>
      </c>
      <c r="H95" s="1232"/>
      <c r="I95" s="794"/>
      <c r="J95" s="7561"/>
      <c r="K95" s="7561"/>
      <c r="L95" s="7561"/>
      <c r="M95" s="7561"/>
      <c r="N95" s="7561"/>
      <c r="O95" s="7561"/>
      <c r="P95" s="7561"/>
      <c r="Q95" s="7561"/>
      <c r="R95" s="7561"/>
      <c r="S95" s="7561"/>
      <c r="T95" s="7561"/>
      <c r="U95" s="7561"/>
      <c r="V95" s="7561"/>
      <c r="W95" s="7561"/>
      <c r="X95" s="7561"/>
      <c r="Y95" s="7561"/>
      <c r="Z95" s="7561"/>
      <c r="AA95" s="7561"/>
      <c r="AB95" s="7561"/>
      <c r="AC95" s="7561"/>
      <c r="AD95" s="7561"/>
      <c r="AE95" s="7561"/>
      <c r="AF95" s="7561"/>
      <c r="AG95" s="7561"/>
      <c r="AH95" s="7561"/>
      <c r="AI95" s="7561"/>
      <c r="AJ95" s="7561"/>
      <c r="AK95" s="7561"/>
      <c r="AL95" s="972"/>
      <c r="AM95" s="973"/>
      <c r="AN95" s="973"/>
      <c r="AO95" s="1165"/>
      <c r="AP95" s="1165"/>
      <c r="AQ95" s="1165"/>
      <c r="AR95" s="1165"/>
      <c r="AS95" s="973"/>
      <c r="AT95" s="1165"/>
      <c r="AU95" s="1165"/>
      <c r="AV95" s="974"/>
      <c r="AW95" s="1165"/>
      <c r="AX95" s="1165"/>
      <c r="AY95" s="1165"/>
      <c r="AZ95" s="1165"/>
      <c r="BA95" s="1165"/>
      <c r="BB95" s="975"/>
      <c r="BC95" s="975"/>
      <c r="BD95" s="975"/>
      <c r="BE95" s="975"/>
      <c r="BF95" s="975"/>
    </row>
    <row customHeight="1" ht="18.75" hidden="1">
      <c r="A96" s="2591" t="s">
        <v>1791</v>
      </c>
      <c r="D96" s="1951"/>
      <c r="E96" s="783" t="str">
        <f>FHD_NUM_P_58</f>
        <v/>
      </c>
      <c r="F96" s="944" t="str">
        <f>FHD_P_58</f>
        <v/>
      </c>
      <c r="G96" s="958" t="s">
        <v>1789</v>
      </c>
      <c r="H96" s="1233"/>
      <c r="I96" s="814"/>
      <c r="J96" s="7569"/>
      <c r="K96" s="7569"/>
      <c r="L96" s="7569"/>
      <c r="M96" s="7569"/>
      <c r="N96" s="7569"/>
      <c r="O96" s="7569"/>
      <c r="P96" s="7569"/>
      <c r="Q96" s="7569"/>
      <c r="R96" s="7569"/>
      <c r="S96" s="7569"/>
      <c r="T96" s="7569"/>
      <c r="U96" s="7569"/>
      <c r="V96" s="7569"/>
      <c r="W96" s="7569"/>
      <c r="X96" s="7569"/>
      <c r="Y96" s="7569"/>
      <c r="Z96" s="7569"/>
      <c r="AA96" s="7569"/>
      <c r="AB96" s="7569"/>
      <c r="AC96" s="7569"/>
      <c r="AD96" s="7569"/>
      <c r="AE96" s="7569"/>
      <c r="AF96" s="7569"/>
      <c r="AG96" s="7569"/>
      <c r="AH96" s="7569"/>
      <c r="AI96" s="7569"/>
      <c r="AJ96" s="7569"/>
      <c r="AK96" s="7569"/>
      <c r="AL96" s="780"/>
    </row>
    <row customHeight="1" ht="18.75" hidden="1">
      <c r="A97" s="2591"/>
      <c r="D97" s="1951"/>
      <c r="E97" s="783" t="str">
        <f>FHD_NUM_P_59</f>
        <v/>
      </c>
      <c r="F97" s="944" t="str">
        <f>FHD_P_59</f>
        <v/>
      </c>
      <c r="G97" s="958" t="s">
        <v>1789</v>
      </c>
      <c r="H97" s="1233"/>
      <c r="I97" s="814"/>
      <c r="J97" s="7569"/>
      <c r="K97" s="7569"/>
      <c r="L97" s="7569"/>
      <c r="M97" s="7569"/>
      <c r="N97" s="7569"/>
      <c r="O97" s="7569"/>
      <c r="P97" s="7569"/>
      <c r="Q97" s="7569"/>
      <c r="R97" s="7569"/>
      <c r="S97" s="7569"/>
      <c r="T97" s="7569"/>
      <c r="U97" s="7569"/>
      <c r="V97" s="7569"/>
      <c r="W97" s="7569"/>
      <c r="X97" s="7569"/>
      <c r="Y97" s="7569"/>
      <c r="Z97" s="7569"/>
      <c r="AA97" s="7569"/>
      <c r="AB97" s="7569"/>
      <c r="AC97" s="7569"/>
      <c r="AD97" s="7569"/>
      <c r="AE97" s="7569"/>
      <c r="AF97" s="7569"/>
      <c r="AG97" s="7569"/>
      <c r="AH97" s="7569"/>
      <c r="AI97" s="7569"/>
      <c r="AJ97" s="7569"/>
      <c r="AK97" s="7569"/>
      <c r="AL97" s="780"/>
    </row>
    <row customHeight="1" ht="18.75" hidden="1">
      <c r="A98" s="2591"/>
      <c r="D98" s="1951"/>
      <c r="E98" s="783" t="str">
        <f>FHD_NUM_P_60</f>
        <v/>
      </c>
      <c r="F98" s="944" t="str">
        <f>FHD_P_60</f>
        <v/>
      </c>
      <c r="G98" s="958" t="s">
        <v>1789</v>
      </c>
      <c r="H98" s="1233"/>
      <c r="I98" s="814"/>
      <c r="J98" s="7569"/>
      <c r="K98" s="7569"/>
      <c r="L98" s="7569"/>
      <c r="M98" s="7569"/>
      <c r="N98" s="7569"/>
      <c r="O98" s="7569"/>
      <c r="P98" s="7569"/>
      <c r="Q98" s="7569"/>
      <c r="R98" s="7569"/>
      <c r="S98" s="7569"/>
      <c r="T98" s="7569"/>
      <c r="U98" s="7569"/>
      <c r="V98" s="7569"/>
      <c r="W98" s="7569"/>
      <c r="X98" s="7569"/>
      <c r="Y98" s="7569"/>
      <c r="Z98" s="7569"/>
      <c r="AA98" s="7569"/>
      <c r="AB98" s="7569"/>
      <c r="AC98" s="7569"/>
      <c r="AD98" s="7569"/>
      <c r="AE98" s="7569"/>
      <c r="AF98" s="7569"/>
      <c r="AG98" s="7569"/>
      <c r="AH98" s="7569"/>
      <c r="AI98" s="7569"/>
      <c r="AJ98" s="7569"/>
      <c r="AK98" s="7569"/>
      <c r="AL98" s="780"/>
    </row>
    <row s="11074" customFormat="1" customHeight="1" ht="18.75">
      <c r="A99" s="2591" t="s">
        <v>1792</v>
      </c>
      <c r="C99" s="1949"/>
      <c r="D99" s="1951"/>
      <c r="E99" s="783" t="str">
        <f>FHD_NUM_P_61</f>
        <v>7</v>
      </c>
      <c r="F99" s="944" t="str">
        <f>FHD_P_61</f>
        <v>Установленная тепловая мощность объектов основных фондов, используемых для теплоснабжения, в том числе по каждому источнику тепловой энергии</v>
      </c>
      <c r="G99" s="1959" t="s">
        <v>861</v>
      </c>
      <c r="H99" s="1235"/>
      <c r="I99" s="980"/>
      <c r="J99" s="7583"/>
      <c r="K99" s="7583"/>
      <c r="L99" s="7583"/>
      <c r="M99" s="7583"/>
      <c r="N99" s="7583"/>
      <c r="O99" s="7583"/>
      <c r="P99" s="7583"/>
      <c r="Q99" s="7583"/>
      <c r="R99" s="7583"/>
      <c r="S99" s="7583"/>
      <c r="T99" s="7583"/>
      <c r="U99" s="7583"/>
      <c r="V99" s="7583"/>
      <c r="W99" s="7583"/>
      <c r="X99" s="7583"/>
      <c r="Y99" s="7583"/>
      <c r="Z99" s="7583"/>
      <c r="AA99" s="7583"/>
      <c r="AB99" s="7583"/>
      <c r="AC99" s="7583"/>
      <c r="AD99" s="7583"/>
      <c r="AE99" s="7583"/>
      <c r="AF99" s="7583"/>
      <c r="AG99" s="7583"/>
      <c r="AH99" s="7583"/>
      <c r="AI99" s="7583"/>
      <c r="AJ99" s="7583"/>
      <c r="AK99" s="7583"/>
      <c r="AL99" s="780"/>
      <c r="AM99" s="1949"/>
      <c r="AN99" s="1949"/>
      <c r="AS99" s="1949"/>
      <c r="AV99" s="781"/>
      <c r="BB99" s="1945"/>
      <c r="BC99" s="1945"/>
      <c r="BD99" s="1945"/>
      <c r="BE99" s="1945"/>
      <c r="BF99" s="1945"/>
    </row>
    <row s="10863" customFormat="1" customHeight="1" ht="0.75">
      <c r="A100" s="2591"/>
      <c r="D100" s="785"/>
      <c r="E100" s="1042" t="str">
        <f>E99&amp;".0"</f>
        <v>7.0</v>
      </c>
      <c r="F100" s="1250"/>
      <c r="G100" s="1251"/>
      <c r="H100" s="1248"/>
      <c r="I100" s="1248"/>
      <c r="J100" s="7531"/>
      <c r="K100" s="7531"/>
      <c r="L100" s="7531"/>
      <c r="M100" s="7531"/>
      <c r="N100" s="7531"/>
      <c r="O100" s="7531"/>
      <c r="P100" s="7531"/>
      <c r="Q100" s="7531"/>
      <c r="R100" s="7531"/>
      <c r="S100" s="7531"/>
      <c r="T100" s="7531"/>
      <c r="U100" s="7531"/>
      <c r="V100" s="7531"/>
      <c r="W100" s="7531"/>
      <c r="X100" s="7531"/>
      <c r="Y100" s="7531"/>
      <c r="Z100" s="7531"/>
      <c r="AA100" s="7531"/>
      <c r="AB100" s="7531"/>
      <c r="AC100" s="7531"/>
      <c r="AD100" s="7531"/>
      <c r="AE100" s="7531"/>
      <c r="AF100" s="7531"/>
      <c r="AG100" s="7531"/>
      <c r="AH100" s="7531"/>
      <c r="AI100" s="7531"/>
      <c r="AJ100" s="7531"/>
      <c r="AK100" s="7531"/>
    </row>
    <row customHeight="1" ht="15">
      <c r="A101" s="2591"/>
      <c r="D101" s="1946"/>
      <c r="E101" s="1227"/>
      <c r="F101" s="1228" t="s">
        <v>1612</v>
      </c>
      <c r="G101" s="809"/>
      <c r="H101" s="810"/>
      <c r="I101" s="810"/>
      <c r="J101" s="7588"/>
      <c r="K101" s="7589"/>
      <c r="L101" s="7590"/>
      <c r="M101" s="7591"/>
      <c r="N101" s="7592"/>
      <c r="O101" s="7593"/>
      <c r="P101" s="7594"/>
      <c r="Q101" s="7595"/>
      <c r="R101" s="7596"/>
      <c r="S101" s="7597"/>
      <c r="T101" s="7598"/>
      <c r="U101" s="7599"/>
      <c r="V101" s="7600"/>
      <c r="W101" s="7601"/>
      <c r="X101" s="7602"/>
      <c r="Y101" s="7603"/>
      <c r="Z101" s="7604"/>
      <c r="AA101" s="7605"/>
      <c r="AB101" s="7606"/>
      <c r="AC101" s="7607"/>
      <c r="AD101" s="7608"/>
      <c r="AE101" s="7609"/>
      <c r="AF101" s="7610"/>
      <c r="AG101" s="7611"/>
      <c r="AH101" s="7612"/>
      <c r="AI101" s="7613"/>
      <c r="AJ101" s="7614"/>
      <c r="AK101" s="7615"/>
      <c r="AL101" s="780"/>
    </row>
    <row s="11074" customFormat="1" customHeight="1" ht="18.75">
      <c r="A102" s="2591"/>
      <c r="C102" s="1949"/>
      <c r="D102" s="1951"/>
      <c r="E102" s="783" t="str">
        <f>FHD_NUM_P_62</f>
        <v>8</v>
      </c>
      <c r="F102" s="944" t="str">
        <f>FHD_P_62</f>
        <v>Тепловая нагрузка по договорам, заключенным в рамках осуществления регулируемых видов деятельности</v>
      </c>
      <c r="G102" s="1956" t="s">
        <v>861</v>
      </c>
      <c r="H102" s="794"/>
      <c r="I102" s="794"/>
      <c r="J102" s="7466"/>
      <c r="K102" s="7466"/>
      <c r="L102" s="7466"/>
      <c r="M102" s="7466"/>
      <c r="N102" s="7466"/>
      <c r="O102" s="7466"/>
      <c r="P102" s="7466"/>
      <c r="Q102" s="7466"/>
      <c r="R102" s="7466"/>
      <c r="S102" s="7466"/>
      <c r="T102" s="7466"/>
      <c r="U102" s="7466"/>
      <c r="V102" s="7466"/>
      <c r="W102" s="7466"/>
      <c r="X102" s="7466"/>
      <c r="Y102" s="7466"/>
      <c r="Z102" s="7466"/>
      <c r="AA102" s="7466"/>
      <c r="AB102" s="7466"/>
      <c r="AC102" s="7466"/>
      <c r="AD102" s="7466"/>
      <c r="AE102" s="7466"/>
      <c r="AF102" s="7466"/>
      <c r="AG102" s="7466"/>
      <c r="AH102" s="7466"/>
      <c r="AI102" s="7466"/>
      <c r="AJ102" s="7466"/>
      <c r="AK102" s="7466"/>
      <c r="AL102" s="780"/>
      <c r="AM102" s="1949"/>
      <c r="AN102" s="1949"/>
      <c r="AS102" s="1949"/>
      <c r="AV102" s="781"/>
      <c r="BB102" s="1945"/>
      <c r="BC102" s="1945"/>
      <c r="BD102" s="1945"/>
      <c r="BE102" s="1945"/>
      <c r="BF102" s="1945"/>
    </row>
    <row s="11074" customFormat="1" customHeight="1" ht="18.75">
      <c r="A103" s="2591"/>
      <c r="C103" s="1949"/>
      <c r="D103" s="1951"/>
      <c r="E103" s="783" t="str">
        <f>FHD_NUM_P_63</f>
        <v>9</v>
      </c>
      <c r="F103" s="944" t="str">
        <f>FHD_P_63</f>
        <v>Объем вырабатываемой регулируемой организацией тепловой энергии в рамках осуществления регулируемых видов деятельности</v>
      </c>
      <c r="G103" s="1956" t="s">
        <v>1077</v>
      </c>
      <c r="H103" s="814"/>
      <c r="I103" s="814"/>
      <c r="J103" s="7518"/>
      <c r="K103" s="7518"/>
      <c r="L103" s="7518"/>
      <c r="M103" s="7518"/>
      <c r="N103" s="7518"/>
      <c r="O103" s="7518"/>
      <c r="P103" s="7518"/>
      <c r="Q103" s="7518"/>
      <c r="R103" s="7518"/>
      <c r="S103" s="7518"/>
      <c r="T103" s="7518"/>
      <c r="U103" s="7518"/>
      <c r="V103" s="7518"/>
      <c r="W103" s="7518"/>
      <c r="X103" s="7518"/>
      <c r="Y103" s="7518"/>
      <c r="Z103" s="7518"/>
      <c r="AA103" s="7518"/>
      <c r="AB103" s="7518"/>
      <c r="AC103" s="7518"/>
      <c r="AD103" s="7518"/>
      <c r="AE103" s="7518"/>
      <c r="AF103" s="7518"/>
      <c r="AG103" s="7518"/>
      <c r="AH103" s="7518"/>
      <c r="AI103" s="7518"/>
      <c r="AJ103" s="7518"/>
      <c r="AK103" s="7518"/>
      <c r="AL103" s="780"/>
      <c r="AM103" s="1949"/>
      <c r="AN103" s="1949"/>
      <c r="AS103" s="1949"/>
      <c r="AV103" s="781"/>
      <c r="BB103" s="1945"/>
      <c r="BC103" s="1945"/>
      <c r="BD103" s="1945"/>
      <c r="BE103" s="1945"/>
      <c r="BF103" s="1945"/>
    </row>
    <row s="11074" customFormat="1" customHeight="1" ht="18.75">
      <c r="A104" s="2591"/>
      <c r="C104" s="1949" t="s">
        <v>1793</v>
      </c>
      <c r="D104" s="1951"/>
      <c r="E104" s="783" t="str">
        <f>FHD_NUM_P_64</f>
        <v>9.1</v>
      </c>
      <c r="F104" s="944" t="str">
        <f>FHD_P_64</f>
        <v>Объем приобретаемой регулируемой организацией тепловой энергии в рамках осуществления регулируемых видов деятельности</v>
      </c>
      <c r="G104" s="1956" t="s">
        <v>1077</v>
      </c>
      <c r="H104" s="782"/>
      <c r="I104" s="782"/>
      <c r="J104" s="7450"/>
      <c r="K104" s="7450"/>
      <c r="L104" s="7450"/>
      <c r="M104" s="7450"/>
      <c r="N104" s="7450"/>
      <c r="O104" s="7450"/>
      <c r="P104" s="7450"/>
      <c r="Q104" s="7450"/>
      <c r="R104" s="7450"/>
      <c r="S104" s="7450"/>
      <c r="T104" s="7450"/>
      <c r="U104" s="7450"/>
      <c r="V104" s="7450"/>
      <c r="W104" s="7450"/>
      <c r="X104" s="7450"/>
      <c r="Y104" s="7450"/>
      <c r="Z104" s="7450"/>
      <c r="AA104" s="7450"/>
      <c r="AB104" s="7450"/>
      <c r="AC104" s="7450"/>
      <c r="AD104" s="7450"/>
      <c r="AE104" s="7450"/>
      <c r="AF104" s="7450"/>
      <c r="AG104" s="7450"/>
      <c r="AH104" s="7450"/>
      <c r="AI104" s="7450"/>
      <c r="AJ104" s="7450"/>
      <c r="AK104" s="7450"/>
      <c r="AL104" s="780"/>
      <c r="AM104" s="1949"/>
      <c r="AN104" s="1949"/>
      <c r="AS104" s="1949"/>
      <c r="AV104" s="781"/>
      <c r="BB104" s="1945"/>
      <c r="BC104" s="1945"/>
      <c r="BD104" s="1945"/>
      <c r="BE104" s="1945"/>
      <c r="BF104" s="1945"/>
    </row>
    <row s="11074" customFormat="1" customHeight="1" ht="18.75">
      <c r="A105" s="2591"/>
      <c r="C105" s="1949"/>
      <c r="D105" s="1951"/>
      <c r="E105" s="783" t="str">
        <f>FHD_NUM_P_65</f>
        <v>10</v>
      </c>
      <c r="F105" s="944" t="str">
        <f>FHD_P_65</f>
        <v>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v>
      </c>
      <c r="G105" s="1956" t="s">
        <v>1077</v>
      </c>
      <c r="H105" s="814"/>
      <c r="I105" s="814"/>
      <c r="J105" s="7518"/>
      <c r="K105" s="7518"/>
      <c r="L105" s="7518"/>
      <c r="M105" s="7518"/>
      <c r="N105" s="7518"/>
      <c r="O105" s="7518"/>
      <c r="P105" s="7518"/>
      <c r="Q105" s="7518"/>
      <c r="R105" s="7518"/>
      <c r="S105" s="7518"/>
      <c r="T105" s="7518"/>
      <c r="U105" s="7518"/>
      <c r="V105" s="7518"/>
      <c r="W105" s="7518"/>
      <c r="X105" s="7518"/>
      <c r="Y105" s="7518"/>
      <c r="Z105" s="7518"/>
      <c r="AA105" s="7518"/>
      <c r="AB105" s="7518"/>
      <c r="AC105" s="7518"/>
      <c r="AD105" s="7518"/>
      <c r="AE105" s="7518"/>
      <c r="AF105" s="7518"/>
      <c r="AG105" s="7518"/>
      <c r="AH105" s="7518"/>
      <c r="AI105" s="7518"/>
      <c r="AJ105" s="7518"/>
      <c r="AK105" s="7518"/>
      <c r="AL105" s="780"/>
      <c r="AM105" s="1949"/>
      <c r="AN105" s="1949"/>
      <c r="AS105" s="1949"/>
      <c r="AV105" s="781"/>
      <c r="BB105" s="1945"/>
      <c r="BC105" s="1945"/>
      <c r="BD105" s="1945"/>
      <c r="BE105" s="1945"/>
      <c r="BF105" s="1945"/>
    </row>
    <row s="11074" customFormat="1" customHeight="1" ht="18.75">
      <c r="A106" s="2591"/>
      <c r="C106" s="1949"/>
      <c r="D106" s="1951"/>
      <c r="E106" s="783" t="str">
        <f>FHD_NUM_P_66</f>
        <v>10.1</v>
      </c>
      <c r="F106" s="1210" t="str">
        <f>FHD_P_66</f>
        <v>По приборам учёта </v>
      </c>
      <c r="G106" s="1956" t="s">
        <v>1077</v>
      </c>
      <c r="H106" s="814"/>
      <c r="I106" s="814"/>
      <c r="J106" s="7518"/>
      <c r="K106" s="7518"/>
      <c r="L106" s="7518"/>
      <c r="M106" s="7518"/>
      <c r="N106" s="7518"/>
      <c r="O106" s="7518"/>
      <c r="P106" s="7518"/>
      <c r="Q106" s="7518"/>
      <c r="R106" s="7518"/>
      <c r="S106" s="7518"/>
      <c r="T106" s="7518"/>
      <c r="U106" s="7518"/>
      <c r="V106" s="7518"/>
      <c r="W106" s="7518"/>
      <c r="X106" s="7518"/>
      <c r="Y106" s="7518"/>
      <c r="Z106" s="7518"/>
      <c r="AA106" s="7518"/>
      <c r="AB106" s="7518"/>
      <c r="AC106" s="7518"/>
      <c r="AD106" s="7518"/>
      <c r="AE106" s="7518"/>
      <c r="AF106" s="7518"/>
      <c r="AG106" s="7518"/>
      <c r="AH106" s="7518"/>
      <c r="AI106" s="7518"/>
      <c r="AJ106" s="7518"/>
      <c r="AK106" s="7518"/>
      <c r="AL106" s="780"/>
      <c r="AM106" s="1949"/>
      <c r="AN106" s="1949"/>
      <c r="AS106" s="1949"/>
      <c r="AV106" s="781"/>
      <c r="BB106" s="1945"/>
      <c r="BC106" s="1945"/>
      <c r="BD106" s="1945"/>
      <c r="BE106" s="1945"/>
      <c r="BF106" s="1945"/>
    </row>
    <row s="11074" customFormat="1" customHeight="1" ht="18.75">
      <c r="A107" s="2591"/>
      <c r="C107" s="1949"/>
      <c r="D107" s="1951"/>
      <c r="E107" s="783" t="str">
        <f>FHD_NUM_P_67</f>
        <v>10.1.1</v>
      </c>
      <c r="F107" s="1963" t="str">
        <f>FHD_P_67</f>
        <v>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v>
      </c>
      <c r="G107" s="1956" t="s">
        <v>1077</v>
      </c>
      <c r="H107" s="814"/>
      <c r="I107" s="814"/>
      <c r="J107" s="7518"/>
      <c r="K107" s="7518"/>
      <c r="L107" s="7518"/>
      <c r="M107" s="7518"/>
      <c r="N107" s="7518"/>
      <c r="O107" s="7518"/>
      <c r="P107" s="7518"/>
      <c r="Q107" s="7518"/>
      <c r="R107" s="7518"/>
      <c r="S107" s="7518"/>
      <c r="T107" s="7518"/>
      <c r="U107" s="7518"/>
      <c r="V107" s="7518"/>
      <c r="W107" s="7518"/>
      <c r="X107" s="7518"/>
      <c r="Y107" s="7518"/>
      <c r="Z107" s="7518"/>
      <c r="AA107" s="7518"/>
      <c r="AB107" s="7518"/>
      <c r="AC107" s="7518"/>
      <c r="AD107" s="7518"/>
      <c r="AE107" s="7518"/>
      <c r="AF107" s="7518"/>
      <c r="AG107" s="7518"/>
      <c r="AH107" s="7518"/>
      <c r="AI107" s="7518"/>
      <c r="AJ107" s="7518"/>
      <c r="AK107" s="7518"/>
      <c r="AL107" s="780"/>
      <c r="AM107" s="1949"/>
      <c r="AN107" s="1949"/>
      <c r="AS107" s="1949"/>
      <c r="AV107" s="781"/>
      <c r="BB107" s="1945"/>
      <c r="BC107" s="1945"/>
      <c r="BD107" s="1945"/>
      <c r="BE107" s="1945"/>
      <c r="BF107" s="1945"/>
    </row>
    <row s="11074" customFormat="1" customHeight="1" ht="18.75">
      <c r="A108" s="2591"/>
      <c r="C108" s="1949"/>
      <c r="D108" s="1951"/>
      <c r="E108" s="783" t="str">
        <f>FHD_NUM_P_68</f>
        <v>10.2</v>
      </c>
      <c r="F108" s="1210" t="str">
        <f>FHD_P_68</f>
        <v>Расчётным путём</v>
      </c>
      <c r="G108" s="1956" t="s">
        <v>1077</v>
      </c>
      <c r="H108" s="814"/>
      <c r="I108" s="814"/>
      <c r="J108" s="7518"/>
      <c r="K108" s="7518"/>
      <c r="L108" s="7518"/>
      <c r="M108" s="7518"/>
      <c r="N108" s="7518"/>
      <c r="O108" s="7518"/>
      <c r="P108" s="7518"/>
      <c r="Q108" s="7518"/>
      <c r="R108" s="7518"/>
      <c r="S108" s="7518"/>
      <c r="T108" s="7518"/>
      <c r="U108" s="7518"/>
      <c r="V108" s="7518"/>
      <c r="W108" s="7518"/>
      <c r="X108" s="7518"/>
      <c r="Y108" s="7518"/>
      <c r="Z108" s="7518"/>
      <c r="AA108" s="7518"/>
      <c r="AB108" s="7518"/>
      <c r="AC108" s="7518"/>
      <c r="AD108" s="7518"/>
      <c r="AE108" s="7518"/>
      <c r="AF108" s="7518"/>
      <c r="AG108" s="7518"/>
      <c r="AH108" s="7518"/>
      <c r="AI108" s="7518"/>
      <c r="AJ108" s="7518"/>
      <c r="AK108" s="7518"/>
      <c r="AL108" s="780"/>
      <c r="AM108" s="1949"/>
      <c r="AN108" s="1949"/>
      <c r="AS108" s="1949"/>
      <c r="AV108" s="781"/>
      <c r="BB108" s="1945"/>
      <c r="BC108" s="1945"/>
      <c r="BD108" s="1945"/>
      <c r="BE108" s="1945"/>
      <c r="BF108" s="1945"/>
    </row>
    <row s="11074" customFormat="1" customHeight="1" ht="18.75">
      <c r="A109" s="2591"/>
      <c r="C109" s="1949"/>
      <c r="D109" s="1951"/>
      <c r="E109" s="783" t="str">
        <f>FHD_NUM_P_69</f>
        <v>10.3</v>
      </c>
      <c r="F109" s="1210" t="str">
        <f>FHD_P_69</f>
        <v>По нормативам потребления коммунальных услуг и нормативам потребления коммунальных ресурсов</v>
      </c>
      <c r="G109" s="1956" t="s">
        <v>1077</v>
      </c>
      <c r="H109" s="814"/>
      <c r="I109" s="814"/>
      <c r="J109" s="7518"/>
      <c r="K109" s="7518"/>
      <c r="L109" s="7518"/>
      <c r="M109" s="7518"/>
      <c r="N109" s="7518"/>
      <c r="O109" s="7518"/>
      <c r="P109" s="7518"/>
      <c r="Q109" s="7518"/>
      <c r="R109" s="7518"/>
      <c r="S109" s="7518"/>
      <c r="T109" s="7518"/>
      <c r="U109" s="7518"/>
      <c r="V109" s="7518"/>
      <c r="W109" s="7518"/>
      <c r="X109" s="7518"/>
      <c r="Y109" s="7518"/>
      <c r="Z109" s="7518"/>
      <c r="AA109" s="7518"/>
      <c r="AB109" s="7518"/>
      <c r="AC109" s="7518"/>
      <c r="AD109" s="7518"/>
      <c r="AE109" s="7518"/>
      <c r="AF109" s="7518"/>
      <c r="AG109" s="7518"/>
      <c r="AH109" s="7518"/>
      <c r="AI109" s="7518"/>
      <c r="AJ109" s="7518"/>
      <c r="AK109" s="7518"/>
      <c r="AL109" s="780"/>
      <c r="AM109" s="1949"/>
      <c r="AN109" s="1949"/>
      <c r="AS109" s="1949"/>
      <c r="AV109" s="781"/>
      <c r="BB109" s="1945"/>
      <c r="BC109" s="1945"/>
      <c r="BD109" s="1945"/>
      <c r="BE109" s="1945"/>
      <c r="BF109" s="1945"/>
    </row>
    <row s="11074" customFormat="1" customHeight="1" ht="22.5">
      <c r="A110" s="2591"/>
      <c r="C110" s="1949"/>
      <c r="D110" s="1951"/>
      <c r="E110" s="783" t="str">
        <f>FHD_NUM_P_70</f>
        <v>11</v>
      </c>
      <c r="F110" s="944" t="str">
        <f>FHD_P_70</f>
        <v>Нормативы технологических потерь при передаче тепловой энергии, теплоносителя по тепловым сетям, утвержденные уполномоченным органом</v>
      </c>
      <c r="G110" s="1956" t="s">
        <v>1794</v>
      </c>
      <c r="H110" s="794"/>
      <c r="I110" s="794"/>
      <c r="J110" s="7466"/>
      <c r="K110" s="7466"/>
      <c r="L110" s="7466"/>
      <c r="M110" s="7466"/>
      <c r="N110" s="7466"/>
      <c r="O110" s="7466"/>
      <c r="P110" s="7466"/>
      <c r="Q110" s="7466"/>
      <c r="R110" s="7466"/>
      <c r="S110" s="7466"/>
      <c r="T110" s="7466"/>
      <c r="U110" s="7466"/>
      <c r="V110" s="7466"/>
      <c r="W110" s="7466"/>
      <c r="X110" s="7466"/>
      <c r="Y110" s="7466"/>
      <c r="Z110" s="7466"/>
      <c r="AA110" s="7466"/>
      <c r="AB110" s="7466"/>
      <c r="AC110" s="7466"/>
      <c r="AD110" s="7466"/>
      <c r="AE110" s="7466"/>
      <c r="AF110" s="7466"/>
      <c r="AG110" s="7466"/>
      <c r="AH110" s="7466"/>
      <c r="AI110" s="7466"/>
      <c r="AJ110" s="7466"/>
      <c r="AK110" s="7466"/>
      <c r="AL110" s="780"/>
      <c r="AM110" s="1949"/>
      <c r="AN110" s="1949"/>
      <c r="AS110" s="1949"/>
      <c r="AV110" s="781"/>
      <c r="BB110" s="1945"/>
      <c r="BC110" s="1945"/>
      <c r="BD110" s="1945"/>
      <c r="BE110" s="1945"/>
      <c r="BF110" s="1945"/>
    </row>
    <row s="11074" customFormat="1" customHeight="1" ht="22.5">
      <c r="A111" s="2591"/>
      <c r="C111" s="1949"/>
      <c r="D111" s="1951"/>
      <c r="E111" s="783" t="str">
        <f>FHD_NUM_P_71</f>
        <v>12</v>
      </c>
      <c r="F111" s="944" t="str">
        <f>FHD_P_71</f>
        <v>Фактический объем потерь при передаче тепловой энергии</v>
      </c>
      <c r="G111" s="1956" t="s">
        <v>1794</v>
      </c>
      <c r="H111" s="794"/>
      <c r="I111" s="794"/>
      <c r="J111" s="7466"/>
      <c r="K111" s="7466"/>
      <c r="L111" s="7466"/>
      <c r="M111" s="7466"/>
      <c r="N111" s="7466"/>
      <c r="O111" s="7466"/>
      <c r="P111" s="7466"/>
      <c r="Q111" s="7466"/>
      <c r="R111" s="7466"/>
      <c r="S111" s="7466"/>
      <c r="T111" s="7466"/>
      <c r="U111" s="7466"/>
      <c r="V111" s="7466"/>
      <c r="W111" s="7466"/>
      <c r="X111" s="7466"/>
      <c r="Y111" s="7466"/>
      <c r="Z111" s="7466"/>
      <c r="AA111" s="7466"/>
      <c r="AB111" s="7466"/>
      <c r="AC111" s="7466"/>
      <c r="AD111" s="7466"/>
      <c r="AE111" s="7466"/>
      <c r="AF111" s="7466"/>
      <c r="AG111" s="7466"/>
      <c r="AH111" s="7466"/>
      <c r="AI111" s="7466"/>
      <c r="AJ111" s="7466"/>
      <c r="AK111" s="7466"/>
      <c r="AL111" s="780"/>
      <c r="AM111" s="1949"/>
      <c r="AN111" s="1949"/>
      <c r="AS111" s="1949"/>
      <c r="AV111" s="781"/>
      <c r="BB111" s="1945"/>
      <c r="BC111" s="1945"/>
      <c r="BD111" s="1945"/>
      <c r="BE111" s="1945"/>
      <c r="BF111" s="1945"/>
    </row>
    <row customHeight="1" ht="18.75">
      <c r="D112" s="1951"/>
      <c r="E112" s="783" t="str">
        <f>FHD_NUM_P_72</f>
        <v>13</v>
      </c>
      <c r="F112" s="944" t="str">
        <f>FHD_P_72</f>
        <v>Среднесписочная численность основного производственного персонала</v>
      </c>
      <c r="G112" s="1225" t="s">
        <v>1795</v>
      </c>
      <c r="H112" s="814"/>
      <c r="I112" s="814"/>
      <c r="J112" s="7518"/>
      <c r="K112" s="7518"/>
      <c r="L112" s="7518"/>
      <c r="M112" s="7518"/>
      <c r="N112" s="7518"/>
      <c r="O112" s="7518"/>
      <c r="P112" s="7518"/>
      <c r="Q112" s="7518"/>
      <c r="R112" s="7518"/>
      <c r="S112" s="7518"/>
      <c r="T112" s="7518"/>
      <c r="U112" s="7518"/>
      <c r="V112" s="7518"/>
      <c r="W112" s="7518"/>
      <c r="X112" s="7518"/>
      <c r="Y112" s="7518"/>
      <c r="Z112" s="7518"/>
      <c r="AA112" s="7518"/>
      <c r="AB112" s="7518"/>
      <c r="AC112" s="7518"/>
      <c r="AD112" s="7518"/>
      <c r="AE112" s="7518"/>
      <c r="AF112" s="7518"/>
      <c r="AG112" s="7518"/>
      <c r="AH112" s="7518"/>
      <c r="AI112" s="7518"/>
      <c r="AJ112" s="7518"/>
      <c r="AK112" s="7518"/>
      <c r="AL112" s="780"/>
    </row>
    <row customHeight="1" ht="18.75">
      <c r="A113" s="1245" t="s">
        <v>1796</v>
      </c>
      <c r="D113" s="1951"/>
      <c r="E113" s="783" t="str">
        <f>FHD_NUM_P_73</f>
        <v>14</v>
      </c>
      <c r="F113" s="944" t="str">
        <f>FHD_P_73</f>
        <v>Среднесписочная численность административно-управленческого персонала</v>
      </c>
      <c r="G113" s="1226" t="s">
        <v>1795</v>
      </c>
      <c r="H113" s="1224"/>
      <c r="I113" s="1224"/>
      <c r="J113" s="7619"/>
      <c r="K113" s="7619"/>
      <c r="L113" s="7619"/>
      <c r="M113" s="7619"/>
      <c r="N113" s="7619"/>
      <c r="O113" s="7619"/>
      <c r="P113" s="7619"/>
      <c r="Q113" s="7619"/>
      <c r="R113" s="7619"/>
      <c r="S113" s="7619"/>
      <c r="T113" s="7619"/>
      <c r="U113" s="7619"/>
      <c r="V113" s="7619"/>
      <c r="W113" s="7619"/>
      <c r="X113" s="7619"/>
      <c r="Y113" s="7619"/>
      <c r="Z113" s="7619"/>
      <c r="AA113" s="7619"/>
      <c r="AB113" s="7619"/>
      <c r="AC113" s="7619"/>
      <c r="AD113" s="7619"/>
      <c r="AE113" s="7619"/>
      <c r="AF113" s="7619"/>
      <c r="AG113" s="7619"/>
      <c r="AH113" s="7619"/>
      <c r="AI113" s="7619"/>
      <c r="AJ113" s="7619"/>
      <c r="AK113" s="7619"/>
      <c r="AL113" s="780"/>
    </row>
    <row customHeight="1" ht="33.75" hidden="1">
      <c r="A114" s="1245" t="s">
        <v>1797</v>
      </c>
      <c r="D114" s="1951"/>
      <c r="E114" s="783" t="str">
        <f>FHD_NUM_P_74</f>
        <v/>
      </c>
      <c r="F114" s="944" t="str">
        <f>FHD_P_74</f>
        <v/>
      </c>
      <c r="G114" s="1225" t="s">
        <v>1798</v>
      </c>
      <c r="H114" s="814"/>
      <c r="I114" s="814"/>
      <c r="J114" s="7518"/>
      <c r="K114" s="7518"/>
      <c r="L114" s="7518"/>
      <c r="M114" s="7518"/>
      <c r="N114" s="7518"/>
      <c r="O114" s="7518"/>
      <c r="P114" s="7518"/>
      <c r="Q114" s="7518"/>
      <c r="R114" s="7518"/>
      <c r="S114" s="7518"/>
      <c r="T114" s="7518"/>
      <c r="U114" s="7518"/>
      <c r="V114" s="7518"/>
      <c r="W114" s="7518"/>
      <c r="X114" s="7518"/>
      <c r="Y114" s="7518"/>
      <c r="Z114" s="7518"/>
      <c r="AA114" s="7518"/>
      <c r="AB114" s="7518"/>
      <c r="AC114" s="7518"/>
      <c r="AD114" s="7518"/>
      <c r="AE114" s="7518"/>
      <c r="AF114" s="7518"/>
      <c r="AG114" s="7518"/>
      <c r="AH114" s="7518"/>
      <c r="AI114" s="7518"/>
      <c r="AJ114" s="7518"/>
      <c r="AK114" s="7518"/>
      <c r="AL114" s="780"/>
    </row>
    <row s="11126" customFormat="1" customHeight="1" ht="18.75" hidden="1">
      <c r="A115" s="2593" t="s">
        <v>1799</v>
      </c>
      <c r="B115" s="1165"/>
      <c r="C115" s="973"/>
      <c r="D115" s="971"/>
      <c r="E115" s="783" t="str">
        <f>FHD_NUM_P_75</f>
        <v/>
      </c>
      <c r="F115" s="944" t="str">
        <f>FHD_P_75</f>
        <v/>
      </c>
      <c r="G115" s="1225" t="s">
        <v>1674</v>
      </c>
      <c r="H115" s="794"/>
      <c r="I115" s="794"/>
      <c r="J115" s="7466"/>
      <c r="K115" s="7466"/>
      <c r="L115" s="7466"/>
      <c r="M115" s="7466"/>
      <c r="N115" s="7466"/>
      <c r="O115" s="7466"/>
      <c r="P115" s="7466"/>
      <c r="Q115" s="7466"/>
      <c r="R115" s="7466"/>
      <c r="S115" s="7466"/>
      <c r="T115" s="7466"/>
      <c r="U115" s="7466"/>
      <c r="V115" s="7466"/>
      <c r="W115" s="7466"/>
      <c r="X115" s="7466"/>
      <c r="Y115" s="7466"/>
      <c r="Z115" s="7466"/>
      <c r="AA115" s="7466"/>
      <c r="AB115" s="7466"/>
      <c r="AC115" s="7466"/>
      <c r="AD115" s="7466"/>
      <c r="AE115" s="7466"/>
      <c r="AF115" s="7466"/>
      <c r="AG115" s="7466"/>
      <c r="AH115" s="7466"/>
      <c r="AI115" s="7466"/>
      <c r="AJ115" s="7466"/>
      <c r="AK115" s="7466"/>
      <c r="AL115" s="972"/>
      <c r="AM115" s="973"/>
      <c r="AN115" s="973"/>
      <c r="AO115" s="1165"/>
      <c r="AP115" s="1165"/>
      <c r="AQ115" s="1165"/>
      <c r="AR115" s="1165"/>
      <c r="AS115" s="973"/>
      <c r="AT115" s="1165"/>
      <c r="AU115" s="1165"/>
      <c r="AV115" s="974"/>
      <c r="AW115" s="1165"/>
      <c r="AX115" s="1165"/>
      <c r="AY115" s="1165"/>
      <c r="AZ115" s="1165"/>
      <c r="BA115" s="1165"/>
      <c r="BB115" s="975"/>
      <c r="BC115" s="975"/>
      <c r="BD115" s="975"/>
      <c r="BE115" s="975"/>
      <c r="BF115" s="975"/>
    </row>
    <row s="11126" customFormat="1" customHeight="1" ht="18.75" hidden="1">
      <c r="A116" s="2593"/>
      <c r="B116" s="1165"/>
      <c r="C116" s="973"/>
      <c r="D116" s="971"/>
      <c r="E116" s="783" t="str">
        <f>FHD_NUM_P_76</f>
        <v/>
      </c>
      <c r="F116" s="944" t="str">
        <f>FHD_P_76</f>
        <v/>
      </c>
      <c r="G116" s="1225" t="s">
        <v>1674</v>
      </c>
      <c r="H116" s="794"/>
      <c r="I116" s="794"/>
      <c r="J116" s="7466"/>
      <c r="K116" s="7466"/>
      <c r="L116" s="7466"/>
      <c r="M116" s="7466"/>
      <c r="N116" s="7466"/>
      <c r="O116" s="7466"/>
      <c r="P116" s="7466"/>
      <c r="Q116" s="7466"/>
      <c r="R116" s="7466"/>
      <c r="S116" s="7466"/>
      <c r="T116" s="7466"/>
      <c r="U116" s="7466"/>
      <c r="V116" s="7466"/>
      <c r="W116" s="7466"/>
      <c r="X116" s="7466"/>
      <c r="Y116" s="7466"/>
      <c r="Z116" s="7466"/>
      <c r="AA116" s="7466"/>
      <c r="AB116" s="7466"/>
      <c r="AC116" s="7466"/>
      <c r="AD116" s="7466"/>
      <c r="AE116" s="7466"/>
      <c r="AF116" s="7466"/>
      <c r="AG116" s="7466"/>
      <c r="AH116" s="7466"/>
      <c r="AI116" s="7466"/>
      <c r="AJ116" s="7466"/>
      <c r="AK116" s="7466"/>
      <c r="AL116" s="972"/>
      <c r="AM116" s="973"/>
      <c r="AN116" s="973"/>
      <c r="AO116" s="1165"/>
      <c r="AP116" s="1165"/>
      <c r="AQ116" s="1165"/>
      <c r="AR116" s="1165"/>
      <c r="AS116" s="973"/>
      <c r="AT116" s="1165"/>
      <c r="AU116" s="1165"/>
      <c r="AV116" s="974"/>
      <c r="AW116" s="1165"/>
      <c r="AX116" s="1165"/>
      <c r="AY116" s="1165"/>
      <c r="AZ116" s="1165"/>
      <c r="BA116" s="1165"/>
      <c r="BB116" s="975"/>
      <c r="BC116" s="975"/>
      <c r="BD116" s="975"/>
      <c r="BE116" s="975"/>
      <c r="BF116" s="975"/>
    </row>
    <row s="11126" customFormat="1" customHeight="1" ht="18.75" hidden="1">
      <c r="A117" s="2593"/>
      <c r="B117" s="1165"/>
      <c r="C117" s="973"/>
      <c r="D117" s="971"/>
      <c r="E117" s="783" t="str">
        <f>FHD_NUM_P_77</f>
        <v/>
      </c>
      <c r="F117" s="944" t="str">
        <f>FHD_P_77</f>
        <v/>
      </c>
      <c r="G117" s="1225" t="s">
        <v>1674</v>
      </c>
      <c r="H117" s="794"/>
      <c r="I117" s="794"/>
      <c r="J117" s="7466"/>
      <c r="K117" s="7466"/>
      <c r="L117" s="7466"/>
      <c r="M117" s="7466"/>
      <c r="N117" s="7466"/>
      <c r="O117" s="7466"/>
      <c r="P117" s="7466"/>
      <c r="Q117" s="7466"/>
      <c r="R117" s="7466"/>
      <c r="S117" s="7466"/>
      <c r="T117" s="7466"/>
      <c r="U117" s="7466"/>
      <c r="V117" s="7466"/>
      <c r="W117" s="7466"/>
      <c r="X117" s="7466"/>
      <c r="Y117" s="7466"/>
      <c r="Z117" s="7466"/>
      <c r="AA117" s="7466"/>
      <c r="AB117" s="7466"/>
      <c r="AC117" s="7466"/>
      <c r="AD117" s="7466"/>
      <c r="AE117" s="7466"/>
      <c r="AF117" s="7466"/>
      <c r="AG117" s="7466"/>
      <c r="AH117" s="7466"/>
      <c r="AI117" s="7466"/>
      <c r="AJ117" s="7466"/>
      <c r="AK117" s="7466"/>
      <c r="AL117" s="972"/>
      <c r="AM117" s="973"/>
      <c r="AN117" s="973"/>
      <c r="AO117" s="1165"/>
      <c r="AP117" s="1165"/>
      <c r="AQ117" s="1165"/>
      <c r="AR117" s="1165"/>
      <c r="AS117" s="973"/>
      <c r="AT117" s="1165"/>
      <c r="AU117" s="1165"/>
      <c r="AV117" s="974"/>
      <c r="AW117" s="1165"/>
      <c r="AX117" s="1165"/>
      <c r="AY117" s="1165"/>
      <c r="AZ117" s="1165"/>
      <c r="BA117" s="1165"/>
      <c r="BB117" s="975"/>
      <c r="BC117" s="975"/>
      <c r="BD117" s="975"/>
      <c r="BE117" s="975"/>
      <c r="BF117" s="975"/>
    </row>
    <row s="10863" customFormat="1" customHeight="1" ht="0.75" hidden="1">
      <c r="A118" s="2593"/>
      <c r="D118" s="785"/>
      <c r="E118" s="1042" t="str">
        <f>E117&amp;".0"</f>
        <v>.0</v>
      </c>
      <c r="F118" s="1253"/>
      <c r="G118" s="1964"/>
      <c r="H118" s="1248"/>
      <c r="I118" s="1248"/>
      <c r="J118" s="7531"/>
      <c r="K118" s="7531"/>
      <c r="L118" s="7531"/>
      <c r="M118" s="7531"/>
      <c r="N118" s="7531"/>
      <c r="O118" s="7531"/>
      <c r="P118" s="7531"/>
      <c r="Q118" s="7531"/>
      <c r="R118" s="7531"/>
      <c r="S118" s="7531"/>
      <c r="T118" s="7531"/>
      <c r="U118" s="7531"/>
      <c r="V118" s="7531"/>
      <c r="W118" s="7531"/>
      <c r="X118" s="7531"/>
      <c r="Y118" s="7531"/>
      <c r="Z118" s="7531"/>
      <c r="AA118" s="7531"/>
      <c r="AB118" s="7531"/>
      <c r="AC118" s="7531"/>
      <c r="AD118" s="7531"/>
      <c r="AE118" s="7531"/>
      <c r="AF118" s="7531"/>
      <c r="AG118" s="7531"/>
      <c r="AH118" s="7531"/>
      <c r="AI118" s="7531"/>
      <c r="AJ118" s="7531"/>
      <c r="AK118" s="7531"/>
    </row>
    <row s="11126" customFormat="1" customHeight="1" ht="15" hidden="1">
      <c r="A119" s="2593"/>
      <c r="B119" s="1165"/>
      <c r="C119" s="973"/>
      <c r="D119" s="984"/>
      <c r="E119" s="1229"/>
      <c r="F119" s="1230" t="s">
        <v>1800</v>
      </c>
      <c r="G119" s="985"/>
      <c r="H119" s="986"/>
      <c r="I119" s="986"/>
      <c r="J119" s="7627"/>
      <c r="K119" s="7628"/>
      <c r="L119" s="7629"/>
      <c r="M119" s="7630"/>
      <c r="N119" s="7631"/>
      <c r="O119" s="7632"/>
      <c r="P119" s="7633"/>
      <c r="Q119" s="7634"/>
      <c r="R119" s="7635"/>
      <c r="S119" s="7636"/>
      <c r="T119" s="7637"/>
      <c r="U119" s="7638"/>
      <c r="V119" s="7639"/>
      <c r="W119" s="7640"/>
      <c r="X119" s="7641"/>
      <c r="Y119" s="7642"/>
      <c r="Z119" s="7643"/>
      <c r="AA119" s="7644"/>
      <c r="AB119" s="7645"/>
      <c r="AC119" s="7646"/>
      <c r="AD119" s="7647"/>
      <c r="AE119" s="7648"/>
      <c r="AF119" s="7649"/>
      <c r="AG119" s="7650"/>
      <c r="AH119" s="7651"/>
      <c r="AI119" s="7652"/>
      <c r="AJ119" s="7653"/>
      <c r="AK119" s="7654"/>
      <c r="AL119" s="972"/>
      <c r="AM119" s="973"/>
      <c r="AN119" s="973"/>
      <c r="AO119" s="1165"/>
      <c r="AP119" s="1165"/>
      <c r="AQ119" s="1165"/>
      <c r="AR119" s="1165"/>
      <c r="AS119" s="973"/>
      <c r="AT119" s="1165"/>
      <c r="AU119" s="1165"/>
      <c r="AV119" s="974"/>
      <c r="AW119" s="1165"/>
      <c r="AX119" s="1165"/>
      <c r="AY119" s="1165"/>
      <c r="AZ119" s="1165"/>
      <c r="BA119" s="1165"/>
      <c r="BB119" s="975"/>
      <c r="BC119" s="975"/>
      <c r="BD119" s="975"/>
      <c r="BE119" s="975"/>
      <c r="BF119" s="975"/>
    </row>
    <row customHeight="1" ht="22.5">
      <c r="A120" s="2591" t="s">
        <v>1801</v>
      </c>
      <c r="D120" s="1951"/>
      <c r="E120" s="783" t="str">
        <f>FHD_NUM_P_78</f>
        <v>15</v>
      </c>
      <c r="F120" s="944" t="str">
        <f>FHD_P_78</f>
        <v>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v>
      </c>
      <c r="G120" s="1956" t="s">
        <v>1775</v>
      </c>
      <c r="H120" s="814"/>
      <c r="I120" s="814"/>
      <c r="J120" s="7518"/>
      <c r="K120" s="7518"/>
      <c r="L120" s="7518"/>
      <c r="M120" s="7518"/>
      <c r="N120" s="7518"/>
      <c r="O120" s="7518"/>
      <c r="P120" s="7518"/>
      <c r="Q120" s="7518"/>
      <c r="R120" s="7518"/>
      <c r="S120" s="7518"/>
      <c r="T120" s="7518"/>
      <c r="U120" s="7518"/>
      <c r="V120" s="7518"/>
      <c r="W120" s="7518"/>
      <c r="X120" s="7518"/>
      <c r="Y120" s="7518"/>
      <c r="Z120" s="7518"/>
      <c r="AA120" s="7518"/>
      <c r="AB120" s="7518"/>
      <c r="AC120" s="7518"/>
      <c r="AD120" s="7518"/>
      <c r="AE120" s="7518"/>
      <c r="AF120" s="7518"/>
      <c r="AG120" s="7518"/>
      <c r="AH120" s="7518"/>
      <c r="AI120" s="7518"/>
      <c r="AJ120" s="7518"/>
      <c r="AK120" s="7518"/>
      <c r="AL120" s="780"/>
    </row>
    <row s="10863" customFormat="1" customHeight="1" ht="0.75">
      <c r="A121" s="2591"/>
      <c r="D121" s="785"/>
      <c r="E121" s="1042" t="str">
        <f>E120&amp;".0"</f>
        <v>15.0</v>
      </c>
      <c r="F121" s="1253"/>
      <c r="G121" s="1964"/>
      <c r="H121" s="1248"/>
      <c r="I121" s="1248"/>
      <c r="J121" s="7531"/>
      <c r="K121" s="7531"/>
      <c r="L121" s="7531"/>
      <c r="M121" s="7531"/>
      <c r="N121" s="7531"/>
      <c r="O121" s="7531"/>
      <c r="P121" s="7531"/>
      <c r="Q121" s="7531"/>
      <c r="R121" s="7531"/>
      <c r="S121" s="7531"/>
      <c r="T121" s="7531"/>
      <c r="U121" s="7531"/>
      <c r="V121" s="7531"/>
      <c r="W121" s="7531"/>
      <c r="X121" s="7531"/>
      <c r="Y121" s="7531"/>
      <c r="Z121" s="7531"/>
      <c r="AA121" s="7531"/>
      <c r="AB121" s="7531"/>
      <c r="AC121" s="7531"/>
      <c r="AD121" s="7531"/>
      <c r="AE121" s="7531"/>
      <c r="AF121" s="7531"/>
      <c r="AG121" s="7531"/>
      <c r="AH121" s="7531"/>
      <c r="AI121" s="7531"/>
      <c r="AJ121" s="7531"/>
      <c r="AK121" s="7531"/>
    </row>
    <row customHeight="1" ht="15">
      <c r="A122" s="2591"/>
      <c r="D122" s="1946"/>
      <c r="E122" s="807"/>
      <c r="F122" s="817" t="s">
        <v>1612</v>
      </c>
      <c r="G122" s="809"/>
      <c r="H122" s="810"/>
      <c r="I122" s="810"/>
      <c r="J122" s="7655"/>
      <c r="K122" s="7656"/>
      <c r="L122" s="7657"/>
      <c r="M122" s="7658"/>
      <c r="N122" s="7659"/>
      <c r="O122" s="7660"/>
      <c r="P122" s="7661"/>
      <c r="Q122" s="7662"/>
      <c r="R122" s="7663"/>
      <c r="S122" s="7664"/>
      <c r="T122" s="7665"/>
      <c r="U122" s="7666"/>
      <c r="V122" s="7667"/>
      <c r="W122" s="7668"/>
      <c r="X122" s="7669"/>
      <c r="Y122" s="7670"/>
      <c r="Z122" s="7671"/>
      <c r="AA122" s="7672"/>
      <c r="AB122" s="7673"/>
      <c r="AC122" s="7674"/>
      <c r="AD122" s="7675"/>
      <c r="AE122" s="7676"/>
      <c r="AF122" s="7677"/>
      <c r="AG122" s="7678"/>
      <c r="AH122" s="7679"/>
      <c r="AI122" s="7680"/>
      <c r="AJ122" s="7681"/>
      <c r="AK122" s="7682"/>
      <c r="AL122" s="780"/>
    </row>
    <row customHeight="1" ht="22.5">
      <c r="A123" s="2591"/>
      <c r="D123" s="1951"/>
      <c r="E123" s="783" t="str">
        <f>FHD_NUM_P_79</f>
        <v>16</v>
      </c>
      <c r="F123" s="944" t="str">
        <f>FHD_P_79</f>
        <v>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v>
      </c>
      <c r="G123" s="1959" t="s">
        <v>1776</v>
      </c>
      <c r="H123" s="814"/>
      <c r="I123" s="814"/>
      <c r="J123" s="7518"/>
      <c r="K123" s="7518"/>
      <c r="L123" s="7518"/>
      <c r="M123" s="7518"/>
      <c r="N123" s="7518"/>
      <c r="O123" s="7518"/>
      <c r="P123" s="7518"/>
      <c r="Q123" s="7518"/>
      <c r="R123" s="7518"/>
      <c r="S123" s="7518"/>
      <c r="T123" s="7518"/>
      <c r="U123" s="7518"/>
      <c r="V123" s="7518"/>
      <c r="W123" s="7518"/>
      <c r="X123" s="7518"/>
      <c r="Y123" s="7518"/>
      <c r="Z123" s="7518"/>
      <c r="AA123" s="7518"/>
      <c r="AB123" s="7518"/>
      <c r="AC123" s="7518"/>
      <c r="AD123" s="7518"/>
      <c r="AE123" s="7518"/>
      <c r="AF123" s="7518"/>
      <c r="AG123" s="7518"/>
      <c r="AH123" s="7518"/>
      <c r="AI123" s="7518"/>
      <c r="AJ123" s="7518"/>
      <c r="AK123" s="7518"/>
      <c r="AL123" s="780"/>
    </row>
    <row s="10863" customFormat="1" customHeight="1" ht="0.75">
      <c r="A124" s="2591"/>
      <c r="D124" s="785"/>
      <c r="E124" s="1042" t="str">
        <f>E123&amp;".0"</f>
        <v>16.0</v>
      </c>
      <c r="F124" s="1254"/>
      <c r="G124" s="1964"/>
      <c r="H124" s="1248"/>
      <c r="I124" s="1248"/>
      <c r="J124" s="7531"/>
      <c r="K124" s="7531"/>
      <c r="L124" s="7531"/>
      <c r="M124" s="7531"/>
      <c r="N124" s="7531"/>
      <c r="O124" s="7531"/>
      <c r="P124" s="7531"/>
      <c r="Q124" s="7531"/>
      <c r="R124" s="7531"/>
      <c r="S124" s="7531"/>
      <c r="T124" s="7531"/>
      <c r="U124" s="7531"/>
      <c r="V124" s="7531"/>
      <c r="W124" s="7531"/>
      <c r="X124" s="7531"/>
      <c r="Y124" s="7531"/>
      <c r="Z124" s="7531"/>
      <c r="AA124" s="7531"/>
      <c r="AB124" s="7531"/>
      <c r="AC124" s="7531"/>
      <c r="AD124" s="7531"/>
      <c r="AE124" s="7531"/>
      <c r="AF124" s="7531"/>
      <c r="AG124" s="7531"/>
      <c r="AH124" s="7531"/>
      <c r="AI124" s="7531"/>
      <c r="AJ124" s="7531"/>
      <c r="AK124" s="7531"/>
    </row>
    <row customHeight="1" ht="15">
      <c r="A125" s="2591"/>
      <c r="D125" s="1946"/>
      <c r="E125" s="807"/>
      <c r="F125" s="817" t="s">
        <v>1612</v>
      </c>
      <c r="G125" s="809"/>
      <c r="H125" s="810"/>
      <c r="I125" s="810"/>
      <c r="J125" s="7684"/>
      <c r="K125" s="7685"/>
      <c r="L125" s="7686"/>
      <c r="M125" s="7687"/>
      <c r="N125" s="7688"/>
      <c r="O125" s="7689"/>
      <c r="P125" s="7690"/>
      <c r="Q125" s="7691"/>
      <c r="R125" s="7692"/>
      <c r="S125" s="7693"/>
      <c r="T125" s="7694"/>
      <c r="U125" s="7695"/>
      <c r="V125" s="7696"/>
      <c r="W125" s="7697"/>
      <c r="X125" s="7698"/>
      <c r="Y125" s="7699"/>
      <c r="Z125" s="7700"/>
      <c r="AA125" s="7701"/>
      <c r="AB125" s="7702"/>
      <c r="AC125" s="7703"/>
      <c r="AD125" s="7704"/>
      <c r="AE125" s="7705"/>
      <c r="AF125" s="7706"/>
      <c r="AG125" s="7707"/>
      <c r="AH125" s="7708"/>
      <c r="AI125" s="7709"/>
      <c r="AJ125" s="7710"/>
      <c r="AK125" s="7711"/>
      <c r="AL125" s="780"/>
    </row>
    <row customHeight="1" ht="22.5">
      <c r="A126" s="2591"/>
      <c r="D126" s="1951"/>
      <c r="E126" s="783" t="str">
        <f>FHD_NUM_P_80</f>
        <v>17</v>
      </c>
      <c r="F126" s="944" t="str">
        <f>FHD_P_80</f>
        <v>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v>
      </c>
      <c r="G126" s="1959" t="s">
        <v>1802</v>
      </c>
      <c r="H126" s="794"/>
      <c r="I126" s="794"/>
      <c r="J126" s="7466"/>
      <c r="K126" s="7466"/>
      <c r="L126" s="7466"/>
      <c r="M126" s="7466"/>
      <c r="N126" s="7466"/>
      <c r="O126" s="7466"/>
      <c r="P126" s="7466"/>
      <c r="Q126" s="7466"/>
      <c r="R126" s="7466"/>
      <c r="S126" s="7466"/>
      <c r="T126" s="7466"/>
      <c r="U126" s="7466"/>
      <c r="V126" s="7466"/>
      <c r="W126" s="7466"/>
      <c r="X126" s="7466"/>
      <c r="Y126" s="7466"/>
      <c r="Z126" s="7466"/>
      <c r="AA126" s="7466"/>
      <c r="AB126" s="7466"/>
      <c r="AC126" s="7466"/>
      <c r="AD126" s="7466"/>
      <c r="AE126" s="7466"/>
      <c r="AF126" s="7466"/>
      <c r="AG126" s="7466"/>
      <c r="AH126" s="7466"/>
      <c r="AI126" s="7466"/>
      <c r="AJ126" s="7466"/>
      <c r="AK126" s="7466"/>
      <c r="AL126" s="780"/>
    </row>
    <row customHeight="1" ht="18.75">
      <c r="A127" s="2591"/>
      <c r="D127" s="1951"/>
      <c r="E127" s="783" t="str">
        <f>FHD_NUM_P_81</f>
        <v>18</v>
      </c>
      <c r="F127" s="944" t="str">
        <f>FHD_P_81</f>
        <v>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v>
      </c>
      <c r="G127" s="1959" t="s">
        <v>1803</v>
      </c>
      <c r="H127" s="794"/>
      <c r="I127" s="794"/>
      <c r="J127" s="7466"/>
      <c r="K127" s="7466"/>
      <c r="L127" s="7466"/>
      <c r="M127" s="7466"/>
      <c r="N127" s="7466"/>
      <c r="O127" s="7466"/>
      <c r="P127" s="7466"/>
      <c r="Q127" s="7466"/>
      <c r="R127" s="7466"/>
      <c r="S127" s="7466"/>
      <c r="T127" s="7466"/>
      <c r="U127" s="7466"/>
      <c r="V127" s="7466"/>
      <c r="W127" s="7466"/>
      <c r="X127" s="7466"/>
      <c r="Y127" s="7466"/>
      <c r="Z127" s="7466"/>
      <c r="AA127" s="7466"/>
      <c r="AB127" s="7466"/>
      <c r="AC127" s="7466"/>
      <c r="AD127" s="7466"/>
      <c r="AE127" s="7466"/>
      <c r="AF127" s="7466"/>
      <c r="AG127" s="7466"/>
      <c r="AH127" s="7466"/>
      <c r="AI127" s="7466"/>
      <c r="AJ127" s="7466"/>
      <c r="AK127" s="7466"/>
      <c r="AL127" s="780"/>
    </row>
    <row customHeight="1" ht="18.75">
      <c r="A128" s="2591"/>
      <c r="C128" s="1949" t="s">
        <v>1793</v>
      </c>
      <c r="D128" s="1951"/>
      <c r="E128" s="783" t="str">
        <f>FHD_NUM_P_82</f>
        <v>19</v>
      </c>
      <c r="F128" s="944" t="str">
        <f>FHD_P_82</f>
        <v>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v>
      </c>
      <c r="G128" s="1959" t="s">
        <v>368</v>
      </c>
      <c r="H128" s="636"/>
      <c r="I128" s="636"/>
      <c r="J128" s="7092"/>
      <c r="K128" s="7092"/>
      <c r="L128" s="7092"/>
      <c r="M128" s="7092"/>
      <c r="N128" s="7092"/>
      <c r="O128" s="7092"/>
      <c r="P128" s="7092"/>
      <c r="Q128" s="7092"/>
      <c r="R128" s="7092"/>
      <c r="S128" s="7092"/>
      <c r="T128" s="7092"/>
      <c r="U128" s="7092"/>
      <c r="V128" s="7092"/>
      <c r="W128" s="7092"/>
      <c r="X128" s="7092"/>
      <c r="Y128" s="7092"/>
      <c r="Z128" s="7092"/>
      <c r="AA128" s="7092"/>
      <c r="AB128" s="7092"/>
      <c r="AC128" s="7092"/>
      <c r="AD128" s="7092"/>
      <c r="AE128" s="7092"/>
      <c r="AF128" s="7092"/>
      <c r="AG128" s="7092"/>
      <c r="AH128" s="7092"/>
      <c r="AI128" s="7092"/>
      <c r="AJ128" s="7092"/>
      <c r="AK128" s="7092"/>
      <c r="AL128" s="780"/>
    </row>
    <row customHeight="1" ht="18.75">
      <c r="A129" s="2591"/>
      <c r="C129" s="1949" t="s">
        <v>1793</v>
      </c>
      <c r="D129" s="1951"/>
      <c r="E129" s="783" t="str">
        <f>FHD_NUM_P_83</f>
        <v>19.1</v>
      </c>
      <c r="F129" s="1210" t="str">
        <f>FHD_P_83</f>
        <v>Информация о показателях физического износа объектов теплоснабжения</v>
      </c>
      <c r="G129" s="1959" t="s">
        <v>368</v>
      </c>
      <c r="H129" s="636"/>
      <c r="I129" s="636"/>
      <c r="J129" s="7092"/>
      <c r="K129" s="7092"/>
      <c r="L129" s="7092"/>
      <c r="M129" s="7092"/>
      <c r="N129" s="7092"/>
      <c r="O129" s="7092"/>
      <c r="P129" s="7092"/>
      <c r="Q129" s="7092"/>
      <c r="R129" s="7092"/>
      <c r="S129" s="7092"/>
      <c r="T129" s="7092"/>
      <c r="U129" s="7092"/>
      <c r="V129" s="7092"/>
      <c r="W129" s="7092"/>
      <c r="X129" s="7092"/>
      <c r="Y129" s="7092"/>
      <c r="Z129" s="7092"/>
      <c r="AA129" s="7092"/>
      <c r="AB129" s="7092"/>
      <c r="AC129" s="7092"/>
      <c r="AD129" s="7092"/>
      <c r="AE129" s="7092"/>
      <c r="AF129" s="7092"/>
      <c r="AG129" s="7092"/>
      <c r="AH129" s="7092"/>
      <c r="AI129" s="7092"/>
      <c r="AJ129" s="7092"/>
      <c r="AK129" s="7092"/>
      <c r="AL129" s="780"/>
    </row>
    <row customHeight="1" ht="18.75">
      <c r="A130" s="2591"/>
      <c r="C130" s="1949" t="s">
        <v>1793</v>
      </c>
      <c r="D130" s="1951"/>
      <c r="E130" s="783" t="str">
        <f>FHD_NUM_P_84</f>
        <v>19.2</v>
      </c>
      <c r="F130" s="1210" t="str">
        <f>FHD_P_84</f>
        <v>Информация о показателях энергетической эффективности объектов теплоснабжения</v>
      </c>
      <c r="G130" s="1959" t="s">
        <v>368</v>
      </c>
      <c r="H130" s="636"/>
      <c r="I130" s="636"/>
      <c r="J130" s="7092"/>
      <c r="K130" s="7092"/>
      <c r="L130" s="7092"/>
      <c r="M130" s="7092"/>
      <c r="N130" s="7092"/>
      <c r="O130" s="7092"/>
      <c r="P130" s="7092"/>
      <c r="Q130" s="7092"/>
      <c r="R130" s="7092"/>
      <c r="S130" s="7092"/>
      <c r="T130" s="7092"/>
      <c r="U130" s="7092"/>
      <c r="V130" s="7092"/>
      <c r="W130" s="7092"/>
      <c r="X130" s="7092"/>
      <c r="Y130" s="7092"/>
      <c r="Z130" s="7092"/>
      <c r="AA130" s="7092"/>
      <c r="AB130" s="7092"/>
      <c r="AC130" s="7092"/>
      <c r="AD130" s="7092"/>
      <c r="AE130" s="7092"/>
      <c r="AF130" s="7092"/>
      <c r="AG130" s="7092"/>
      <c r="AH130" s="7092"/>
      <c r="AI130" s="7092"/>
      <c r="AJ130" s="7092"/>
      <c r="AK130" s="7092"/>
      <c r="AL130" s="780"/>
    </row>
    <row customHeight="1" ht="11.25">
      <c r="D131" s="1951"/>
      <c r="J131" s="6985"/>
      <c r="K131" s="6985"/>
      <c r="L131" s="6985"/>
      <c r="M131" s="6985"/>
      <c r="N131" s="6985"/>
      <c r="O131" s="6985"/>
      <c r="P131" s="6985"/>
      <c r="Q131" s="6985"/>
      <c r="R131" s="6985"/>
      <c r="S131" s="6985"/>
      <c r="T131" s="6985"/>
      <c r="U131" s="6985"/>
      <c r="V131" s="6985"/>
      <c r="W131" s="6985"/>
      <c r="X131" s="6985"/>
      <c r="Y131" s="6985"/>
      <c r="Z131" s="6985"/>
      <c r="AA131" s="6985"/>
      <c r="AB131" s="6985"/>
      <c r="AC131" s="6985"/>
      <c r="AD131" s="6985"/>
      <c r="AE131" s="6985"/>
      <c r="AF131" s="6985"/>
      <c r="AG131" s="6985"/>
      <c r="AH131" s="6985"/>
      <c r="AI131" s="6985"/>
      <c r="AJ131" s="6985"/>
      <c r="AK131" s="6985"/>
    </row>
    <row customHeight="1" ht="12.75">
      <c r="D132" s="1951"/>
      <c r="E132" s="557"/>
      <c r="F132" s="594"/>
      <c r="G132" s="594"/>
      <c r="H132" s="594"/>
      <c r="I132" s="1960"/>
      <c r="J132" s="7713"/>
      <c r="K132" s="7713"/>
      <c r="L132" s="7713"/>
      <c r="M132" s="7713"/>
      <c r="N132" s="7713"/>
      <c r="O132" s="7713"/>
      <c r="P132" s="7713"/>
      <c r="Q132" s="7713"/>
      <c r="R132" s="7713"/>
      <c r="S132" s="7713"/>
      <c r="T132" s="7713"/>
      <c r="U132" s="7713"/>
      <c r="V132" s="7713"/>
      <c r="W132" s="7713"/>
      <c r="X132" s="7713"/>
      <c r="Y132" s="7713"/>
      <c r="Z132" s="7713"/>
      <c r="AA132" s="7713"/>
      <c r="AB132" s="7713"/>
      <c r="AC132" s="7713"/>
      <c r="AD132" s="7713"/>
      <c r="AE132" s="7713"/>
      <c r="AF132" s="7713"/>
      <c r="AG132" s="7713"/>
      <c r="AH132" s="7713"/>
      <c r="AI132" s="7713"/>
      <c r="AJ132" s="7713"/>
      <c r="AK132" s="7713"/>
    </row>
    <row s="10822" customFormat="1" customHeight="1" ht="11.25">
      <c r="A133" s="1243"/>
      <c r="B133" s="1949"/>
      <c r="C133" s="1949"/>
      <c r="D133" s="572"/>
      <c r="F133" s="1953"/>
      <c r="G133" s="1944"/>
      <c r="H133" s="1944"/>
      <c r="I133" s="1944"/>
      <c r="J133" s="6985"/>
      <c r="K133" s="6985"/>
      <c r="L133" s="6985"/>
      <c r="M133" s="6985"/>
      <c r="N133" s="6985"/>
      <c r="O133" s="6985"/>
      <c r="P133" s="6985"/>
      <c r="Q133" s="6985"/>
      <c r="R133" s="6985"/>
      <c r="S133" s="6985"/>
      <c r="T133" s="6985"/>
      <c r="U133" s="6985"/>
      <c r="V133" s="6985"/>
      <c r="W133" s="6985"/>
      <c r="X133" s="6985"/>
      <c r="Y133" s="6985"/>
      <c r="Z133" s="6985"/>
      <c r="AA133" s="6985"/>
      <c r="AB133" s="6985"/>
      <c r="AC133" s="6985"/>
      <c r="AD133" s="6985"/>
      <c r="AE133" s="6985"/>
      <c r="AF133" s="6985"/>
      <c r="AG133" s="6985"/>
      <c r="AH133" s="6985"/>
      <c r="AI133" s="6985"/>
      <c r="AJ133" s="6985"/>
      <c r="AK133" s="6985"/>
      <c r="AL133" s="1421"/>
      <c r="AM133" s="1949"/>
      <c r="AN133" s="1949"/>
      <c r="AO133" s="1421"/>
      <c r="AP133" s="1421"/>
      <c r="AQ133" s="1421"/>
      <c r="AR133" s="1421"/>
      <c r="AS133" s="1949"/>
      <c r="AT133" s="1421"/>
      <c r="AU133" s="1421"/>
      <c r="AV133" s="781"/>
      <c r="AW133" s="1421"/>
      <c r="AX133" s="1421"/>
      <c r="AY133" s="1421"/>
      <c r="AZ133" s="1421"/>
      <c r="BA133" s="1421"/>
      <c r="BB133" s="1945"/>
      <c r="BC133" s="803"/>
      <c r="BD133" s="803"/>
      <c r="BE133" s="803"/>
      <c r="BF133" s="803"/>
    </row>
    <row s="10822" customFormat="1" customHeight="1" ht="11.25">
      <c r="A134" s="1243"/>
      <c r="B134" s="1949"/>
      <c r="C134" s="1949"/>
      <c r="D134" s="572"/>
      <c r="J134" s="7715"/>
      <c r="K134" s="7715"/>
      <c r="L134" s="7715"/>
      <c r="M134" s="7715"/>
      <c r="N134" s="7715"/>
      <c r="O134" s="7715"/>
      <c r="P134" s="7715"/>
      <c r="Q134" s="7715"/>
      <c r="R134" s="7715"/>
      <c r="S134" s="7715"/>
      <c r="T134" s="7715"/>
      <c r="U134" s="7715"/>
      <c r="V134" s="7715"/>
      <c r="W134" s="7715"/>
      <c r="X134" s="7715"/>
      <c r="Y134" s="7715"/>
      <c r="Z134" s="7715"/>
      <c r="AA134" s="7715"/>
      <c r="AB134" s="7715"/>
      <c r="AC134" s="7715"/>
      <c r="AD134" s="7715"/>
      <c r="AE134" s="7715"/>
      <c r="AF134" s="7715"/>
      <c r="AG134" s="7715"/>
      <c r="AH134" s="7715"/>
      <c r="AI134" s="7715"/>
      <c r="AJ134" s="7715"/>
      <c r="AK134" s="7715"/>
      <c r="AL134" s="1421"/>
      <c r="AM134" s="1949"/>
      <c r="AN134" s="1949"/>
      <c r="AO134" s="1421"/>
      <c r="AP134" s="1421"/>
      <c r="AQ134" s="1421"/>
      <c r="AR134" s="1421"/>
      <c r="AS134" s="1949"/>
      <c r="AT134" s="1421"/>
      <c r="AU134" s="1421"/>
      <c r="AV134" s="781"/>
      <c r="AW134" s="1421"/>
      <c r="AX134" s="1421"/>
      <c r="AY134" s="1421"/>
      <c r="AZ134" s="1421"/>
      <c r="BA134" s="1421"/>
      <c r="BB134" s="1945"/>
      <c r="BC134" s="803"/>
      <c r="BD134" s="803"/>
      <c r="BE134" s="803"/>
      <c r="BF134" s="803"/>
    </row>
    <row s="10822" customFormat="1" customHeight="1" ht="11.25">
      <c r="A135" s="1243"/>
      <c r="B135" s="1949"/>
      <c r="C135" s="1949"/>
      <c r="D135" s="572"/>
      <c r="J135" s="7715"/>
      <c r="K135" s="7715"/>
      <c r="L135" s="7715"/>
      <c r="M135" s="7715"/>
      <c r="N135" s="7715"/>
      <c r="O135" s="7715"/>
      <c r="P135" s="7715"/>
      <c r="Q135" s="7715"/>
      <c r="R135" s="7715"/>
      <c r="S135" s="7715"/>
      <c r="T135" s="7715"/>
      <c r="U135" s="7715"/>
      <c r="V135" s="7715"/>
      <c r="W135" s="7715"/>
      <c r="X135" s="7715"/>
      <c r="Y135" s="7715"/>
      <c r="Z135" s="7715"/>
      <c r="AA135" s="7715"/>
      <c r="AB135" s="7715"/>
      <c r="AC135" s="7715"/>
      <c r="AD135" s="7715"/>
      <c r="AE135" s="7715"/>
      <c r="AF135" s="7715"/>
      <c r="AG135" s="7715"/>
      <c r="AH135" s="7715"/>
      <c r="AI135" s="7715"/>
      <c r="AJ135" s="7715"/>
      <c r="AK135" s="7715"/>
      <c r="AL135" s="1421"/>
      <c r="AM135" s="1949"/>
      <c r="AN135" s="1949"/>
      <c r="AO135" s="1421"/>
      <c r="AP135" s="1421"/>
      <c r="AQ135" s="1421"/>
      <c r="AR135" s="1421"/>
      <c r="AS135" s="1949"/>
      <c r="AT135" s="1421"/>
      <c r="AU135" s="1421"/>
      <c r="AV135" s="781"/>
      <c r="AW135" s="1421"/>
      <c r="AX135" s="1421"/>
      <c r="AY135" s="1421"/>
      <c r="AZ135" s="1421"/>
      <c r="BA135" s="1421"/>
      <c r="BB135" s="1945"/>
      <c r="BC135" s="803"/>
      <c r="BD135" s="803"/>
      <c r="BE135" s="803"/>
      <c r="BF135" s="803"/>
    </row>
    <row s="10822" customFormat="1" customHeight="1" ht="11.25">
      <c r="A136" s="1243"/>
      <c r="B136" s="1949"/>
      <c r="C136" s="1949"/>
      <c r="D136" s="572"/>
      <c r="H136" s="803" t="str">
        <f>IF(H30-H31&lt;&gt;H72,"WARNING","")</f>
        <v/>
      </c>
      <c r="I136" s="803" t="str">
        <f>IF(I30-I31&lt;&gt;I72,"WARNING","")</f>
        <v/>
      </c>
      <c r="J136" s="7716" t="str">
        <f>IF(J30-J31&lt;&gt;J72,"WARNING","")</f>
        <v/>
      </c>
      <c r="K136" s="7716" t="str">
        <f>IF(K30-K31&lt;&gt;K72,"WARNING","")</f>
        <v/>
      </c>
      <c r="L136" s="7716" t="str">
        <f>IF(L30-L31&lt;&gt;L72,"WARNING","")</f>
        <v/>
      </c>
      <c r="M136" s="7716" t="str">
        <f>IF(M30-M31&lt;&gt;M72,"WARNING","")</f>
        <v/>
      </c>
      <c r="N136" s="7716" t="str">
        <f>IF(N30-N31&lt;&gt;N72,"WARNING","")</f>
        <v/>
      </c>
      <c r="O136" s="7716" t="str">
        <f>IF(O30-O31&lt;&gt;O72,"WARNING","")</f>
        <v/>
      </c>
      <c r="P136" s="7716" t="str">
        <f>IF(P30-P31&lt;&gt;P72,"WARNING","")</f>
        <v/>
      </c>
      <c r="Q136" s="7716" t="str">
        <f>IF(Q30-Q31&lt;&gt;Q72,"WARNING","")</f>
        <v/>
      </c>
      <c r="R136" s="7716" t="str">
        <f>IF(R30-R31&lt;&gt;R72,"WARNING","")</f>
        <v/>
      </c>
      <c r="S136" s="7716" t="str">
        <f>IF(S30-S31&lt;&gt;S72,"WARNING","")</f>
        <v/>
      </c>
      <c r="T136" s="7716" t="str">
        <f>IF(T30-T31&lt;&gt;T72,"WARNING","")</f>
        <v/>
      </c>
      <c r="U136" s="7716" t="str">
        <f>IF(U30-U31&lt;&gt;U72,"WARNING","")</f>
        <v/>
      </c>
      <c r="V136" s="7716" t="str">
        <f>IF(V30-V31&lt;&gt;V72,"WARNING","")</f>
        <v/>
      </c>
      <c r="W136" s="7716" t="str">
        <f>IF(W30-W31&lt;&gt;W72,"WARNING","")</f>
        <v/>
      </c>
      <c r="X136" s="7716" t="str">
        <f>IF(X30-X31&lt;&gt;X72,"WARNING","")</f>
        <v/>
      </c>
      <c r="Y136" s="7716" t="str">
        <f>IF(Y30-Y31&lt;&gt;Y72,"WARNING","")</f>
        <v/>
      </c>
      <c r="Z136" s="7716" t="str">
        <f>IF(Z30-Z31&lt;&gt;Z72,"WARNING","")</f>
        <v/>
      </c>
      <c r="AA136" s="7716" t="str">
        <f>IF(AA30-AA31&lt;&gt;AA72,"WARNING","")</f>
        <v/>
      </c>
      <c r="AB136" s="7716" t="str">
        <f>IF(AB30-AB31&lt;&gt;AB72,"WARNING","")</f>
        <v/>
      </c>
      <c r="AC136" s="7716" t="str">
        <f>IF(AC30-AC31&lt;&gt;AC72,"WARNING","")</f>
        <v/>
      </c>
      <c r="AD136" s="7716" t="str">
        <f>IF(AD30-AD31&lt;&gt;AD72,"WARNING","")</f>
        <v/>
      </c>
      <c r="AE136" s="7716" t="str">
        <f>IF(AE30-AE31&lt;&gt;AE72,"WARNING","")</f>
        <v/>
      </c>
      <c r="AF136" s="7716" t="str">
        <f>IF(AF30-AF31&lt;&gt;AF72,"WARNING","")</f>
        <v/>
      </c>
      <c r="AG136" s="7716" t="str">
        <f>IF(AG30-AG31&lt;&gt;AG72,"WARNING","")</f>
        <v/>
      </c>
      <c r="AH136" s="7716" t="str">
        <f>IF(AH30-AH31&lt;&gt;AH72,"WARNING","")</f>
        <v/>
      </c>
      <c r="AI136" s="7716" t="str">
        <f>IF(AI30-AI31&lt;&gt;AI72,"WARNING","")</f>
        <v/>
      </c>
      <c r="AJ136" s="7716" t="str">
        <f>IF(AJ30-AJ31&lt;&gt;AJ72,"WARNING","")</f>
        <v/>
      </c>
      <c r="AK136" s="7716" t="str">
        <f>IF(AK30-AK31&lt;&gt;AK72,"WARNING","")</f>
        <v/>
      </c>
      <c r="AL136" s="1421"/>
      <c r="AM136" s="1949"/>
      <c r="AN136" s="1949"/>
      <c r="AO136" s="1421"/>
      <c r="AP136" s="1421"/>
      <c r="AQ136" s="1421"/>
      <c r="AR136" s="1421"/>
      <c r="AS136" s="1949"/>
      <c r="AT136" s="1421"/>
      <c r="AU136" s="1421"/>
      <c r="AV136" s="781"/>
      <c r="AW136" s="1421"/>
      <c r="AX136" s="1421"/>
      <c r="AY136" s="1421"/>
      <c r="AZ136" s="1421"/>
      <c r="BA136" s="1421"/>
      <c r="BB136" s="1945"/>
      <c r="BC136" s="803"/>
      <c r="BD136" s="803"/>
      <c r="BE136" s="803"/>
      <c r="BF136" s="803"/>
    </row>
    <row s="10822" customFormat="1" customHeight="1" ht="11.25">
      <c r="A137" s="1243"/>
      <c r="B137" s="1949"/>
      <c r="C137" s="1949"/>
      <c r="D137" s="572"/>
      <c r="J137" s="7715"/>
      <c r="K137" s="7715"/>
      <c r="L137" s="7715"/>
      <c r="M137" s="7715"/>
      <c r="N137" s="7715"/>
      <c r="O137" s="7715"/>
      <c r="P137" s="7715"/>
      <c r="Q137" s="7715"/>
      <c r="R137" s="7715"/>
      <c r="S137" s="7715"/>
      <c r="T137" s="7715"/>
      <c r="U137" s="7715"/>
      <c r="V137" s="7715"/>
      <c r="W137" s="7715"/>
      <c r="X137" s="7715"/>
      <c r="Y137" s="7715"/>
      <c r="Z137" s="7715"/>
      <c r="AA137" s="7715"/>
      <c r="AB137" s="7715"/>
      <c r="AC137" s="7715"/>
      <c r="AD137" s="7715"/>
      <c r="AE137" s="7715"/>
      <c r="AF137" s="7715"/>
      <c r="AG137" s="7715"/>
      <c r="AH137" s="7715"/>
      <c r="AI137" s="7715"/>
      <c r="AJ137" s="7715"/>
      <c r="AK137" s="7715"/>
      <c r="AL137" s="1421"/>
      <c r="AM137" s="1949"/>
      <c r="AN137" s="1949"/>
      <c r="AO137" s="1421"/>
      <c r="AP137" s="1421"/>
      <c r="AQ137" s="1421"/>
      <c r="AR137" s="1421"/>
      <c r="AS137" s="1949"/>
      <c r="AT137" s="1421"/>
      <c r="AU137" s="1421"/>
      <c r="AV137" s="781"/>
      <c r="AW137" s="1421"/>
      <c r="AX137" s="1421"/>
      <c r="AY137" s="1421"/>
      <c r="AZ137" s="1421"/>
      <c r="BA137" s="1421"/>
      <c r="BB137" s="1945"/>
      <c r="BC137" s="803"/>
      <c r="BD137" s="803"/>
      <c r="BE137" s="803"/>
      <c r="BF137" s="803"/>
    </row>
    <row s="10822" customFormat="1" customHeight="1" ht="11.25">
      <c r="A138" s="1243"/>
      <c r="B138" s="1949"/>
      <c r="C138" s="1949"/>
      <c r="D138" s="572"/>
      <c r="J138" s="7715"/>
      <c r="K138" s="7715"/>
      <c r="L138" s="7715"/>
      <c r="M138" s="7715"/>
      <c r="N138" s="7715"/>
      <c r="O138" s="7715"/>
      <c r="P138" s="7715"/>
      <c r="Q138" s="7715"/>
      <c r="R138" s="7715"/>
      <c r="S138" s="7715"/>
      <c r="T138" s="7715"/>
      <c r="U138" s="7715"/>
      <c r="V138" s="7715"/>
      <c r="W138" s="7715"/>
      <c r="X138" s="7715"/>
      <c r="Y138" s="7715"/>
      <c r="Z138" s="7715"/>
      <c r="AA138" s="7715"/>
      <c r="AB138" s="7715"/>
      <c r="AC138" s="7715"/>
      <c r="AD138" s="7715"/>
      <c r="AE138" s="7715"/>
      <c r="AF138" s="7715"/>
      <c r="AG138" s="7715"/>
      <c r="AH138" s="7715"/>
      <c r="AI138" s="7715"/>
      <c r="AJ138" s="7715"/>
      <c r="AK138" s="7715"/>
      <c r="AL138" s="1421"/>
      <c r="AM138" s="1949"/>
      <c r="AN138" s="1949"/>
      <c r="AO138" s="1421"/>
      <c r="AP138" s="1421"/>
      <c r="AQ138" s="1421"/>
      <c r="AR138" s="1421"/>
      <c r="AS138" s="1949"/>
      <c r="AT138" s="1421"/>
      <c r="AU138" s="1421"/>
      <c r="AV138" s="781"/>
      <c r="AW138" s="1421"/>
      <c r="AX138" s="1421"/>
      <c r="AY138" s="1421"/>
      <c r="AZ138" s="1421"/>
      <c r="BA138" s="1421"/>
      <c r="BB138" s="1945"/>
      <c r="BC138" s="803"/>
      <c r="BD138" s="803"/>
      <c r="BE138" s="803"/>
      <c r="BF138" s="803"/>
    </row>
    <row s="10822" customFormat="1" customHeight="1" ht="11.25">
      <c r="A139" s="1243"/>
      <c r="B139" s="1949"/>
      <c r="C139" s="1949"/>
      <c r="D139" s="572"/>
      <c r="J139" s="7715"/>
      <c r="K139" s="7715"/>
      <c r="L139" s="7715"/>
      <c r="M139" s="7715"/>
      <c r="N139" s="7715"/>
      <c r="O139" s="7715"/>
      <c r="P139" s="7715"/>
      <c r="Q139" s="7715"/>
      <c r="R139" s="7715"/>
      <c r="S139" s="7715"/>
      <c r="T139" s="7715"/>
      <c r="U139" s="7715"/>
      <c r="V139" s="7715"/>
      <c r="W139" s="7715"/>
      <c r="X139" s="7715"/>
      <c r="Y139" s="7715"/>
      <c r="Z139" s="7715"/>
      <c r="AA139" s="7715"/>
      <c r="AB139" s="7715"/>
      <c r="AC139" s="7715"/>
      <c r="AD139" s="7715"/>
      <c r="AE139" s="7715"/>
      <c r="AF139" s="7715"/>
      <c r="AG139" s="7715"/>
      <c r="AH139" s="7715"/>
      <c r="AI139" s="7715"/>
      <c r="AJ139" s="7715"/>
      <c r="AK139" s="7715"/>
      <c r="AL139" s="1421"/>
      <c r="AM139" s="1949"/>
      <c r="AN139" s="1949"/>
      <c r="AO139" s="1421"/>
      <c r="AP139" s="1421"/>
      <c r="AQ139" s="1421"/>
      <c r="AR139" s="1421"/>
      <c r="AS139" s="1949"/>
      <c r="AT139" s="1421"/>
      <c r="AU139" s="1421"/>
      <c r="AV139" s="781"/>
      <c r="AW139" s="1421"/>
      <c r="AX139" s="1421"/>
      <c r="AY139" s="1421"/>
      <c r="AZ139" s="1421"/>
      <c r="BA139" s="1421"/>
      <c r="BB139" s="1945"/>
      <c r="BC139" s="803"/>
      <c r="BD139" s="803"/>
      <c r="BE139" s="803"/>
      <c r="BF139" s="803"/>
    </row>
    <row s="10822" customFormat="1" customHeight="1" ht="11.25">
      <c r="A140" s="1243"/>
      <c r="B140" s="1949"/>
      <c r="C140" s="1949"/>
      <c r="D140" s="572"/>
      <c r="J140" s="7715"/>
      <c r="K140" s="7715"/>
      <c r="L140" s="7715"/>
      <c r="M140" s="7715"/>
      <c r="N140" s="7715"/>
      <c r="O140" s="7715"/>
      <c r="P140" s="7715"/>
      <c r="Q140" s="7715"/>
      <c r="R140" s="7715"/>
      <c r="S140" s="7715"/>
      <c r="T140" s="7715"/>
      <c r="U140" s="7715"/>
      <c r="V140" s="7715"/>
      <c r="W140" s="7715"/>
      <c r="X140" s="7715"/>
      <c r="Y140" s="7715"/>
      <c r="Z140" s="7715"/>
      <c r="AA140" s="7715"/>
      <c r="AB140" s="7715"/>
      <c r="AC140" s="7715"/>
      <c r="AD140" s="7715"/>
      <c r="AE140" s="7715"/>
      <c r="AF140" s="7715"/>
      <c r="AG140" s="7715"/>
      <c r="AH140" s="7715"/>
      <c r="AI140" s="7715"/>
      <c r="AJ140" s="7715"/>
      <c r="AK140" s="7715"/>
      <c r="AL140" s="1421"/>
      <c r="AM140" s="1949"/>
      <c r="AN140" s="1949"/>
      <c r="AO140" s="1421"/>
      <c r="AP140" s="1421"/>
      <c r="AQ140" s="1421"/>
      <c r="AR140" s="1421"/>
      <c r="AS140" s="1949"/>
      <c r="AT140" s="1421"/>
      <c r="AU140" s="1421"/>
      <c r="AV140" s="781"/>
      <c r="AW140" s="1421"/>
      <c r="AX140" s="1421"/>
      <c r="AY140" s="1421"/>
      <c r="AZ140" s="1421"/>
      <c r="BA140" s="1421"/>
      <c r="BB140" s="1945"/>
      <c r="BC140" s="803"/>
      <c r="BD140" s="803"/>
      <c r="BE140" s="803"/>
      <c r="BF140" s="803"/>
    </row>
    <row s="10822" customFormat="1" customHeight="1" ht="11.25">
      <c r="A141" s="1243"/>
      <c r="B141" s="1949"/>
      <c r="C141" s="1949"/>
      <c r="D141" s="572"/>
      <c r="J141" s="7715"/>
      <c r="K141" s="7715"/>
      <c r="L141" s="7715"/>
      <c r="M141" s="7715"/>
      <c r="N141" s="7715"/>
      <c r="O141" s="7715"/>
      <c r="P141" s="7715"/>
      <c r="Q141" s="7715"/>
      <c r="R141" s="7715"/>
      <c r="S141" s="7715"/>
      <c r="T141" s="7715"/>
      <c r="U141" s="7715"/>
      <c r="V141" s="7715"/>
      <c r="W141" s="7715"/>
      <c r="X141" s="7715"/>
      <c r="Y141" s="7715"/>
      <c r="Z141" s="7715"/>
      <c r="AA141" s="7715"/>
      <c r="AB141" s="7715"/>
      <c r="AC141" s="7715"/>
      <c r="AD141" s="7715"/>
      <c r="AE141" s="7715"/>
      <c r="AF141" s="7715"/>
      <c r="AG141" s="7715"/>
      <c r="AH141" s="7715"/>
      <c r="AI141" s="7715"/>
      <c r="AJ141" s="7715"/>
      <c r="AK141" s="7715"/>
      <c r="AL141" s="1421"/>
      <c r="AM141" s="1949"/>
      <c r="AN141" s="1949"/>
      <c r="AO141" s="1421"/>
      <c r="AP141" s="1421"/>
      <c r="AQ141" s="1421"/>
      <c r="AR141" s="1421"/>
      <c r="AS141" s="1949"/>
      <c r="AT141" s="1421"/>
      <c r="AU141" s="1421"/>
      <c r="AV141" s="781"/>
      <c r="AW141" s="1421"/>
      <c r="AX141" s="1421"/>
      <c r="AY141" s="1421"/>
      <c r="AZ141" s="1421"/>
      <c r="BA141" s="1421"/>
      <c r="BB141" s="1945"/>
      <c r="BC141" s="803"/>
      <c r="BD141" s="803"/>
      <c r="BE141" s="803"/>
      <c r="BF141" s="803"/>
    </row>
    <row s="10822" customFormat="1" customHeight="1" ht="11.25">
      <c r="A142" s="1243"/>
      <c r="B142" s="1949"/>
      <c r="C142" s="1949"/>
      <c r="D142" s="572"/>
      <c r="J142" s="7715"/>
      <c r="K142" s="7715"/>
      <c r="L142" s="7715"/>
      <c r="M142" s="7715"/>
      <c r="N142" s="7715"/>
      <c r="O142" s="7715"/>
      <c r="P142" s="7715"/>
      <c r="Q142" s="7715"/>
      <c r="R142" s="7715"/>
      <c r="S142" s="7715"/>
      <c r="T142" s="7715"/>
      <c r="U142" s="7715"/>
      <c r="V142" s="7715"/>
      <c r="W142" s="7715"/>
      <c r="X142" s="7715"/>
      <c r="Y142" s="7715"/>
      <c r="Z142" s="7715"/>
      <c r="AA142" s="7715"/>
      <c r="AB142" s="7715"/>
      <c r="AC142" s="7715"/>
      <c r="AD142" s="7715"/>
      <c r="AE142" s="7715"/>
      <c r="AF142" s="7715"/>
      <c r="AG142" s="7715"/>
      <c r="AH142" s="7715"/>
      <c r="AI142" s="7715"/>
      <c r="AJ142" s="7715"/>
      <c r="AK142" s="7715"/>
      <c r="AL142" s="1421"/>
      <c r="AM142" s="1949"/>
      <c r="AN142" s="1949"/>
      <c r="AO142" s="1421"/>
      <c r="AP142" s="1421"/>
      <c r="AQ142" s="1421"/>
      <c r="AR142" s="1421"/>
      <c r="AS142" s="1949"/>
      <c r="AT142" s="1421"/>
      <c r="AU142" s="1421"/>
      <c r="AV142" s="781"/>
      <c r="AW142" s="1421"/>
      <c r="AX142" s="1421"/>
      <c r="AY142" s="1421"/>
      <c r="AZ142" s="1421"/>
      <c r="BA142" s="1421"/>
      <c r="BB142" s="1945"/>
      <c r="BC142" s="803"/>
      <c r="BD142" s="803"/>
      <c r="BE142" s="803"/>
      <c r="BF142" s="803"/>
    </row>
    <row s="10822" customFormat="1" customHeight="1" ht="11.25">
      <c r="A143" s="1243"/>
      <c r="B143" s="1949"/>
      <c r="C143" s="1949"/>
      <c r="D143" s="572"/>
      <c r="J143" s="7715"/>
      <c r="K143" s="7715"/>
      <c r="L143" s="7715"/>
      <c r="M143" s="7715"/>
      <c r="N143" s="7715"/>
      <c r="O143" s="7715"/>
      <c r="P143" s="7715"/>
      <c r="Q143" s="7715"/>
      <c r="R143" s="7715"/>
      <c r="S143" s="7715"/>
      <c r="T143" s="7715"/>
      <c r="U143" s="7715"/>
      <c r="V143" s="7715"/>
      <c r="W143" s="7715"/>
      <c r="X143" s="7715"/>
      <c r="Y143" s="7715"/>
      <c r="Z143" s="7715"/>
      <c r="AA143" s="7715"/>
      <c r="AB143" s="7715"/>
      <c r="AC143" s="7715"/>
      <c r="AD143" s="7715"/>
      <c r="AE143" s="7715"/>
      <c r="AF143" s="7715"/>
      <c r="AG143" s="7715"/>
      <c r="AH143" s="7715"/>
      <c r="AI143" s="7715"/>
      <c r="AJ143" s="7715"/>
      <c r="AK143" s="7715"/>
      <c r="AL143" s="1421"/>
      <c r="AM143" s="1949"/>
      <c r="AN143" s="1949"/>
      <c r="AO143" s="1421"/>
      <c r="AP143" s="1421"/>
      <c r="AQ143" s="1421"/>
      <c r="AR143" s="1421"/>
      <c r="AS143" s="1949"/>
      <c r="AT143" s="1421"/>
      <c r="AU143" s="1421"/>
      <c r="AV143" s="781"/>
      <c r="AW143" s="1421"/>
      <c r="AX143" s="1421"/>
      <c r="AY143" s="1421"/>
      <c r="AZ143" s="1421"/>
      <c r="BA143" s="1421"/>
      <c r="BB143" s="1945"/>
      <c r="BC143" s="803"/>
      <c r="BD143" s="803"/>
      <c r="BE143" s="803"/>
      <c r="BF143" s="803"/>
    </row>
    <row s="10822" customFormat="1" customHeight="1" ht="11.25">
      <c r="A144" s="1243"/>
      <c r="B144" s="1949"/>
      <c r="C144" s="1949"/>
      <c r="D144" s="572"/>
      <c r="J144" s="7715"/>
      <c r="K144" s="7715"/>
      <c r="L144" s="7715"/>
      <c r="M144" s="7715"/>
      <c r="N144" s="7715"/>
      <c r="O144" s="7715"/>
      <c r="P144" s="7715"/>
      <c r="Q144" s="7715"/>
      <c r="R144" s="7715"/>
      <c r="S144" s="7715"/>
      <c r="T144" s="7715"/>
      <c r="U144" s="7715"/>
      <c r="V144" s="7715"/>
      <c r="W144" s="7715"/>
      <c r="X144" s="7715"/>
      <c r="Y144" s="7715"/>
      <c r="Z144" s="7715"/>
      <c r="AA144" s="7715"/>
      <c r="AB144" s="7715"/>
      <c r="AC144" s="7715"/>
      <c r="AD144" s="7715"/>
      <c r="AE144" s="7715"/>
      <c r="AF144" s="7715"/>
      <c r="AG144" s="7715"/>
      <c r="AH144" s="7715"/>
      <c r="AI144" s="7715"/>
      <c r="AJ144" s="7715"/>
      <c r="AK144" s="7715"/>
      <c r="AL144" s="1421"/>
      <c r="AM144" s="1949"/>
      <c r="AN144" s="1949"/>
      <c r="AO144" s="1421"/>
      <c r="AP144" s="1421"/>
      <c r="AQ144" s="1421"/>
      <c r="AR144" s="1421"/>
      <c r="AS144" s="1949"/>
      <c r="AT144" s="1421"/>
      <c r="AU144" s="1421"/>
      <c r="AV144" s="781"/>
      <c r="AW144" s="1421"/>
      <c r="AX144" s="1421"/>
      <c r="AY144" s="1421"/>
      <c r="AZ144" s="1421"/>
      <c r="BA144" s="1421"/>
      <c r="BB144" s="1945"/>
      <c r="BC144" s="803"/>
      <c r="BD144" s="803"/>
      <c r="BE144" s="803"/>
      <c r="BF144" s="803"/>
    </row>
    <row s="10822" customFormat="1" customHeight="1" ht="11.25">
      <c r="A145" s="1243"/>
      <c r="B145" s="1949"/>
      <c r="C145" s="1949"/>
      <c r="D145" s="572"/>
      <c r="J145" s="7715"/>
      <c r="K145" s="7715"/>
      <c r="L145" s="7715"/>
      <c r="M145" s="7715"/>
      <c r="N145" s="7715"/>
      <c r="O145" s="7715"/>
      <c r="P145" s="7715"/>
      <c r="Q145" s="7715"/>
      <c r="R145" s="7715"/>
      <c r="S145" s="7715"/>
      <c r="T145" s="7715"/>
      <c r="U145" s="7715"/>
      <c r="V145" s="7715"/>
      <c r="W145" s="7715"/>
      <c r="X145" s="7715"/>
      <c r="Y145" s="7715"/>
      <c r="Z145" s="7715"/>
      <c r="AA145" s="7715"/>
      <c r="AB145" s="7715"/>
      <c r="AC145" s="7715"/>
      <c r="AD145" s="7715"/>
      <c r="AE145" s="7715"/>
      <c r="AF145" s="7715"/>
      <c r="AG145" s="7715"/>
      <c r="AH145" s="7715"/>
      <c r="AI145" s="7715"/>
      <c r="AJ145" s="7715"/>
      <c r="AK145" s="7715"/>
      <c r="AL145" s="1421"/>
      <c r="AM145" s="1949"/>
      <c r="AN145" s="1949"/>
      <c r="AO145" s="1421"/>
      <c r="AP145" s="1421"/>
      <c r="AQ145" s="1421"/>
      <c r="AR145" s="1421"/>
      <c r="AS145" s="1949"/>
      <c r="AT145" s="1421"/>
      <c r="AU145" s="1421"/>
      <c r="AV145" s="781"/>
      <c r="AW145" s="1421"/>
      <c r="AX145" s="1421"/>
      <c r="AY145" s="1421"/>
      <c r="AZ145" s="1421"/>
      <c r="BA145" s="1421"/>
      <c r="BB145" s="1945"/>
      <c r="BC145" s="803"/>
      <c r="BD145" s="803"/>
      <c r="BE145" s="803"/>
      <c r="BF145" s="803"/>
    </row>
    <row s="10822" customFormat="1" customHeight="1" ht="11.25">
      <c r="A146" s="1243"/>
      <c r="B146" s="1949"/>
      <c r="C146" s="1949"/>
      <c r="D146" s="572"/>
      <c r="J146" s="7715"/>
      <c r="K146" s="7715"/>
      <c r="L146" s="7715"/>
      <c r="M146" s="7715"/>
      <c r="N146" s="7715"/>
      <c r="O146" s="7715"/>
      <c r="P146" s="7715"/>
      <c r="Q146" s="7715"/>
      <c r="R146" s="7715"/>
      <c r="S146" s="7715"/>
      <c r="T146" s="7715"/>
      <c r="U146" s="7715"/>
      <c r="V146" s="7715"/>
      <c r="W146" s="7715"/>
      <c r="X146" s="7715"/>
      <c r="Y146" s="7715"/>
      <c r="Z146" s="7715"/>
      <c r="AA146" s="7715"/>
      <c r="AB146" s="7715"/>
      <c r="AC146" s="7715"/>
      <c r="AD146" s="7715"/>
      <c r="AE146" s="7715"/>
      <c r="AF146" s="7715"/>
      <c r="AG146" s="7715"/>
      <c r="AH146" s="7715"/>
      <c r="AI146" s="7715"/>
      <c r="AJ146" s="7715"/>
      <c r="AK146" s="7715"/>
      <c r="AL146" s="1421"/>
      <c r="AM146" s="1949"/>
      <c r="AN146" s="1949"/>
      <c r="AO146" s="1421"/>
      <c r="AP146" s="1421"/>
      <c r="AQ146" s="1421"/>
      <c r="AR146" s="1421"/>
      <c r="AS146" s="1949"/>
      <c r="AT146" s="1421"/>
      <c r="AU146" s="1421"/>
      <c r="AV146" s="781"/>
      <c r="AW146" s="1421"/>
      <c r="AX146" s="1421"/>
      <c r="AY146" s="1421"/>
      <c r="AZ146" s="1421"/>
      <c r="BA146" s="1421"/>
      <c r="BB146" s="1945"/>
      <c r="BC146" s="803"/>
      <c r="BD146" s="803"/>
      <c r="BE146" s="803"/>
      <c r="BF146" s="803"/>
    </row>
    <row s="10822" customFormat="1" customHeight="1" ht="11.25">
      <c r="A147" s="1243"/>
      <c r="B147" s="1949"/>
      <c r="C147" s="1949"/>
      <c r="D147" s="572"/>
      <c r="J147" s="7715"/>
      <c r="K147" s="7715"/>
      <c r="L147" s="7715"/>
      <c r="M147" s="7715"/>
      <c r="N147" s="7715"/>
      <c r="O147" s="7715"/>
      <c r="P147" s="7715"/>
      <c r="Q147" s="7715"/>
      <c r="R147" s="7715"/>
      <c r="S147" s="7715"/>
      <c r="T147" s="7715"/>
      <c r="U147" s="7715"/>
      <c r="V147" s="7715"/>
      <c r="W147" s="7715"/>
      <c r="X147" s="7715"/>
      <c r="Y147" s="7715"/>
      <c r="Z147" s="7715"/>
      <c r="AA147" s="7715"/>
      <c r="AB147" s="7715"/>
      <c r="AC147" s="7715"/>
      <c r="AD147" s="7715"/>
      <c r="AE147" s="7715"/>
      <c r="AF147" s="7715"/>
      <c r="AG147" s="7715"/>
      <c r="AH147" s="7715"/>
      <c r="AI147" s="7715"/>
      <c r="AJ147" s="7715"/>
      <c r="AK147" s="7715"/>
      <c r="AL147" s="1421"/>
      <c r="AM147" s="1949"/>
      <c r="AN147" s="1949"/>
      <c r="AO147" s="1421"/>
      <c r="AP147" s="1421"/>
      <c r="AQ147" s="1421"/>
      <c r="AR147" s="1421"/>
      <c r="AS147" s="1949"/>
      <c r="AT147" s="1421"/>
      <c r="AU147" s="1421"/>
      <c r="AV147" s="781"/>
      <c r="AW147" s="1421"/>
      <c r="AX147" s="1421"/>
      <c r="AY147" s="1421"/>
      <c r="AZ147" s="1421"/>
      <c r="BA147" s="1421"/>
      <c r="BB147" s="1945"/>
      <c r="BC147" s="803"/>
      <c r="BD147" s="803"/>
      <c r="BE147" s="803"/>
      <c r="BF147" s="803"/>
    </row>
    <row s="10822" customFormat="1" customHeight="1" ht="11.25">
      <c r="A148" s="1243"/>
      <c r="B148" s="1949"/>
      <c r="C148" s="1949"/>
      <c r="D148" s="572"/>
      <c r="J148" s="7715"/>
      <c r="K148" s="7715"/>
      <c r="L148" s="7715"/>
      <c r="M148" s="7715"/>
      <c r="N148" s="7715"/>
      <c r="O148" s="7715"/>
      <c r="P148" s="7715"/>
      <c r="Q148" s="7715"/>
      <c r="R148" s="7715"/>
      <c r="S148" s="7715"/>
      <c r="T148" s="7715"/>
      <c r="U148" s="7715"/>
      <c r="V148" s="7715"/>
      <c r="W148" s="7715"/>
      <c r="X148" s="7715"/>
      <c r="Y148" s="7715"/>
      <c r="Z148" s="7715"/>
      <c r="AA148" s="7715"/>
      <c r="AB148" s="7715"/>
      <c r="AC148" s="7715"/>
      <c r="AD148" s="7715"/>
      <c r="AE148" s="7715"/>
      <c r="AF148" s="7715"/>
      <c r="AG148" s="7715"/>
      <c r="AH148" s="7715"/>
      <c r="AI148" s="7715"/>
      <c r="AJ148" s="7715"/>
      <c r="AK148" s="7715"/>
      <c r="AL148" s="1421"/>
      <c r="AM148" s="1949"/>
      <c r="AN148" s="1949"/>
      <c r="AO148" s="1421"/>
      <c r="AP148" s="1421"/>
      <c r="AQ148" s="1421"/>
      <c r="AR148" s="1421"/>
      <c r="AS148" s="1949"/>
      <c r="AT148" s="1421"/>
      <c r="AU148" s="1421"/>
      <c r="AV148" s="781"/>
      <c r="AW148" s="1421"/>
      <c r="AX148" s="1421"/>
      <c r="AY148" s="1421"/>
      <c r="AZ148" s="1421"/>
      <c r="BA148" s="1421"/>
      <c r="BB148" s="1945"/>
      <c r="BC148" s="803"/>
      <c r="BD148" s="803"/>
      <c r="BE148" s="803"/>
      <c r="BF148" s="803"/>
    </row>
    <row s="10822" customFormat="1" customHeight="1" ht="11.25">
      <c r="A149" s="1243"/>
      <c r="B149" s="1949"/>
      <c r="C149" s="1949"/>
      <c r="D149" s="572"/>
      <c r="J149" s="7715"/>
      <c r="K149" s="7715"/>
      <c r="L149" s="7715"/>
      <c r="M149" s="7715"/>
      <c r="N149" s="7715"/>
      <c r="O149" s="7715"/>
      <c r="P149" s="7715"/>
      <c r="Q149" s="7715"/>
      <c r="R149" s="7715"/>
      <c r="S149" s="7715"/>
      <c r="T149" s="7715"/>
      <c r="U149" s="7715"/>
      <c r="V149" s="7715"/>
      <c r="W149" s="7715"/>
      <c r="X149" s="7715"/>
      <c r="Y149" s="7715"/>
      <c r="Z149" s="7715"/>
      <c r="AA149" s="7715"/>
      <c r="AB149" s="7715"/>
      <c r="AC149" s="7715"/>
      <c r="AD149" s="7715"/>
      <c r="AE149" s="7715"/>
      <c r="AF149" s="7715"/>
      <c r="AG149" s="7715"/>
      <c r="AH149" s="7715"/>
      <c r="AI149" s="7715"/>
      <c r="AJ149" s="7715"/>
      <c r="AK149" s="7715"/>
      <c r="AL149" s="1421"/>
      <c r="AM149" s="1949"/>
      <c r="AN149" s="1949"/>
      <c r="AO149" s="1421"/>
      <c r="AP149" s="1421"/>
      <c r="AQ149" s="1421"/>
      <c r="AR149" s="1421"/>
      <c r="AS149" s="1949"/>
      <c r="AT149" s="1421"/>
      <c r="AU149" s="1421"/>
      <c r="AV149" s="781"/>
      <c r="AW149" s="1421"/>
      <c r="AX149" s="1421"/>
      <c r="AY149" s="1421"/>
      <c r="AZ149" s="1421"/>
      <c r="BA149" s="1421"/>
      <c r="BB149" s="1945"/>
      <c r="BC149" s="803"/>
      <c r="BD149" s="803"/>
      <c r="BE149" s="803"/>
      <c r="BF149" s="803"/>
    </row>
    <row s="10822" customFormat="1" customHeight="1" ht="11.25">
      <c r="A150" s="1243"/>
      <c r="B150" s="1949"/>
      <c r="C150" s="1949"/>
      <c r="D150" s="572"/>
      <c r="J150" s="7715"/>
      <c r="K150" s="7715"/>
      <c r="L150" s="7715"/>
      <c r="M150" s="7715"/>
      <c r="N150" s="7715"/>
      <c r="O150" s="7715"/>
      <c r="P150" s="7715"/>
      <c r="Q150" s="7715"/>
      <c r="R150" s="7715"/>
      <c r="S150" s="7715"/>
      <c r="T150" s="7715"/>
      <c r="U150" s="7715"/>
      <c r="V150" s="7715"/>
      <c r="W150" s="7715"/>
      <c r="X150" s="7715"/>
      <c r="Y150" s="7715"/>
      <c r="Z150" s="7715"/>
      <c r="AA150" s="7715"/>
      <c r="AB150" s="7715"/>
      <c r="AC150" s="7715"/>
      <c r="AD150" s="7715"/>
      <c r="AE150" s="7715"/>
      <c r="AF150" s="7715"/>
      <c r="AG150" s="7715"/>
      <c r="AH150" s="7715"/>
      <c r="AI150" s="7715"/>
      <c r="AJ150" s="7715"/>
      <c r="AK150" s="7715"/>
      <c r="AL150" s="1421"/>
      <c r="AM150" s="1949"/>
      <c r="AN150" s="1949"/>
      <c r="AO150" s="1421"/>
      <c r="AP150" s="1421"/>
      <c r="AQ150" s="1421"/>
      <c r="AR150" s="1421"/>
      <c r="AS150" s="1949"/>
      <c r="AT150" s="1421"/>
      <c r="AU150" s="1421"/>
      <c r="AV150" s="781"/>
      <c r="AW150" s="1421"/>
      <c r="AX150" s="1421"/>
      <c r="AY150" s="1421"/>
      <c r="AZ150" s="1421"/>
      <c r="BA150" s="1421"/>
      <c r="BB150" s="1945"/>
      <c r="BC150" s="803"/>
      <c r="BD150" s="803"/>
      <c r="BE150" s="803"/>
      <c r="BF150" s="803"/>
    </row>
    <row s="10822" customFormat="1" customHeight="1" ht="11.25">
      <c r="A151" s="1243"/>
      <c r="B151" s="1949"/>
      <c r="C151" s="1949"/>
      <c r="D151" s="572"/>
      <c r="J151" s="7715"/>
      <c r="K151" s="7715"/>
      <c r="L151" s="7715"/>
      <c r="M151" s="7715"/>
      <c r="N151" s="7715"/>
      <c r="O151" s="7715"/>
      <c r="P151" s="7715"/>
      <c r="Q151" s="7715"/>
      <c r="R151" s="7715"/>
      <c r="S151" s="7715"/>
      <c r="T151" s="7715"/>
      <c r="U151" s="7715"/>
      <c r="V151" s="7715"/>
      <c r="W151" s="7715"/>
      <c r="X151" s="7715"/>
      <c r="Y151" s="7715"/>
      <c r="Z151" s="7715"/>
      <c r="AA151" s="7715"/>
      <c r="AB151" s="7715"/>
      <c r="AC151" s="7715"/>
      <c r="AD151" s="7715"/>
      <c r="AE151" s="7715"/>
      <c r="AF151" s="7715"/>
      <c r="AG151" s="7715"/>
      <c r="AH151" s="7715"/>
      <c r="AI151" s="7715"/>
      <c r="AJ151" s="7715"/>
      <c r="AK151" s="7715"/>
      <c r="AL151" s="1421"/>
      <c r="AM151" s="1949"/>
      <c r="AN151" s="1949"/>
      <c r="AO151" s="1421"/>
      <c r="AP151" s="1421"/>
      <c r="AQ151" s="1421"/>
      <c r="AR151" s="1421"/>
      <c r="AS151" s="1949"/>
      <c r="AT151" s="1421"/>
      <c r="AU151" s="1421"/>
      <c r="AV151" s="781"/>
      <c r="AW151" s="1421"/>
      <c r="AX151" s="1421"/>
      <c r="AY151" s="1421"/>
      <c r="AZ151" s="1421"/>
      <c r="BA151" s="1421"/>
      <c r="BB151" s="1945"/>
      <c r="BC151" s="803"/>
      <c r="BD151" s="803"/>
      <c r="BE151" s="803"/>
      <c r="BF151" s="803"/>
    </row>
    <row s="10822" customFormat="1" customHeight="1" ht="11.25">
      <c r="A152" s="1243"/>
      <c r="B152" s="1949"/>
      <c r="C152" s="1949"/>
      <c r="D152" s="572"/>
      <c r="J152" s="7715"/>
      <c r="K152" s="7715"/>
      <c r="L152" s="7715"/>
      <c r="M152" s="7715"/>
      <c r="N152" s="7715"/>
      <c r="O152" s="7715"/>
      <c r="P152" s="7715"/>
      <c r="Q152" s="7715"/>
      <c r="R152" s="7715"/>
      <c r="S152" s="7715"/>
      <c r="T152" s="7715"/>
      <c r="U152" s="7715"/>
      <c r="V152" s="7715"/>
      <c r="W152" s="7715"/>
      <c r="X152" s="7715"/>
      <c r="Y152" s="7715"/>
      <c r="Z152" s="7715"/>
      <c r="AA152" s="7715"/>
      <c r="AB152" s="7715"/>
      <c r="AC152" s="7715"/>
      <c r="AD152" s="7715"/>
      <c r="AE152" s="7715"/>
      <c r="AF152" s="7715"/>
      <c r="AG152" s="7715"/>
      <c r="AH152" s="7715"/>
      <c r="AI152" s="7715"/>
      <c r="AJ152" s="7715"/>
      <c r="AK152" s="7715"/>
      <c r="AL152" s="1421"/>
      <c r="AM152" s="1949"/>
      <c r="AN152" s="1949"/>
      <c r="AO152" s="1421"/>
      <c r="AP152" s="1421"/>
      <c r="AQ152" s="1421"/>
      <c r="AR152" s="1421"/>
      <c r="AS152" s="1949"/>
      <c r="AT152" s="1421"/>
      <c r="AU152" s="1421"/>
      <c r="AV152" s="781"/>
      <c r="AW152" s="1421"/>
      <c r="AX152" s="1421"/>
      <c r="AY152" s="1421"/>
      <c r="AZ152" s="1421"/>
      <c r="BA152" s="1421"/>
      <c r="BB152" s="1945"/>
      <c r="BC152" s="803"/>
      <c r="BD152" s="803"/>
      <c r="BE152" s="803"/>
      <c r="BF152" s="803"/>
    </row>
    <row s="10822" customFormat="1" customHeight="1" ht="11.25">
      <c r="A153" s="1243"/>
      <c r="B153" s="1949"/>
      <c r="C153" s="1949"/>
      <c r="D153" s="572"/>
      <c r="J153" s="7715"/>
      <c r="K153" s="7715"/>
      <c r="L153" s="7715"/>
      <c r="M153" s="7715"/>
      <c r="N153" s="7715"/>
      <c r="O153" s="7715"/>
      <c r="P153" s="7715"/>
      <c r="Q153" s="7715"/>
      <c r="R153" s="7715"/>
      <c r="S153" s="7715"/>
      <c r="T153" s="7715"/>
      <c r="U153" s="7715"/>
      <c r="V153" s="7715"/>
      <c r="W153" s="7715"/>
      <c r="X153" s="7715"/>
      <c r="Y153" s="7715"/>
      <c r="Z153" s="7715"/>
      <c r="AA153" s="7715"/>
      <c r="AB153" s="7715"/>
      <c r="AC153" s="7715"/>
      <c r="AD153" s="7715"/>
      <c r="AE153" s="7715"/>
      <c r="AF153" s="7715"/>
      <c r="AG153" s="7715"/>
      <c r="AH153" s="7715"/>
      <c r="AI153" s="7715"/>
      <c r="AJ153" s="7715"/>
      <c r="AK153" s="7715"/>
      <c r="AL153" s="1421"/>
      <c r="AM153" s="1949"/>
      <c r="AN153" s="1949"/>
      <c r="AO153" s="1421"/>
      <c r="AP153" s="1421"/>
      <c r="AQ153" s="1421"/>
      <c r="AR153" s="1421"/>
      <c r="AS153" s="1949"/>
      <c r="AT153" s="1421"/>
      <c r="AU153" s="1421"/>
      <c r="AV153" s="781"/>
      <c r="AW153" s="1421"/>
      <c r="AX153" s="1421"/>
      <c r="AY153" s="1421"/>
      <c r="AZ153" s="1421"/>
      <c r="BA153" s="1421"/>
      <c r="BB153" s="1945"/>
      <c r="BC153" s="803"/>
      <c r="BD153" s="803"/>
      <c r="BE153" s="803"/>
      <c r="BF153" s="803"/>
    </row>
    <row s="10822" customFormat="1" customHeight="1" ht="11.25">
      <c r="A154" s="1243"/>
      <c r="B154" s="1949"/>
      <c r="C154" s="1949"/>
      <c r="D154" s="572"/>
      <c r="J154" s="7715"/>
      <c r="K154" s="7715"/>
      <c r="L154" s="7715"/>
      <c r="M154" s="7715"/>
      <c r="N154" s="7715"/>
      <c r="O154" s="7715"/>
      <c r="P154" s="7715"/>
      <c r="Q154" s="7715"/>
      <c r="R154" s="7715"/>
      <c r="S154" s="7715"/>
      <c r="T154" s="7715"/>
      <c r="U154" s="7715"/>
      <c r="V154" s="7715"/>
      <c r="W154" s="7715"/>
      <c r="X154" s="7715"/>
      <c r="Y154" s="7715"/>
      <c r="Z154" s="7715"/>
      <c r="AA154" s="7715"/>
      <c r="AB154" s="7715"/>
      <c r="AC154" s="7715"/>
      <c r="AD154" s="7715"/>
      <c r="AE154" s="7715"/>
      <c r="AF154" s="7715"/>
      <c r="AG154" s="7715"/>
      <c r="AH154" s="7715"/>
      <c r="AI154" s="7715"/>
      <c r="AJ154" s="7715"/>
      <c r="AK154" s="7715"/>
      <c r="AL154" s="1421"/>
      <c r="AM154" s="1949"/>
      <c r="AN154" s="1949"/>
      <c r="AO154" s="1421"/>
      <c r="AP154" s="1421"/>
      <c r="AQ154" s="1421"/>
      <c r="AR154" s="1421"/>
      <c r="AS154" s="1949"/>
      <c r="AT154" s="1421"/>
      <c r="AU154" s="1421"/>
      <c r="AV154" s="781"/>
      <c r="AW154" s="1421"/>
      <c r="AX154" s="1421"/>
      <c r="AY154" s="1421"/>
      <c r="AZ154" s="1421"/>
      <c r="BA154" s="1421"/>
      <c r="BB154" s="1945"/>
      <c r="BC154" s="803"/>
      <c r="BD154" s="803"/>
      <c r="BE154" s="803"/>
      <c r="BF154" s="803"/>
    </row>
    <row s="10822" customFormat="1" customHeight="1" ht="11.25">
      <c r="A155" s="1243"/>
      <c r="B155" s="1949"/>
      <c r="C155" s="1949"/>
      <c r="D155" s="572"/>
      <c r="J155" s="7715"/>
      <c r="K155" s="7715"/>
      <c r="L155" s="7715"/>
      <c r="M155" s="7715"/>
      <c r="N155" s="7715"/>
      <c r="O155" s="7715"/>
      <c r="P155" s="7715"/>
      <c r="Q155" s="7715"/>
      <c r="R155" s="7715"/>
      <c r="S155" s="7715"/>
      <c r="T155" s="7715"/>
      <c r="U155" s="7715"/>
      <c r="V155" s="7715"/>
      <c r="W155" s="7715"/>
      <c r="X155" s="7715"/>
      <c r="Y155" s="7715"/>
      <c r="Z155" s="7715"/>
      <c r="AA155" s="7715"/>
      <c r="AB155" s="7715"/>
      <c r="AC155" s="7715"/>
      <c r="AD155" s="7715"/>
      <c r="AE155" s="7715"/>
      <c r="AF155" s="7715"/>
      <c r="AG155" s="7715"/>
      <c r="AH155" s="7715"/>
      <c r="AI155" s="7715"/>
      <c r="AJ155" s="7715"/>
      <c r="AK155" s="7715"/>
      <c r="AL155" s="1421"/>
      <c r="AM155" s="1949"/>
      <c r="AN155" s="1949"/>
      <c r="AO155" s="1421"/>
      <c r="AP155" s="1421"/>
      <c r="AQ155" s="1421"/>
      <c r="AR155" s="1421"/>
      <c r="AS155" s="1949"/>
      <c r="AT155" s="1421"/>
      <c r="AU155" s="1421"/>
      <c r="AV155" s="781"/>
      <c r="AW155" s="1421"/>
      <c r="AX155" s="1421"/>
      <c r="AY155" s="1421"/>
      <c r="AZ155" s="1421"/>
      <c r="BA155" s="1421"/>
      <c r="BB155" s="1945"/>
      <c r="BC155" s="803"/>
      <c r="BD155" s="803"/>
      <c r="BE155" s="803"/>
      <c r="BF155" s="803"/>
    </row>
    <row s="10822" customFormat="1" customHeight="1" ht="11.25">
      <c r="A156" s="1243"/>
      <c r="B156" s="1949"/>
      <c r="C156" s="1949"/>
      <c r="D156" s="572"/>
      <c r="J156" s="7715"/>
      <c r="K156" s="7715"/>
      <c r="L156" s="7715"/>
      <c r="M156" s="7715"/>
      <c r="N156" s="7715"/>
      <c r="O156" s="7715"/>
      <c r="P156" s="7715"/>
      <c r="Q156" s="7715"/>
      <c r="R156" s="7715"/>
      <c r="S156" s="7715"/>
      <c r="T156" s="7715"/>
      <c r="U156" s="7715"/>
      <c r="V156" s="7715"/>
      <c r="W156" s="7715"/>
      <c r="X156" s="7715"/>
      <c r="Y156" s="7715"/>
      <c r="Z156" s="7715"/>
      <c r="AA156" s="7715"/>
      <c r="AB156" s="7715"/>
      <c r="AC156" s="7715"/>
      <c r="AD156" s="7715"/>
      <c r="AE156" s="7715"/>
      <c r="AF156" s="7715"/>
      <c r="AG156" s="7715"/>
      <c r="AH156" s="7715"/>
      <c r="AI156" s="7715"/>
      <c r="AJ156" s="7715"/>
      <c r="AK156" s="7715"/>
      <c r="AL156" s="1421"/>
      <c r="AM156" s="1949"/>
      <c r="AN156" s="1949"/>
      <c r="AO156" s="1421"/>
      <c r="AP156" s="1421"/>
      <c r="AQ156" s="1421"/>
      <c r="AR156" s="1421"/>
      <c r="AS156" s="1949"/>
      <c r="AT156" s="1421"/>
      <c r="AU156" s="1421"/>
      <c r="AV156" s="781"/>
      <c r="AW156" s="1421"/>
      <c r="AX156" s="1421"/>
      <c r="AY156" s="1421"/>
      <c r="AZ156" s="1421"/>
      <c r="BA156" s="1421"/>
      <c r="BB156" s="1945"/>
      <c r="BC156" s="803"/>
      <c r="BD156" s="803"/>
      <c r="BE156" s="803"/>
      <c r="BF156" s="803"/>
    </row>
    <row s="10822" customFormat="1" customHeight="1" ht="11.25">
      <c r="A157" s="1243"/>
      <c r="B157" s="1949"/>
      <c r="C157" s="1949"/>
      <c r="D157" s="572"/>
      <c r="J157" s="7715"/>
      <c r="K157" s="7715"/>
      <c r="L157" s="7715"/>
      <c r="M157" s="7715"/>
      <c r="N157" s="7715"/>
      <c r="O157" s="7715"/>
      <c r="P157" s="7715"/>
      <c r="Q157" s="7715"/>
      <c r="R157" s="7715"/>
      <c r="S157" s="7715"/>
      <c r="T157" s="7715"/>
      <c r="U157" s="7715"/>
      <c r="V157" s="7715"/>
      <c r="W157" s="7715"/>
      <c r="X157" s="7715"/>
      <c r="Y157" s="7715"/>
      <c r="Z157" s="7715"/>
      <c r="AA157" s="7715"/>
      <c r="AB157" s="7715"/>
      <c r="AC157" s="7715"/>
      <c r="AD157" s="7715"/>
      <c r="AE157" s="7715"/>
      <c r="AF157" s="7715"/>
      <c r="AG157" s="7715"/>
      <c r="AH157" s="7715"/>
      <c r="AI157" s="7715"/>
      <c r="AJ157" s="7715"/>
      <c r="AK157" s="7715"/>
      <c r="AL157" s="1421"/>
      <c r="AM157" s="1949"/>
      <c r="AN157" s="1949"/>
      <c r="AO157" s="1421"/>
      <c r="AP157" s="1421"/>
      <c r="AQ157" s="1421"/>
      <c r="AR157" s="1421"/>
      <c r="AS157" s="1949"/>
      <c r="AT157" s="1421"/>
      <c r="AU157" s="1421"/>
      <c r="AV157" s="781"/>
      <c r="AW157" s="1421"/>
      <c r="AX157" s="1421"/>
      <c r="AY157" s="1421"/>
      <c r="AZ157" s="1421"/>
      <c r="BA157" s="1421"/>
      <c r="BB157" s="1945"/>
      <c r="BC157" s="803"/>
      <c r="BD157" s="803"/>
      <c r="BE157" s="803"/>
      <c r="BF157" s="803"/>
    </row>
    <row s="10822" customFormat="1" customHeight="1" ht="11.25">
      <c r="A158" s="1243"/>
      <c r="B158" s="1949"/>
      <c r="C158" s="1949"/>
      <c r="D158" s="572"/>
      <c r="J158" s="7715"/>
      <c r="K158" s="7715"/>
      <c r="L158" s="7715"/>
      <c r="M158" s="7715"/>
      <c r="N158" s="7715"/>
      <c r="O158" s="7715"/>
      <c r="P158" s="7715"/>
      <c r="Q158" s="7715"/>
      <c r="R158" s="7715"/>
      <c r="S158" s="7715"/>
      <c r="T158" s="7715"/>
      <c r="U158" s="7715"/>
      <c r="V158" s="7715"/>
      <c r="W158" s="7715"/>
      <c r="X158" s="7715"/>
      <c r="Y158" s="7715"/>
      <c r="Z158" s="7715"/>
      <c r="AA158" s="7715"/>
      <c r="AB158" s="7715"/>
      <c r="AC158" s="7715"/>
      <c r="AD158" s="7715"/>
      <c r="AE158" s="7715"/>
      <c r="AF158" s="7715"/>
      <c r="AG158" s="7715"/>
      <c r="AH158" s="7715"/>
      <c r="AI158" s="7715"/>
      <c r="AJ158" s="7715"/>
      <c r="AK158" s="7715"/>
      <c r="AL158" s="1421"/>
      <c r="AM158" s="1949"/>
      <c r="AN158" s="1949"/>
      <c r="AO158" s="1421"/>
      <c r="AP158" s="1421"/>
      <c r="AQ158" s="1421"/>
      <c r="AR158" s="1421"/>
      <c r="AS158" s="1949"/>
      <c r="AT158" s="1421"/>
      <c r="AU158" s="1421"/>
      <c r="AV158" s="781"/>
      <c r="AW158" s="1421"/>
      <c r="AX158" s="1421"/>
      <c r="AY158" s="1421"/>
      <c r="AZ158" s="1421"/>
      <c r="BA158" s="1421"/>
      <c r="BB158" s="1945"/>
      <c r="BC158" s="803"/>
      <c r="BD158" s="803"/>
      <c r="BE158" s="803"/>
      <c r="BF158" s="803"/>
    </row>
    <row s="10822" customFormat="1" customHeight="1" ht="11.25">
      <c r="A159" s="1243"/>
      <c r="B159" s="1949"/>
      <c r="C159" s="1949"/>
      <c r="D159" s="572"/>
      <c r="J159" s="7715"/>
      <c r="K159" s="7715"/>
      <c r="L159" s="7715"/>
      <c r="M159" s="7715"/>
      <c r="N159" s="7715"/>
      <c r="O159" s="7715"/>
      <c r="P159" s="7715"/>
      <c r="Q159" s="7715"/>
      <c r="R159" s="7715"/>
      <c r="S159" s="7715"/>
      <c r="T159" s="7715"/>
      <c r="U159" s="7715"/>
      <c r="V159" s="7715"/>
      <c r="W159" s="7715"/>
      <c r="X159" s="7715"/>
      <c r="Y159" s="7715"/>
      <c r="Z159" s="7715"/>
      <c r="AA159" s="7715"/>
      <c r="AB159" s="7715"/>
      <c r="AC159" s="7715"/>
      <c r="AD159" s="7715"/>
      <c r="AE159" s="7715"/>
      <c r="AF159" s="7715"/>
      <c r="AG159" s="7715"/>
      <c r="AH159" s="7715"/>
      <c r="AI159" s="7715"/>
      <c r="AJ159" s="7715"/>
      <c r="AK159" s="7715"/>
      <c r="AL159" s="1421"/>
      <c r="AM159" s="1949"/>
      <c r="AN159" s="1949"/>
      <c r="AO159" s="1421"/>
      <c r="AP159" s="1421"/>
      <c r="AQ159" s="1421"/>
      <c r="AR159" s="1421"/>
      <c r="AS159" s="1949"/>
      <c r="AT159" s="1421"/>
      <c r="AU159" s="1421"/>
      <c r="AV159" s="781"/>
      <c r="AW159" s="1421"/>
      <c r="AX159" s="1421"/>
      <c r="AY159" s="1421"/>
      <c r="AZ159" s="1421"/>
      <c r="BA159" s="1421"/>
      <c r="BB159" s="1945"/>
      <c r="BC159" s="803"/>
      <c r="BD159" s="803"/>
      <c r="BE159" s="803"/>
      <c r="BF159" s="803"/>
    </row>
    <row s="10822" customFormat="1" customHeight="1" ht="11.25">
      <c r="A160" s="1243"/>
      <c r="B160" s="1949"/>
      <c r="C160" s="1949"/>
      <c r="D160" s="572"/>
      <c r="J160" s="7715"/>
      <c r="K160" s="7715"/>
      <c r="L160" s="7715"/>
      <c r="M160" s="7715"/>
      <c r="N160" s="7715"/>
      <c r="O160" s="7715"/>
      <c r="P160" s="7715"/>
      <c r="Q160" s="7715"/>
      <c r="R160" s="7715"/>
      <c r="S160" s="7715"/>
      <c r="T160" s="7715"/>
      <c r="U160" s="7715"/>
      <c r="V160" s="7715"/>
      <c r="W160" s="7715"/>
      <c r="X160" s="7715"/>
      <c r="Y160" s="7715"/>
      <c r="Z160" s="7715"/>
      <c r="AA160" s="7715"/>
      <c r="AB160" s="7715"/>
      <c r="AC160" s="7715"/>
      <c r="AD160" s="7715"/>
      <c r="AE160" s="7715"/>
      <c r="AF160" s="7715"/>
      <c r="AG160" s="7715"/>
      <c r="AH160" s="7715"/>
      <c r="AI160" s="7715"/>
      <c r="AJ160" s="7715"/>
      <c r="AK160" s="7715"/>
      <c r="AL160" s="1421"/>
      <c r="AM160" s="1949"/>
      <c r="AN160" s="1949"/>
      <c r="AO160" s="1421"/>
      <c r="AP160" s="1421"/>
      <c r="AQ160" s="1421"/>
      <c r="AR160" s="1421"/>
      <c r="AS160" s="1949"/>
      <c r="AT160" s="1421"/>
      <c r="AU160" s="1421"/>
      <c r="AV160" s="781"/>
      <c r="AW160" s="1421"/>
      <c r="AX160" s="1421"/>
      <c r="AY160" s="1421"/>
      <c r="AZ160" s="1421"/>
      <c r="BA160" s="1421"/>
      <c r="BB160" s="1945"/>
      <c r="BC160" s="803"/>
      <c r="BD160" s="803"/>
      <c r="BE160" s="803"/>
      <c r="BF160" s="803"/>
    </row>
    <row s="10822" customFormat="1" customHeight="1" ht="11.25">
      <c r="A161" s="1243"/>
      <c r="B161" s="1949"/>
      <c r="C161" s="1949"/>
      <c r="D161" s="572"/>
      <c r="J161" s="7715"/>
      <c r="K161" s="7715"/>
      <c r="L161" s="7715"/>
      <c r="M161" s="7715"/>
      <c r="N161" s="7715"/>
      <c r="O161" s="7715"/>
      <c r="P161" s="7715"/>
      <c r="Q161" s="7715"/>
      <c r="R161" s="7715"/>
      <c r="S161" s="7715"/>
      <c r="T161" s="7715"/>
      <c r="U161" s="7715"/>
      <c r="V161" s="7715"/>
      <c r="W161" s="7715"/>
      <c r="X161" s="7715"/>
      <c r="Y161" s="7715"/>
      <c r="Z161" s="7715"/>
      <c r="AA161" s="7715"/>
      <c r="AB161" s="7715"/>
      <c r="AC161" s="7715"/>
      <c r="AD161" s="7715"/>
      <c r="AE161" s="7715"/>
      <c r="AF161" s="7715"/>
      <c r="AG161" s="7715"/>
      <c r="AH161" s="7715"/>
      <c r="AI161" s="7715"/>
      <c r="AJ161" s="7715"/>
      <c r="AK161" s="7715"/>
      <c r="AL161" s="1421"/>
      <c r="AM161" s="1949"/>
      <c r="AN161" s="1949"/>
      <c r="AO161" s="1421"/>
      <c r="AP161" s="1421"/>
      <c r="AQ161" s="1421"/>
      <c r="AR161" s="1421"/>
      <c r="AS161" s="1949"/>
      <c r="AT161" s="1421"/>
      <c r="AU161" s="1421"/>
      <c r="AV161" s="781"/>
      <c r="AW161" s="1421"/>
      <c r="AX161" s="1421"/>
      <c r="AY161" s="1421"/>
      <c r="AZ161" s="1421"/>
      <c r="BA161" s="1421"/>
      <c r="BB161" s="1945"/>
      <c r="BC161" s="803"/>
      <c r="BD161" s="803"/>
      <c r="BE161" s="803"/>
      <c r="BF161" s="803"/>
    </row>
    <row s="10822" customFormat="1" customHeight="1" ht="11.25">
      <c r="A162" s="1243"/>
      <c r="B162" s="1949"/>
      <c r="C162" s="1949"/>
      <c r="D162" s="572"/>
      <c r="J162" s="7715"/>
      <c r="K162" s="7715"/>
      <c r="L162" s="7715"/>
      <c r="M162" s="7715"/>
      <c r="N162" s="7715"/>
      <c r="O162" s="7715"/>
      <c r="P162" s="7715"/>
      <c r="Q162" s="7715"/>
      <c r="R162" s="7715"/>
      <c r="S162" s="7715"/>
      <c r="T162" s="7715"/>
      <c r="U162" s="7715"/>
      <c r="V162" s="7715"/>
      <c r="W162" s="7715"/>
      <c r="X162" s="7715"/>
      <c r="Y162" s="7715"/>
      <c r="Z162" s="7715"/>
      <c r="AA162" s="7715"/>
      <c r="AB162" s="7715"/>
      <c r="AC162" s="7715"/>
      <c r="AD162" s="7715"/>
      <c r="AE162" s="7715"/>
      <c r="AF162" s="7715"/>
      <c r="AG162" s="7715"/>
      <c r="AH162" s="7715"/>
      <c r="AI162" s="7715"/>
      <c r="AJ162" s="7715"/>
      <c r="AK162" s="7715"/>
      <c r="AL162" s="1421"/>
      <c r="AM162" s="1949"/>
      <c r="AN162" s="1949"/>
      <c r="AO162" s="1421"/>
      <c r="AP162" s="1421"/>
      <c r="AQ162" s="1421"/>
      <c r="AR162" s="1421"/>
      <c r="AS162" s="1949"/>
      <c r="AT162" s="1421"/>
      <c r="AU162" s="1421"/>
      <c r="AV162" s="781"/>
      <c r="AW162" s="1421"/>
      <c r="AX162" s="1421"/>
      <c r="AY162" s="1421"/>
      <c r="AZ162" s="1421"/>
      <c r="BA162" s="1421"/>
      <c r="BB162" s="1945"/>
      <c r="BC162" s="803"/>
      <c r="BD162" s="803"/>
      <c r="BE162" s="803"/>
      <c r="BF162" s="803"/>
    </row>
    <row s="10822" customFormat="1" customHeight="1" ht="11.25">
      <c r="A163" s="1243"/>
      <c r="B163" s="1949"/>
      <c r="C163" s="1949"/>
      <c r="D163" s="572"/>
      <c r="J163" s="7715"/>
      <c r="K163" s="7715"/>
      <c r="L163" s="7715"/>
      <c r="M163" s="7715"/>
      <c r="N163" s="7715"/>
      <c r="O163" s="7715"/>
      <c r="P163" s="7715"/>
      <c r="Q163" s="7715"/>
      <c r="R163" s="7715"/>
      <c r="S163" s="7715"/>
      <c r="T163" s="7715"/>
      <c r="U163" s="7715"/>
      <c r="V163" s="7715"/>
      <c r="W163" s="7715"/>
      <c r="X163" s="7715"/>
      <c r="Y163" s="7715"/>
      <c r="Z163" s="7715"/>
      <c r="AA163" s="7715"/>
      <c r="AB163" s="7715"/>
      <c r="AC163" s="7715"/>
      <c r="AD163" s="7715"/>
      <c r="AE163" s="7715"/>
      <c r="AF163" s="7715"/>
      <c r="AG163" s="7715"/>
      <c r="AH163" s="7715"/>
      <c r="AI163" s="7715"/>
      <c r="AJ163" s="7715"/>
      <c r="AK163" s="7715"/>
      <c r="AL163" s="1421"/>
      <c r="AM163" s="1949"/>
      <c r="AN163" s="1949"/>
      <c r="AO163" s="1421"/>
      <c r="AP163" s="1421"/>
      <c r="AQ163" s="1421"/>
      <c r="AR163" s="1421"/>
      <c r="AS163" s="1949"/>
      <c r="AT163" s="1421"/>
      <c r="AU163" s="1421"/>
      <c r="AV163" s="781"/>
      <c r="AW163" s="1421"/>
      <c r="AX163" s="1421"/>
      <c r="AY163" s="1421"/>
      <c r="AZ163" s="1421"/>
      <c r="BA163" s="1421"/>
      <c r="BB163" s="1945"/>
      <c r="BC163" s="803"/>
      <c r="BD163" s="803"/>
      <c r="BE163" s="803"/>
      <c r="BF163" s="803"/>
    </row>
    <row s="10822" customFormat="1" customHeight="1" ht="11.25">
      <c r="A164" s="1243"/>
      <c r="B164" s="1949"/>
      <c r="C164" s="1949"/>
      <c r="D164" s="572"/>
      <c r="J164" s="7715"/>
      <c r="K164" s="7715"/>
      <c r="L164" s="7715"/>
      <c r="M164" s="7715"/>
      <c r="N164" s="7715"/>
      <c r="O164" s="7715"/>
      <c r="P164" s="7715"/>
      <c r="Q164" s="7715"/>
      <c r="R164" s="7715"/>
      <c r="S164" s="7715"/>
      <c r="T164" s="7715"/>
      <c r="U164" s="7715"/>
      <c r="V164" s="7715"/>
      <c r="W164" s="7715"/>
      <c r="X164" s="7715"/>
      <c r="Y164" s="7715"/>
      <c r="Z164" s="7715"/>
      <c r="AA164" s="7715"/>
      <c r="AB164" s="7715"/>
      <c r="AC164" s="7715"/>
      <c r="AD164" s="7715"/>
      <c r="AE164" s="7715"/>
      <c r="AF164" s="7715"/>
      <c r="AG164" s="7715"/>
      <c r="AH164" s="7715"/>
      <c r="AI164" s="7715"/>
      <c r="AJ164" s="7715"/>
      <c r="AK164" s="7715"/>
      <c r="AL164" s="1421"/>
      <c r="AM164" s="1949"/>
      <c r="AN164" s="1949"/>
      <c r="AO164" s="1421"/>
      <c r="AP164" s="1421"/>
      <c r="AQ164" s="1421"/>
      <c r="AR164" s="1421"/>
      <c r="AS164" s="1949"/>
      <c r="AT164" s="1421"/>
      <c r="AU164" s="1421"/>
      <c r="AV164" s="781"/>
      <c r="AW164" s="1421"/>
      <c r="AX164" s="1421"/>
      <c r="AY164" s="1421"/>
      <c r="AZ164" s="1421"/>
      <c r="BA164" s="1421"/>
      <c r="BB164" s="1945"/>
      <c r="BC164" s="803"/>
      <c r="BD164" s="803"/>
      <c r="BE164" s="803"/>
      <c r="BF164" s="803"/>
    </row>
    <row s="10822" customFormat="1" customHeight="1" ht="11.25">
      <c r="A165" s="1243"/>
      <c r="B165" s="1949"/>
      <c r="C165" s="1949"/>
      <c r="D165" s="572"/>
      <c r="J165" s="7715"/>
      <c r="K165" s="7715"/>
      <c r="L165" s="7715"/>
      <c r="M165" s="7715"/>
      <c r="N165" s="7715"/>
      <c r="O165" s="7715"/>
      <c r="P165" s="7715"/>
      <c r="Q165" s="7715"/>
      <c r="R165" s="7715"/>
      <c r="S165" s="7715"/>
      <c r="T165" s="7715"/>
      <c r="U165" s="7715"/>
      <c r="V165" s="7715"/>
      <c r="W165" s="7715"/>
      <c r="X165" s="7715"/>
      <c r="Y165" s="7715"/>
      <c r="Z165" s="7715"/>
      <c r="AA165" s="7715"/>
      <c r="AB165" s="7715"/>
      <c r="AC165" s="7715"/>
      <c r="AD165" s="7715"/>
      <c r="AE165" s="7715"/>
      <c r="AF165" s="7715"/>
      <c r="AG165" s="7715"/>
      <c r="AH165" s="7715"/>
      <c r="AI165" s="7715"/>
      <c r="AJ165" s="7715"/>
      <c r="AK165" s="7715"/>
      <c r="AL165" s="1421"/>
      <c r="AM165" s="1949"/>
      <c r="AN165" s="1949"/>
      <c r="AO165" s="1421"/>
      <c r="AP165" s="1421"/>
      <c r="AQ165" s="1421"/>
      <c r="AR165" s="1421"/>
      <c r="AS165" s="1949"/>
      <c r="AT165" s="1421"/>
      <c r="AU165" s="1421"/>
      <c r="AV165" s="781"/>
      <c r="AW165" s="1421"/>
      <c r="AX165" s="1421"/>
      <c r="AY165" s="1421"/>
      <c r="AZ165" s="1421"/>
      <c r="BA165" s="1421"/>
      <c r="BB165" s="1945"/>
      <c r="BC165" s="803"/>
      <c r="BD165" s="803"/>
      <c r="BE165" s="803"/>
      <c r="BF165" s="803"/>
    </row>
    <row s="10822" customFormat="1" customHeight="1" ht="11.25">
      <c r="A166" s="1243"/>
      <c r="B166" s="1949"/>
      <c r="C166" s="1949"/>
      <c r="D166" s="572"/>
      <c r="J166" s="7715"/>
      <c r="K166" s="7715"/>
      <c r="L166" s="7715"/>
      <c r="M166" s="7715"/>
      <c r="N166" s="7715"/>
      <c r="O166" s="7715"/>
      <c r="P166" s="7715"/>
      <c r="Q166" s="7715"/>
      <c r="R166" s="7715"/>
      <c r="S166" s="7715"/>
      <c r="T166" s="7715"/>
      <c r="U166" s="7715"/>
      <c r="V166" s="7715"/>
      <c r="W166" s="7715"/>
      <c r="X166" s="7715"/>
      <c r="Y166" s="7715"/>
      <c r="Z166" s="7715"/>
      <c r="AA166" s="7715"/>
      <c r="AB166" s="7715"/>
      <c r="AC166" s="7715"/>
      <c r="AD166" s="7715"/>
      <c r="AE166" s="7715"/>
      <c r="AF166" s="7715"/>
      <c r="AG166" s="7715"/>
      <c r="AH166" s="7715"/>
      <c r="AI166" s="7715"/>
      <c r="AJ166" s="7715"/>
      <c r="AK166" s="7715"/>
      <c r="AL166" s="1421"/>
      <c r="AM166" s="1949"/>
      <c r="AN166" s="1949"/>
      <c r="AO166" s="1421"/>
      <c r="AP166" s="1421"/>
      <c r="AQ166" s="1421"/>
      <c r="AR166" s="1421"/>
      <c r="AS166" s="1949"/>
      <c r="AT166" s="1421"/>
      <c r="AU166" s="1421"/>
      <c r="AV166" s="781"/>
      <c r="AW166" s="1421"/>
      <c r="AX166" s="1421"/>
      <c r="AY166" s="1421"/>
      <c r="AZ166" s="1421"/>
      <c r="BA166" s="1421"/>
      <c r="BB166" s="1945"/>
      <c r="BC166" s="803"/>
      <c r="BD166" s="803"/>
      <c r="BE166" s="803"/>
      <c r="BF166" s="803"/>
    </row>
    <row s="10822" customFormat="1" customHeight="1" ht="11.25">
      <c r="A167" s="1243"/>
      <c r="B167" s="1949"/>
      <c r="C167" s="1949"/>
      <c r="D167" s="572"/>
      <c r="J167" s="7715"/>
      <c r="K167" s="7715"/>
      <c r="L167" s="7715"/>
      <c r="M167" s="7715"/>
      <c r="N167" s="7715"/>
      <c r="O167" s="7715"/>
      <c r="P167" s="7715"/>
      <c r="Q167" s="7715"/>
      <c r="R167" s="7715"/>
      <c r="S167" s="7715"/>
      <c r="T167" s="7715"/>
      <c r="U167" s="7715"/>
      <c r="V167" s="7715"/>
      <c r="W167" s="7715"/>
      <c r="X167" s="7715"/>
      <c r="Y167" s="7715"/>
      <c r="Z167" s="7715"/>
      <c r="AA167" s="7715"/>
      <c r="AB167" s="7715"/>
      <c r="AC167" s="7715"/>
      <c r="AD167" s="7715"/>
      <c r="AE167" s="7715"/>
      <c r="AF167" s="7715"/>
      <c r="AG167" s="7715"/>
      <c r="AH167" s="7715"/>
      <c r="AI167" s="7715"/>
      <c r="AJ167" s="7715"/>
      <c r="AK167" s="7715"/>
      <c r="AL167" s="1421"/>
      <c r="AM167" s="1949"/>
      <c r="AN167" s="1949"/>
      <c r="AO167" s="1421"/>
      <c r="AP167" s="1421"/>
      <c r="AQ167" s="1421"/>
      <c r="AR167" s="1421"/>
      <c r="AS167" s="1949"/>
      <c r="AT167" s="1421"/>
      <c r="AU167" s="1421"/>
      <c r="AV167" s="781"/>
      <c r="AW167" s="1421"/>
      <c r="AX167" s="1421"/>
      <c r="AY167" s="1421"/>
      <c r="AZ167" s="1421"/>
      <c r="BA167" s="1421"/>
      <c r="BB167" s="1945"/>
      <c r="BC167" s="803"/>
      <c r="BD167" s="803"/>
      <c r="BE167" s="803"/>
      <c r="BF167" s="803"/>
    </row>
    <row s="10822" customFormat="1" customHeight="1" ht="11.25">
      <c r="A168" s="1243"/>
      <c r="B168" s="1949"/>
      <c r="C168" s="1949"/>
      <c r="D168" s="572"/>
      <c r="J168" s="7715"/>
      <c r="K168" s="7715"/>
      <c r="L168" s="7715"/>
      <c r="M168" s="7715"/>
      <c r="N168" s="7715"/>
      <c r="O168" s="7715"/>
      <c r="P168" s="7715"/>
      <c r="Q168" s="7715"/>
      <c r="R168" s="7715"/>
      <c r="S168" s="7715"/>
      <c r="T168" s="7715"/>
      <c r="U168" s="7715"/>
      <c r="V168" s="7715"/>
      <c r="W168" s="7715"/>
      <c r="X168" s="7715"/>
      <c r="Y168" s="7715"/>
      <c r="Z168" s="7715"/>
      <c r="AA168" s="7715"/>
      <c r="AB168" s="7715"/>
      <c r="AC168" s="7715"/>
      <c r="AD168" s="7715"/>
      <c r="AE168" s="7715"/>
      <c r="AF168" s="7715"/>
      <c r="AG168" s="7715"/>
      <c r="AH168" s="7715"/>
      <c r="AI168" s="7715"/>
      <c r="AJ168" s="7715"/>
      <c r="AK168" s="7715"/>
      <c r="AL168" s="1421"/>
      <c r="AM168" s="1949"/>
      <c r="AN168" s="1949"/>
      <c r="AO168" s="1421"/>
      <c r="AP168" s="1421"/>
      <c r="AQ168" s="1421"/>
      <c r="AR168" s="1421"/>
      <c r="AS168" s="1949"/>
      <c r="AT168" s="1421"/>
      <c r="AU168" s="1421"/>
      <c r="AV168" s="781"/>
      <c r="AW168" s="1421"/>
      <c r="AX168" s="1421"/>
      <c r="AY168" s="1421"/>
      <c r="AZ168" s="1421"/>
      <c r="BA168" s="1421"/>
      <c r="BB168" s="1945"/>
      <c r="BC168" s="803"/>
      <c r="BD168" s="803"/>
      <c r="BE168" s="803"/>
      <c r="BF168" s="803"/>
    </row>
    <row s="10822" customFormat="1" customHeight="1" ht="11.25">
      <c r="A169" s="1243"/>
      <c r="B169" s="1949"/>
      <c r="C169" s="1949"/>
      <c r="D169" s="572"/>
      <c r="J169" s="7715"/>
      <c r="K169" s="7715"/>
      <c r="L169" s="7715"/>
      <c r="M169" s="7715"/>
      <c r="N169" s="7715"/>
      <c r="O169" s="7715"/>
      <c r="P169" s="7715"/>
      <c r="Q169" s="7715"/>
      <c r="R169" s="7715"/>
      <c r="S169" s="7715"/>
      <c r="T169" s="7715"/>
      <c r="U169" s="7715"/>
      <c r="V169" s="7715"/>
      <c r="W169" s="7715"/>
      <c r="X169" s="7715"/>
      <c r="Y169" s="7715"/>
      <c r="Z169" s="7715"/>
      <c r="AA169" s="7715"/>
      <c r="AB169" s="7715"/>
      <c r="AC169" s="7715"/>
      <c r="AD169" s="7715"/>
      <c r="AE169" s="7715"/>
      <c r="AF169" s="7715"/>
      <c r="AG169" s="7715"/>
      <c r="AH169" s="7715"/>
      <c r="AI169" s="7715"/>
      <c r="AJ169" s="7715"/>
      <c r="AK169" s="7715"/>
      <c r="AL169" s="1421"/>
      <c r="AM169" s="1949"/>
      <c r="AN169" s="1949"/>
      <c r="AO169" s="1421"/>
      <c r="AP169" s="1421"/>
      <c r="AQ169" s="1421"/>
      <c r="AR169" s="1421"/>
      <c r="AS169" s="1949"/>
      <c r="AT169" s="1421"/>
      <c r="AU169" s="1421"/>
      <c r="AV169" s="781"/>
      <c r="AW169" s="1421"/>
      <c r="AX169" s="1421"/>
      <c r="AY169" s="1421"/>
      <c r="AZ169" s="1421"/>
      <c r="BA169" s="1421"/>
      <c r="BB169" s="1945"/>
      <c r="BC169" s="803"/>
      <c r="BD169" s="803"/>
      <c r="BE169" s="803"/>
      <c r="BF169" s="803"/>
    </row>
    <row s="10822" customFormat="1" customHeight="1" ht="11.25">
      <c r="A170" s="1243"/>
      <c r="B170" s="1949"/>
      <c r="C170" s="1949"/>
      <c r="D170" s="572"/>
      <c r="J170" s="7715"/>
      <c r="K170" s="7715"/>
      <c r="L170" s="7715"/>
      <c r="M170" s="7715"/>
      <c r="N170" s="7715"/>
      <c r="O170" s="7715"/>
      <c r="P170" s="7715"/>
      <c r="Q170" s="7715"/>
      <c r="R170" s="7715"/>
      <c r="S170" s="7715"/>
      <c r="T170" s="7715"/>
      <c r="U170" s="7715"/>
      <c r="V170" s="7715"/>
      <c r="W170" s="7715"/>
      <c r="X170" s="7715"/>
      <c r="Y170" s="7715"/>
      <c r="Z170" s="7715"/>
      <c r="AA170" s="7715"/>
      <c r="AB170" s="7715"/>
      <c r="AC170" s="7715"/>
      <c r="AD170" s="7715"/>
      <c r="AE170" s="7715"/>
      <c r="AF170" s="7715"/>
      <c r="AG170" s="7715"/>
      <c r="AH170" s="7715"/>
      <c r="AI170" s="7715"/>
      <c r="AJ170" s="7715"/>
      <c r="AK170" s="7715"/>
      <c r="AL170" s="1421"/>
      <c r="AM170" s="1949"/>
      <c r="AN170" s="1949"/>
      <c r="AO170" s="1421"/>
      <c r="AP170" s="1421"/>
      <c r="AQ170" s="1421"/>
      <c r="AR170" s="1421"/>
      <c r="AS170" s="1949"/>
      <c r="AT170" s="1421"/>
      <c r="AU170" s="1421"/>
      <c r="AV170" s="781"/>
      <c r="AW170" s="1421"/>
      <c r="AX170" s="1421"/>
      <c r="AY170" s="1421"/>
      <c r="AZ170" s="1421"/>
      <c r="BA170" s="1421"/>
      <c r="BB170" s="1945"/>
      <c r="BC170" s="803"/>
      <c r="BD170" s="803"/>
      <c r="BE170" s="803"/>
      <c r="BF170" s="803"/>
    </row>
    <row s="10822" customFormat="1" customHeight="1" ht="11.25">
      <c r="A171" s="1243"/>
      <c r="B171" s="1949"/>
      <c r="C171" s="1949"/>
      <c r="D171" s="572"/>
      <c r="J171" s="7715"/>
      <c r="K171" s="7715"/>
      <c r="L171" s="7715"/>
      <c r="M171" s="7715"/>
      <c r="N171" s="7715"/>
      <c r="O171" s="7715"/>
      <c r="P171" s="7715"/>
      <c r="Q171" s="7715"/>
      <c r="R171" s="7715"/>
      <c r="S171" s="7715"/>
      <c r="T171" s="7715"/>
      <c r="U171" s="7715"/>
      <c r="V171" s="7715"/>
      <c r="W171" s="7715"/>
      <c r="X171" s="7715"/>
      <c r="Y171" s="7715"/>
      <c r="Z171" s="7715"/>
      <c r="AA171" s="7715"/>
      <c r="AB171" s="7715"/>
      <c r="AC171" s="7715"/>
      <c r="AD171" s="7715"/>
      <c r="AE171" s="7715"/>
      <c r="AF171" s="7715"/>
      <c r="AG171" s="7715"/>
      <c r="AH171" s="7715"/>
      <c r="AI171" s="7715"/>
      <c r="AJ171" s="7715"/>
      <c r="AK171" s="7715"/>
      <c r="AL171" s="1421"/>
      <c r="AM171" s="1949"/>
      <c r="AN171" s="1949"/>
      <c r="AO171" s="1421"/>
      <c r="AP171" s="1421"/>
      <c r="AQ171" s="1421"/>
      <c r="AR171" s="1421"/>
      <c r="AS171" s="1949"/>
      <c r="AT171" s="1421"/>
      <c r="AU171" s="1421"/>
      <c r="AV171" s="781"/>
      <c r="AW171" s="1421"/>
      <c r="AX171" s="1421"/>
      <c r="AY171" s="1421"/>
      <c r="AZ171" s="1421"/>
      <c r="BA171" s="1421"/>
      <c r="BB171" s="1945"/>
      <c r="BC171" s="803"/>
      <c r="BD171" s="803"/>
      <c r="BE171" s="803"/>
      <c r="BF171" s="803"/>
    </row>
    <row s="10822" customFormat="1" customHeight="1" ht="11.25">
      <c r="A172" s="1243"/>
      <c r="B172" s="1949"/>
      <c r="C172" s="1949"/>
      <c r="D172" s="572"/>
      <c r="J172" s="7715"/>
      <c r="K172" s="7715"/>
      <c r="L172" s="7715"/>
      <c r="M172" s="7715"/>
      <c r="N172" s="7715"/>
      <c r="O172" s="7715"/>
      <c r="P172" s="7715"/>
      <c r="Q172" s="7715"/>
      <c r="R172" s="7715"/>
      <c r="S172" s="7715"/>
      <c r="T172" s="7715"/>
      <c r="U172" s="7715"/>
      <c r="V172" s="7715"/>
      <c r="W172" s="7715"/>
      <c r="X172" s="7715"/>
      <c r="Y172" s="7715"/>
      <c r="Z172" s="7715"/>
      <c r="AA172" s="7715"/>
      <c r="AB172" s="7715"/>
      <c r="AC172" s="7715"/>
      <c r="AD172" s="7715"/>
      <c r="AE172" s="7715"/>
      <c r="AF172" s="7715"/>
      <c r="AG172" s="7715"/>
      <c r="AH172" s="7715"/>
      <c r="AI172" s="7715"/>
      <c r="AJ172" s="7715"/>
      <c r="AK172" s="7715"/>
      <c r="AL172" s="1421"/>
      <c r="AM172" s="1949"/>
      <c r="AN172" s="1949"/>
      <c r="AO172" s="1421"/>
      <c r="AP172" s="1421"/>
      <c r="AQ172" s="1421"/>
      <c r="AR172" s="1421"/>
      <c r="AS172" s="1949"/>
      <c r="AT172" s="1421"/>
      <c r="AU172" s="1421"/>
      <c r="AV172" s="781"/>
      <c r="AW172" s="1421"/>
      <c r="AX172" s="1421"/>
      <c r="AY172" s="1421"/>
      <c r="AZ172" s="1421"/>
      <c r="BA172" s="1421"/>
      <c r="BB172" s="1945"/>
      <c r="BC172" s="803"/>
      <c r="BD172" s="803"/>
      <c r="BE172" s="803"/>
      <c r="BF172" s="803"/>
    </row>
    <row s="10822" customFormat="1" customHeight="1" ht="11.25">
      <c r="A173" s="1243"/>
      <c r="B173" s="1949"/>
      <c r="C173" s="1949"/>
      <c r="D173" s="572"/>
      <c r="J173" s="7715"/>
      <c r="K173" s="7715"/>
      <c r="L173" s="7715"/>
      <c r="M173" s="7715"/>
      <c r="N173" s="7715"/>
      <c r="O173" s="7715"/>
      <c r="P173" s="7715"/>
      <c r="Q173" s="7715"/>
      <c r="R173" s="7715"/>
      <c r="S173" s="7715"/>
      <c r="T173" s="7715"/>
      <c r="U173" s="7715"/>
      <c r="V173" s="7715"/>
      <c r="W173" s="7715"/>
      <c r="X173" s="7715"/>
      <c r="Y173" s="7715"/>
      <c r="Z173" s="7715"/>
      <c r="AA173" s="7715"/>
      <c r="AB173" s="7715"/>
      <c r="AC173" s="7715"/>
      <c r="AD173" s="7715"/>
      <c r="AE173" s="7715"/>
      <c r="AF173" s="7715"/>
      <c r="AG173" s="7715"/>
      <c r="AH173" s="7715"/>
      <c r="AI173" s="7715"/>
      <c r="AJ173" s="7715"/>
      <c r="AK173" s="7715"/>
      <c r="AL173" s="1421"/>
      <c r="AM173" s="1949"/>
      <c r="AN173" s="1949"/>
      <c r="AO173" s="1421"/>
      <c r="AP173" s="1421"/>
      <c r="AQ173" s="1421"/>
      <c r="AR173" s="1421"/>
      <c r="AS173" s="1949"/>
      <c r="AT173" s="1421"/>
      <c r="AU173" s="1421"/>
      <c r="AV173" s="781"/>
      <c r="AW173" s="1421"/>
      <c r="AX173" s="1421"/>
      <c r="AY173" s="1421"/>
      <c r="AZ173" s="1421"/>
      <c r="BA173" s="1421"/>
      <c r="BB173" s="1945"/>
      <c r="BC173" s="803"/>
      <c r="BD173" s="803"/>
      <c r="BE173" s="803"/>
      <c r="BF173" s="803"/>
    </row>
    <row s="10822" customFormat="1" customHeight="1" ht="11.25">
      <c r="A174" s="1243"/>
      <c r="B174" s="1949"/>
      <c r="C174" s="1949"/>
      <c r="D174" s="572"/>
      <c r="J174" s="7715"/>
      <c r="K174" s="7715"/>
      <c r="L174" s="7715"/>
      <c r="M174" s="7715"/>
      <c r="N174" s="7715"/>
      <c r="O174" s="7715"/>
      <c r="P174" s="7715"/>
      <c r="Q174" s="7715"/>
      <c r="R174" s="7715"/>
      <c r="S174" s="7715"/>
      <c r="T174" s="7715"/>
      <c r="U174" s="7715"/>
      <c r="V174" s="7715"/>
      <c r="W174" s="7715"/>
      <c r="X174" s="7715"/>
      <c r="Y174" s="7715"/>
      <c r="Z174" s="7715"/>
      <c r="AA174" s="7715"/>
      <c r="AB174" s="7715"/>
      <c r="AC174" s="7715"/>
      <c r="AD174" s="7715"/>
      <c r="AE174" s="7715"/>
      <c r="AF174" s="7715"/>
      <c r="AG174" s="7715"/>
      <c r="AH174" s="7715"/>
      <c r="AI174" s="7715"/>
      <c r="AJ174" s="7715"/>
      <c r="AK174" s="7715"/>
      <c r="AL174" s="1421"/>
      <c r="AM174" s="1949"/>
      <c r="AN174" s="1949"/>
      <c r="AO174" s="1421"/>
      <c r="AP174" s="1421"/>
      <c r="AQ174" s="1421"/>
      <c r="AR174" s="1421"/>
      <c r="AS174" s="1949"/>
      <c r="AT174" s="1421"/>
      <c r="AU174" s="1421"/>
      <c r="AV174" s="781"/>
      <c r="AW174" s="1421"/>
      <c r="AX174" s="1421"/>
      <c r="AY174" s="1421"/>
      <c r="AZ174" s="1421"/>
      <c r="BA174" s="1421"/>
      <c r="BB174" s="1945"/>
      <c r="BC174" s="803"/>
      <c r="BD174" s="803"/>
      <c r="BE174" s="803"/>
      <c r="BF174" s="803"/>
    </row>
    <row s="10822" customFormat="1" customHeight="1" ht="11.25">
      <c r="A175" s="1243"/>
      <c r="B175" s="1949"/>
      <c r="C175" s="1949"/>
      <c r="D175" s="572"/>
      <c r="J175" s="7715"/>
      <c r="K175" s="7715"/>
      <c r="L175" s="7715"/>
      <c r="M175" s="7715"/>
      <c r="N175" s="7715"/>
      <c r="O175" s="7715"/>
      <c r="P175" s="7715"/>
      <c r="Q175" s="7715"/>
      <c r="R175" s="7715"/>
      <c r="S175" s="7715"/>
      <c r="T175" s="7715"/>
      <c r="U175" s="7715"/>
      <c r="V175" s="7715"/>
      <c r="W175" s="7715"/>
      <c r="X175" s="7715"/>
      <c r="Y175" s="7715"/>
      <c r="Z175" s="7715"/>
      <c r="AA175" s="7715"/>
      <c r="AB175" s="7715"/>
      <c r="AC175" s="7715"/>
      <c r="AD175" s="7715"/>
      <c r="AE175" s="7715"/>
      <c r="AF175" s="7715"/>
      <c r="AG175" s="7715"/>
      <c r="AH175" s="7715"/>
      <c r="AI175" s="7715"/>
      <c r="AJ175" s="7715"/>
      <c r="AK175" s="7715"/>
      <c r="AL175" s="1421"/>
      <c r="AM175" s="1949"/>
      <c r="AN175" s="1949"/>
      <c r="AO175" s="1421"/>
      <c r="AP175" s="1421"/>
      <c r="AQ175" s="1421"/>
      <c r="AR175" s="1421"/>
      <c r="AS175" s="1949"/>
      <c r="AT175" s="1421"/>
      <c r="AU175" s="1421"/>
      <c r="AV175" s="781"/>
      <c r="AW175" s="1421"/>
      <c r="AX175" s="1421"/>
      <c r="AY175" s="1421"/>
      <c r="AZ175" s="1421"/>
      <c r="BA175" s="1421"/>
      <c r="BB175" s="1945"/>
      <c r="BC175" s="803"/>
      <c r="BD175" s="803"/>
      <c r="BE175" s="803"/>
      <c r="BF175" s="803"/>
    </row>
    <row s="10822" customFormat="1" customHeight="1" ht="11.25">
      <c r="A176" s="1243"/>
      <c r="B176" s="1949"/>
      <c r="C176" s="1949"/>
      <c r="D176" s="572"/>
      <c r="J176" s="7715"/>
      <c r="K176" s="7715"/>
      <c r="L176" s="7715"/>
      <c r="M176" s="7715"/>
      <c r="N176" s="7715"/>
      <c r="O176" s="7715"/>
      <c r="P176" s="7715"/>
      <c r="Q176" s="7715"/>
      <c r="R176" s="7715"/>
      <c r="S176" s="7715"/>
      <c r="T176" s="7715"/>
      <c r="U176" s="7715"/>
      <c r="V176" s="7715"/>
      <c r="W176" s="7715"/>
      <c r="X176" s="7715"/>
      <c r="Y176" s="7715"/>
      <c r="Z176" s="7715"/>
      <c r="AA176" s="7715"/>
      <c r="AB176" s="7715"/>
      <c r="AC176" s="7715"/>
      <c r="AD176" s="7715"/>
      <c r="AE176" s="7715"/>
      <c r="AF176" s="7715"/>
      <c r="AG176" s="7715"/>
      <c r="AH176" s="7715"/>
      <c r="AI176" s="7715"/>
      <c r="AJ176" s="7715"/>
      <c r="AK176" s="7715"/>
      <c r="AL176" s="1421"/>
      <c r="AM176" s="1949"/>
      <c r="AN176" s="1949"/>
      <c r="AO176" s="1421"/>
      <c r="AP176" s="1421"/>
      <c r="AQ176" s="1421"/>
      <c r="AR176" s="1421"/>
      <c r="AS176" s="1949"/>
      <c r="AT176" s="1421"/>
      <c r="AU176" s="1421"/>
      <c r="AV176" s="781"/>
      <c r="AW176" s="1421"/>
      <c r="AX176" s="1421"/>
      <c r="AY176" s="1421"/>
      <c r="AZ176" s="1421"/>
      <c r="BA176" s="1421"/>
      <c r="BB176" s="1945"/>
      <c r="BC176" s="803"/>
      <c r="BD176" s="803"/>
      <c r="BE176" s="803"/>
      <c r="BF176" s="803"/>
    </row>
    <row s="10822" customFormat="1" customHeight="1" ht="11.25">
      <c r="A177" s="1243"/>
      <c r="B177" s="1949"/>
      <c r="C177" s="1949"/>
      <c r="D177" s="572"/>
      <c r="J177" s="7715"/>
      <c r="K177" s="7715"/>
      <c r="L177" s="7715"/>
      <c r="M177" s="7715"/>
      <c r="N177" s="7715"/>
      <c r="O177" s="7715"/>
      <c r="P177" s="7715"/>
      <c r="Q177" s="7715"/>
      <c r="R177" s="7715"/>
      <c r="S177" s="7715"/>
      <c r="T177" s="7715"/>
      <c r="U177" s="7715"/>
      <c r="V177" s="7715"/>
      <c r="W177" s="7715"/>
      <c r="X177" s="7715"/>
      <c r="Y177" s="7715"/>
      <c r="Z177" s="7715"/>
      <c r="AA177" s="7715"/>
      <c r="AB177" s="7715"/>
      <c r="AC177" s="7715"/>
      <c r="AD177" s="7715"/>
      <c r="AE177" s="7715"/>
      <c r="AF177" s="7715"/>
      <c r="AG177" s="7715"/>
      <c r="AH177" s="7715"/>
      <c r="AI177" s="7715"/>
      <c r="AJ177" s="7715"/>
      <c r="AK177" s="7715"/>
      <c r="AL177" s="1421"/>
      <c r="AM177" s="1949"/>
      <c r="AN177" s="1949"/>
      <c r="AO177" s="1421"/>
      <c r="AP177" s="1421"/>
      <c r="AQ177" s="1421"/>
      <c r="AR177" s="1421"/>
      <c r="AS177" s="1949"/>
      <c r="AT177" s="1421"/>
      <c r="AU177" s="1421"/>
      <c r="AV177" s="781"/>
      <c r="AW177" s="1421"/>
      <c r="AX177" s="1421"/>
      <c r="AY177" s="1421"/>
      <c r="AZ177" s="1421"/>
      <c r="BA177" s="1421"/>
      <c r="BB177" s="1945"/>
      <c r="BC177" s="803"/>
      <c r="BD177" s="803"/>
      <c r="BE177" s="803"/>
      <c r="BF177" s="803"/>
    </row>
    <row s="10822" customFormat="1" customHeight="1" ht="11.25">
      <c r="A178" s="1243"/>
      <c r="B178" s="1949"/>
      <c r="C178" s="1949"/>
      <c r="D178" s="572"/>
      <c r="J178" s="7715"/>
      <c r="K178" s="7715"/>
      <c r="L178" s="7715"/>
      <c r="M178" s="7715"/>
      <c r="N178" s="7715"/>
      <c r="O178" s="7715"/>
      <c r="P178" s="7715"/>
      <c r="Q178" s="7715"/>
      <c r="R178" s="7715"/>
      <c r="S178" s="7715"/>
      <c r="T178" s="7715"/>
      <c r="U178" s="7715"/>
      <c r="V178" s="7715"/>
      <c r="W178" s="7715"/>
      <c r="X178" s="7715"/>
      <c r="Y178" s="7715"/>
      <c r="Z178" s="7715"/>
      <c r="AA178" s="7715"/>
      <c r="AB178" s="7715"/>
      <c r="AC178" s="7715"/>
      <c r="AD178" s="7715"/>
      <c r="AE178" s="7715"/>
      <c r="AF178" s="7715"/>
      <c r="AG178" s="7715"/>
      <c r="AH178" s="7715"/>
      <c r="AI178" s="7715"/>
      <c r="AJ178" s="7715"/>
      <c r="AK178" s="7715"/>
      <c r="AL178" s="1421"/>
      <c r="AM178" s="1949"/>
      <c r="AN178" s="1949"/>
      <c r="AO178" s="1421"/>
      <c r="AP178" s="1421"/>
      <c r="AQ178" s="1421"/>
      <c r="AR178" s="1421"/>
      <c r="AS178" s="1949"/>
      <c r="AT178" s="1421"/>
      <c r="AU178" s="1421"/>
      <c r="AV178" s="781"/>
      <c r="AW178" s="1421"/>
      <c r="AX178" s="1421"/>
      <c r="AY178" s="1421"/>
      <c r="AZ178" s="1421"/>
      <c r="BA178" s="1421"/>
      <c r="BB178" s="1945"/>
      <c r="BC178" s="803"/>
      <c r="BD178" s="803"/>
      <c r="BE178" s="803"/>
      <c r="BF178" s="803"/>
    </row>
    <row s="10822" customFormat="1" customHeight="1" ht="11.25">
      <c r="A179" s="1243"/>
      <c r="B179" s="1949"/>
      <c r="C179" s="1949"/>
      <c r="D179" s="572"/>
      <c r="J179" s="7715"/>
      <c r="K179" s="7715"/>
      <c r="L179" s="7715"/>
      <c r="M179" s="7715"/>
      <c r="N179" s="7715"/>
      <c r="O179" s="7715"/>
      <c r="P179" s="7715"/>
      <c r="Q179" s="7715"/>
      <c r="R179" s="7715"/>
      <c r="S179" s="7715"/>
      <c r="T179" s="7715"/>
      <c r="U179" s="7715"/>
      <c r="V179" s="7715"/>
      <c r="W179" s="7715"/>
      <c r="X179" s="7715"/>
      <c r="Y179" s="7715"/>
      <c r="Z179" s="7715"/>
      <c r="AA179" s="7715"/>
      <c r="AB179" s="7715"/>
      <c r="AC179" s="7715"/>
      <c r="AD179" s="7715"/>
      <c r="AE179" s="7715"/>
      <c r="AF179" s="7715"/>
      <c r="AG179" s="7715"/>
      <c r="AH179" s="7715"/>
      <c r="AI179" s="7715"/>
      <c r="AJ179" s="7715"/>
      <c r="AK179" s="7715"/>
      <c r="AL179" s="1421"/>
      <c r="AM179" s="1949"/>
      <c r="AN179" s="1949"/>
      <c r="AO179" s="1421"/>
      <c r="AP179" s="1421"/>
      <c r="AQ179" s="1421"/>
      <c r="AR179" s="1421"/>
      <c r="AS179" s="1949"/>
      <c r="AT179" s="1421"/>
      <c r="AU179" s="1421"/>
      <c r="AV179" s="781"/>
      <c r="AW179" s="1421"/>
      <c r="AX179" s="1421"/>
      <c r="AY179" s="1421"/>
      <c r="AZ179" s="1421"/>
      <c r="BA179" s="1421"/>
      <c r="BB179" s="1945"/>
      <c r="BC179" s="803"/>
      <c r="BD179" s="803"/>
      <c r="BE179" s="803"/>
      <c r="BF179" s="803"/>
    </row>
    <row s="10822" customFormat="1" customHeight="1" ht="11.25">
      <c r="A180" s="1243"/>
      <c r="B180" s="1949"/>
      <c r="C180" s="1949"/>
      <c r="D180" s="572"/>
      <c r="J180" s="7715"/>
      <c r="K180" s="7715"/>
      <c r="L180" s="7715"/>
      <c r="M180" s="7715"/>
      <c r="N180" s="7715"/>
      <c r="O180" s="7715"/>
      <c r="P180" s="7715"/>
      <c r="Q180" s="7715"/>
      <c r="R180" s="7715"/>
      <c r="S180" s="7715"/>
      <c r="T180" s="7715"/>
      <c r="U180" s="7715"/>
      <c r="V180" s="7715"/>
      <c r="W180" s="7715"/>
      <c r="X180" s="7715"/>
      <c r="Y180" s="7715"/>
      <c r="Z180" s="7715"/>
      <c r="AA180" s="7715"/>
      <c r="AB180" s="7715"/>
      <c r="AC180" s="7715"/>
      <c r="AD180" s="7715"/>
      <c r="AE180" s="7715"/>
      <c r="AF180" s="7715"/>
      <c r="AG180" s="7715"/>
      <c r="AH180" s="7715"/>
      <c r="AI180" s="7715"/>
      <c r="AJ180" s="7715"/>
      <c r="AK180" s="7715"/>
      <c r="AL180" s="1421"/>
      <c r="AM180" s="1949"/>
      <c r="AN180" s="1949"/>
      <c r="AO180" s="1421"/>
      <c r="AP180" s="1421"/>
      <c r="AQ180" s="1421"/>
      <c r="AR180" s="1421"/>
      <c r="AS180" s="1949"/>
      <c r="AT180" s="1421"/>
      <c r="AU180" s="1421"/>
      <c r="AV180" s="781"/>
      <c r="AW180" s="1421"/>
      <c r="AX180" s="1421"/>
      <c r="AY180" s="1421"/>
      <c r="AZ180" s="1421"/>
      <c r="BA180" s="1421"/>
      <c r="BB180" s="1945"/>
      <c r="BC180" s="803"/>
      <c r="BD180" s="803"/>
      <c r="BE180" s="803"/>
      <c r="BF180" s="803"/>
    </row>
    <row s="10822" customFormat="1" customHeight="1" ht="11.25">
      <c r="A181" s="1243"/>
      <c r="B181" s="1949"/>
      <c r="C181" s="1949"/>
      <c r="D181" s="572"/>
      <c r="J181" s="7715"/>
      <c r="K181" s="7715"/>
      <c r="L181" s="7715"/>
      <c r="M181" s="7715"/>
      <c r="N181" s="7715"/>
      <c r="O181" s="7715"/>
      <c r="P181" s="7715"/>
      <c r="Q181" s="7715"/>
      <c r="R181" s="7715"/>
      <c r="S181" s="7715"/>
      <c r="T181" s="7715"/>
      <c r="U181" s="7715"/>
      <c r="V181" s="7715"/>
      <c r="W181" s="7715"/>
      <c r="X181" s="7715"/>
      <c r="Y181" s="7715"/>
      <c r="Z181" s="7715"/>
      <c r="AA181" s="7715"/>
      <c r="AB181" s="7715"/>
      <c r="AC181" s="7715"/>
      <c r="AD181" s="7715"/>
      <c r="AE181" s="7715"/>
      <c r="AF181" s="7715"/>
      <c r="AG181" s="7715"/>
      <c r="AH181" s="7715"/>
      <c r="AI181" s="7715"/>
      <c r="AJ181" s="7715"/>
      <c r="AK181" s="7715"/>
      <c r="AL181" s="1421"/>
      <c r="AM181" s="1949"/>
      <c r="AN181" s="1949"/>
      <c r="AO181" s="1421"/>
      <c r="AP181" s="1421"/>
      <c r="AQ181" s="1421"/>
      <c r="AR181" s="1421"/>
      <c r="AS181" s="1949"/>
      <c r="AT181" s="1421"/>
      <c r="AU181" s="1421"/>
      <c r="AV181" s="781"/>
      <c r="AW181" s="1421"/>
      <c r="AX181" s="1421"/>
      <c r="AY181" s="1421"/>
      <c r="AZ181" s="1421"/>
      <c r="BA181" s="1421"/>
      <c r="BB181" s="1945"/>
      <c r="BC181" s="803"/>
      <c r="BD181" s="803"/>
      <c r="BE181" s="803"/>
      <c r="BF181" s="803"/>
    </row>
    <row s="10822" customFormat="1" customHeight="1" ht="11.25">
      <c r="A182" s="1243"/>
      <c r="B182" s="1949"/>
      <c r="C182" s="1949"/>
      <c r="D182" s="572"/>
      <c r="J182" s="7715"/>
      <c r="K182" s="7715"/>
      <c r="L182" s="7715"/>
      <c r="M182" s="7715"/>
      <c r="N182" s="7715"/>
      <c r="O182" s="7715"/>
      <c r="P182" s="7715"/>
      <c r="Q182" s="7715"/>
      <c r="R182" s="7715"/>
      <c r="S182" s="7715"/>
      <c r="T182" s="7715"/>
      <c r="U182" s="7715"/>
      <c r="V182" s="7715"/>
      <c r="W182" s="7715"/>
      <c r="X182" s="7715"/>
      <c r="Y182" s="7715"/>
      <c r="Z182" s="7715"/>
      <c r="AA182" s="7715"/>
      <c r="AB182" s="7715"/>
      <c r="AC182" s="7715"/>
      <c r="AD182" s="7715"/>
      <c r="AE182" s="7715"/>
      <c r="AF182" s="7715"/>
      <c r="AG182" s="7715"/>
      <c r="AH182" s="7715"/>
      <c r="AI182" s="7715"/>
      <c r="AJ182" s="7715"/>
      <c r="AK182" s="7715"/>
      <c r="AL182" s="1421"/>
      <c r="AM182" s="1949"/>
      <c r="AN182" s="1949"/>
      <c r="AO182" s="1421"/>
      <c r="AP182" s="1421"/>
      <c r="AQ182" s="1421"/>
      <c r="AR182" s="1421"/>
      <c r="AS182" s="1949"/>
      <c r="AT182" s="1421"/>
      <c r="AU182" s="1421"/>
      <c r="AV182" s="781"/>
      <c r="AW182" s="1421"/>
      <c r="AX182" s="1421"/>
      <c r="AY182" s="1421"/>
      <c r="AZ182" s="1421"/>
      <c r="BA182" s="1421"/>
      <c r="BB182" s="1945"/>
      <c r="BC182" s="803"/>
      <c r="BD182" s="803"/>
      <c r="BE182" s="803"/>
      <c r="BF182" s="803"/>
    </row>
    <row s="10822" customFormat="1" customHeight="1" ht="11.25">
      <c r="A183" s="1243"/>
      <c r="B183" s="1949"/>
      <c r="C183" s="1949"/>
      <c r="D183" s="572"/>
      <c r="J183" s="7715"/>
      <c r="K183" s="7715"/>
      <c r="L183" s="7715"/>
      <c r="M183" s="7715"/>
      <c r="N183" s="7715"/>
      <c r="O183" s="7715"/>
      <c r="P183" s="7715"/>
      <c r="Q183" s="7715"/>
      <c r="R183" s="7715"/>
      <c r="S183" s="7715"/>
      <c r="T183" s="7715"/>
      <c r="U183" s="7715"/>
      <c r="V183" s="7715"/>
      <c r="W183" s="7715"/>
      <c r="X183" s="7715"/>
      <c r="Y183" s="7715"/>
      <c r="Z183" s="7715"/>
      <c r="AA183" s="7715"/>
      <c r="AB183" s="7715"/>
      <c r="AC183" s="7715"/>
      <c r="AD183" s="7715"/>
      <c r="AE183" s="7715"/>
      <c r="AF183" s="7715"/>
      <c r="AG183" s="7715"/>
      <c r="AH183" s="7715"/>
      <c r="AI183" s="7715"/>
      <c r="AJ183" s="7715"/>
      <c r="AK183" s="7715"/>
      <c r="AL183" s="1421"/>
      <c r="AM183" s="1949"/>
      <c r="AN183" s="1949"/>
      <c r="AO183" s="1421"/>
      <c r="AP183" s="1421"/>
      <c r="AQ183" s="1421"/>
      <c r="AR183" s="1421"/>
      <c r="AS183" s="1949"/>
      <c r="AT183" s="1421"/>
      <c r="AU183" s="1421"/>
      <c r="AV183" s="781"/>
      <c r="AW183" s="1421"/>
      <c r="AX183" s="1421"/>
      <c r="AY183" s="1421"/>
      <c r="AZ183" s="1421"/>
      <c r="BA183" s="1421"/>
      <c r="BB183" s="1945"/>
      <c r="BC183" s="803"/>
      <c r="BD183" s="803"/>
      <c r="BE183" s="803"/>
      <c r="BF183" s="803"/>
    </row>
    <row s="10822" customFormat="1" customHeight="1" ht="11.25">
      <c r="A184" s="1243"/>
      <c r="B184" s="1949"/>
      <c r="C184" s="1949"/>
      <c r="D184" s="572"/>
      <c r="J184" s="7715"/>
      <c r="K184" s="7715"/>
      <c r="L184" s="7715"/>
      <c r="M184" s="7715"/>
      <c r="N184" s="7715"/>
      <c r="O184" s="7715"/>
      <c r="P184" s="7715"/>
      <c r="Q184" s="7715"/>
      <c r="R184" s="7715"/>
      <c r="S184" s="7715"/>
      <c r="T184" s="7715"/>
      <c r="U184" s="7715"/>
      <c r="V184" s="7715"/>
      <c r="W184" s="7715"/>
      <c r="X184" s="7715"/>
      <c r="Y184" s="7715"/>
      <c r="Z184" s="7715"/>
      <c r="AA184" s="7715"/>
      <c r="AB184" s="7715"/>
      <c r="AC184" s="7715"/>
      <c r="AD184" s="7715"/>
      <c r="AE184" s="7715"/>
      <c r="AF184" s="7715"/>
      <c r="AG184" s="7715"/>
      <c r="AH184" s="7715"/>
      <c r="AI184" s="7715"/>
      <c r="AJ184" s="7715"/>
      <c r="AK184" s="7715"/>
      <c r="AL184" s="1421"/>
      <c r="AM184" s="1949"/>
      <c r="AN184" s="1949"/>
      <c r="AO184" s="1421"/>
      <c r="AP184" s="1421"/>
      <c r="AQ184" s="1421"/>
      <c r="AR184" s="1421"/>
      <c r="AS184" s="1949"/>
      <c r="AT184" s="1421"/>
      <c r="AU184" s="1421"/>
      <c r="AV184" s="781"/>
      <c r="AW184" s="1421"/>
      <c r="AX184" s="1421"/>
      <c r="AY184" s="1421"/>
      <c r="AZ184" s="1421"/>
      <c r="BA184" s="1421"/>
      <c r="BB184" s="1945"/>
      <c r="BC184" s="803"/>
      <c r="BD184" s="803"/>
      <c r="BE184" s="803"/>
      <c r="BF184" s="803"/>
    </row>
    <row s="10822" customFormat="1" customHeight="1" ht="11.25">
      <c r="A185" s="1243"/>
      <c r="B185" s="1949"/>
      <c r="C185" s="1949"/>
      <c r="D185" s="572"/>
      <c r="J185" s="7715"/>
      <c r="K185" s="7715"/>
      <c r="L185" s="7715"/>
      <c r="M185" s="7715"/>
      <c r="N185" s="7715"/>
      <c r="O185" s="7715"/>
      <c r="P185" s="7715"/>
      <c r="Q185" s="7715"/>
      <c r="R185" s="7715"/>
      <c r="S185" s="7715"/>
      <c r="T185" s="7715"/>
      <c r="U185" s="7715"/>
      <c r="V185" s="7715"/>
      <c r="W185" s="7715"/>
      <c r="X185" s="7715"/>
      <c r="Y185" s="7715"/>
      <c r="Z185" s="7715"/>
      <c r="AA185" s="7715"/>
      <c r="AB185" s="7715"/>
      <c r="AC185" s="7715"/>
      <c r="AD185" s="7715"/>
      <c r="AE185" s="7715"/>
      <c r="AF185" s="7715"/>
      <c r="AG185" s="7715"/>
      <c r="AH185" s="7715"/>
      <c r="AI185" s="7715"/>
      <c r="AJ185" s="7715"/>
      <c r="AK185" s="7715"/>
      <c r="AL185" s="1421"/>
      <c r="AM185" s="1949"/>
      <c r="AN185" s="1949"/>
      <c r="AO185" s="1421"/>
      <c r="AP185" s="1421"/>
      <c r="AQ185" s="1421"/>
      <c r="AR185" s="1421"/>
      <c r="AS185" s="1949"/>
      <c r="AT185" s="1421"/>
      <c r="AU185" s="1421"/>
      <c r="AV185" s="781"/>
      <c r="AW185" s="1421"/>
      <c r="AX185" s="1421"/>
      <c r="AY185" s="1421"/>
      <c r="AZ185" s="1421"/>
      <c r="BA185" s="1421"/>
      <c r="BB185" s="1945"/>
      <c r="BC185" s="803"/>
      <c r="BD185" s="803"/>
      <c r="BE185" s="803"/>
      <c r="BF185" s="803"/>
    </row>
    <row s="10822" customFormat="1" customHeight="1" ht="11.25">
      <c r="A186" s="1243"/>
      <c r="B186" s="1949"/>
      <c r="C186" s="1949"/>
      <c r="D186" s="572"/>
      <c r="J186" s="7715"/>
      <c r="K186" s="7715"/>
      <c r="L186" s="7715"/>
      <c r="M186" s="7715"/>
      <c r="N186" s="7715"/>
      <c r="O186" s="7715"/>
      <c r="P186" s="7715"/>
      <c r="Q186" s="7715"/>
      <c r="R186" s="7715"/>
      <c r="S186" s="7715"/>
      <c r="T186" s="7715"/>
      <c r="U186" s="7715"/>
      <c r="V186" s="7715"/>
      <c r="W186" s="7715"/>
      <c r="X186" s="7715"/>
      <c r="Y186" s="7715"/>
      <c r="Z186" s="7715"/>
      <c r="AA186" s="7715"/>
      <c r="AB186" s="7715"/>
      <c r="AC186" s="7715"/>
      <c r="AD186" s="7715"/>
      <c r="AE186" s="7715"/>
      <c r="AF186" s="7715"/>
      <c r="AG186" s="7715"/>
      <c r="AH186" s="7715"/>
      <c r="AI186" s="7715"/>
      <c r="AJ186" s="7715"/>
      <c r="AK186" s="7715"/>
      <c r="AL186" s="1421"/>
      <c r="AM186" s="1949"/>
      <c r="AN186" s="1949"/>
      <c r="AO186" s="1421"/>
      <c r="AP186" s="1421"/>
      <c r="AQ186" s="1421"/>
      <c r="AR186" s="1421"/>
      <c r="AS186" s="1949"/>
      <c r="AT186" s="1421"/>
      <c r="AU186" s="1421"/>
      <c r="AV186" s="781"/>
      <c r="AW186" s="1421"/>
      <c r="AX186" s="1421"/>
      <c r="AY186" s="1421"/>
      <c r="AZ186" s="1421"/>
      <c r="BA186" s="1421"/>
      <c r="BB186" s="1945"/>
      <c r="BC186" s="803"/>
      <c r="BD186" s="803"/>
      <c r="BE186" s="803"/>
      <c r="BF186" s="803"/>
    </row>
    <row s="10822" customFormat="1" customHeight="1" ht="11.25">
      <c r="A187" s="1243"/>
      <c r="B187" s="1949"/>
      <c r="C187" s="1949"/>
      <c r="D187" s="572"/>
      <c r="J187" s="7715"/>
      <c r="K187" s="7715"/>
      <c r="L187" s="7715"/>
      <c r="M187" s="7715"/>
      <c r="N187" s="7715"/>
      <c r="O187" s="7715"/>
      <c r="P187" s="7715"/>
      <c r="Q187" s="7715"/>
      <c r="R187" s="7715"/>
      <c r="S187" s="7715"/>
      <c r="T187" s="7715"/>
      <c r="U187" s="7715"/>
      <c r="V187" s="7715"/>
      <c r="W187" s="7715"/>
      <c r="X187" s="7715"/>
      <c r="Y187" s="7715"/>
      <c r="Z187" s="7715"/>
      <c r="AA187" s="7715"/>
      <c r="AB187" s="7715"/>
      <c r="AC187" s="7715"/>
      <c r="AD187" s="7715"/>
      <c r="AE187" s="7715"/>
      <c r="AF187" s="7715"/>
      <c r="AG187" s="7715"/>
      <c r="AH187" s="7715"/>
      <c r="AI187" s="7715"/>
      <c r="AJ187" s="7715"/>
      <c r="AK187" s="7715"/>
      <c r="AL187" s="1421"/>
      <c r="AM187" s="1949"/>
      <c r="AN187" s="1949"/>
      <c r="AO187" s="1421"/>
      <c r="AP187" s="1421"/>
      <c r="AQ187" s="1421"/>
      <c r="AR187" s="1421"/>
      <c r="AS187" s="1949"/>
      <c r="AT187" s="1421"/>
      <c r="AU187" s="1421"/>
      <c r="AV187" s="781"/>
      <c r="AW187" s="1421"/>
      <c r="AX187" s="1421"/>
      <c r="AY187" s="1421"/>
      <c r="AZ187" s="1421"/>
      <c r="BA187" s="1421"/>
      <c r="BB187" s="1945"/>
      <c r="BC187" s="803"/>
      <c r="BD187" s="803"/>
      <c r="BE187" s="803"/>
      <c r="BF187" s="803"/>
    </row>
    <row s="10822" customFormat="1" customHeight="1" ht="11.25">
      <c r="A188" s="1243"/>
      <c r="B188" s="1949"/>
      <c r="C188" s="1949"/>
      <c r="D188" s="572"/>
      <c r="J188" s="7715"/>
      <c r="K188" s="7715"/>
      <c r="L188" s="7715"/>
      <c r="M188" s="7715"/>
      <c r="N188" s="7715"/>
      <c r="O188" s="7715"/>
      <c r="P188" s="7715"/>
      <c r="Q188" s="7715"/>
      <c r="R188" s="7715"/>
      <c r="S188" s="7715"/>
      <c r="T188" s="7715"/>
      <c r="U188" s="7715"/>
      <c r="V188" s="7715"/>
      <c r="W188" s="7715"/>
      <c r="X188" s="7715"/>
      <c r="Y188" s="7715"/>
      <c r="Z188" s="7715"/>
      <c r="AA188" s="7715"/>
      <c r="AB188" s="7715"/>
      <c r="AC188" s="7715"/>
      <c r="AD188" s="7715"/>
      <c r="AE188" s="7715"/>
      <c r="AF188" s="7715"/>
      <c r="AG188" s="7715"/>
      <c r="AH188" s="7715"/>
      <c r="AI188" s="7715"/>
      <c r="AJ188" s="7715"/>
      <c r="AK188" s="7715"/>
      <c r="AL188" s="1421"/>
      <c r="AM188" s="1949"/>
      <c r="AN188" s="1949"/>
      <c r="AO188" s="1421"/>
      <c r="AP188" s="1421"/>
      <c r="AQ188" s="1421"/>
      <c r="AR188" s="1421"/>
      <c r="AS188" s="1949"/>
      <c r="AT188" s="1421"/>
      <c r="AU188" s="1421"/>
      <c r="AV188" s="781"/>
      <c r="AW188" s="1421"/>
      <c r="AX188" s="1421"/>
      <c r="AY188" s="1421"/>
      <c r="AZ188" s="1421"/>
      <c r="BA188" s="1421"/>
      <c r="BB188" s="1945"/>
      <c r="BC188" s="803"/>
      <c r="BD188" s="803"/>
      <c r="BE188" s="803"/>
      <c r="BF188" s="803"/>
    </row>
    <row s="10822" customFormat="1" customHeight="1" ht="11.25">
      <c r="A189" s="1243"/>
      <c r="B189" s="1949"/>
      <c r="C189" s="1949"/>
      <c r="D189" s="572"/>
      <c r="J189" s="7715"/>
      <c r="K189" s="7715"/>
      <c r="L189" s="7715"/>
      <c r="M189" s="7715"/>
      <c r="N189" s="7715"/>
      <c r="O189" s="7715"/>
      <c r="P189" s="7715"/>
      <c r="Q189" s="7715"/>
      <c r="R189" s="7715"/>
      <c r="S189" s="7715"/>
      <c r="T189" s="7715"/>
      <c r="U189" s="7715"/>
      <c r="V189" s="7715"/>
      <c r="W189" s="7715"/>
      <c r="X189" s="7715"/>
      <c r="Y189" s="7715"/>
      <c r="Z189" s="7715"/>
      <c r="AA189" s="7715"/>
      <c r="AB189" s="7715"/>
      <c r="AC189" s="7715"/>
      <c r="AD189" s="7715"/>
      <c r="AE189" s="7715"/>
      <c r="AF189" s="7715"/>
      <c r="AG189" s="7715"/>
      <c r="AH189" s="7715"/>
      <c r="AI189" s="7715"/>
      <c r="AJ189" s="7715"/>
      <c r="AK189" s="7715"/>
      <c r="AL189" s="1421"/>
      <c r="AM189" s="1949"/>
      <c r="AN189" s="1949"/>
      <c r="AO189" s="1421"/>
      <c r="AP189" s="1421"/>
      <c r="AQ189" s="1421"/>
      <c r="AR189" s="1421"/>
      <c r="AS189" s="1949"/>
      <c r="AT189" s="1421"/>
      <c r="AU189" s="1421"/>
      <c r="AV189" s="781"/>
      <c r="AW189" s="1421"/>
      <c r="AX189" s="1421"/>
      <c r="AY189" s="1421"/>
      <c r="AZ189" s="1421"/>
      <c r="BA189" s="1421"/>
      <c r="BB189" s="1945"/>
      <c r="BC189" s="803"/>
      <c r="BD189" s="803"/>
      <c r="BE189" s="803"/>
      <c r="BF189" s="803"/>
    </row>
    <row s="10822" customFormat="1" customHeight="1" ht="11.25">
      <c r="A190" s="1243"/>
      <c r="B190" s="1949"/>
      <c r="C190" s="1949"/>
      <c r="D190" s="572"/>
      <c r="J190" s="7715"/>
      <c r="K190" s="7715"/>
      <c r="L190" s="7715"/>
      <c r="M190" s="7715"/>
      <c r="N190" s="7715"/>
      <c r="O190" s="7715"/>
      <c r="P190" s="7715"/>
      <c r="Q190" s="7715"/>
      <c r="R190" s="7715"/>
      <c r="S190" s="7715"/>
      <c r="T190" s="7715"/>
      <c r="U190" s="7715"/>
      <c r="V190" s="7715"/>
      <c r="W190" s="7715"/>
      <c r="X190" s="7715"/>
      <c r="Y190" s="7715"/>
      <c r="Z190" s="7715"/>
      <c r="AA190" s="7715"/>
      <c r="AB190" s="7715"/>
      <c r="AC190" s="7715"/>
      <c r="AD190" s="7715"/>
      <c r="AE190" s="7715"/>
      <c r="AF190" s="7715"/>
      <c r="AG190" s="7715"/>
      <c r="AH190" s="7715"/>
      <c r="AI190" s="7715"/>
      <c r="AJ190" s="7715"/>
      <c r="AK190" s="7715"/>
      <c r="AL190" s="1421"/>
      <c r="AM190" s="1949"/>
      <c r="AN190" s="1949"/>
      <c r="AO190" s="1421"/>
      <c r="AP190" s="1421"/>
      <c r="AQ190" s="1421"/>
      <c r="AR190" s="1421"/>
      <c r="AS190" s="1949"/>
      <c r="AT190" s="1421"/>
      <c r="AU190" s="1421"/>
      <c r="AV190" s="781"/>
      <c r="AW190" s="1421"/>
      <c r="AX190" s="1421"/>
      <c r="AY190" s="1421"/>
      <c r="AZ190" s="1421"/>
      <c r="BA190" s="1421"/>
      <c r="BB190" s="1945"/>
      <c r="BC190" s="803"/>
      <c r="BD190" s="803"/>
      <c r="BE190" s="803"/>
      <c r="BF190" s="803"/>
    </row>
    <row s="10822" customFormat="1" customHeight="1" ht="11.25">
      <c r="A191" s="1243"/>
      <c r="B191" s="1949"/>
      <c r="C191" s="1949"/>
      <c r="D191" s="572"/>
      <c r="J191" s="7715"/>
      <c r="K191" s="7715"/>
      <c r="L191" s="7715"/>
      <c r="M191" s="7715"/>
      <c r="N191" s="7715"/>
      <c r="O191" s="7715"/>
      <c r="P191" s="7715"/>
      <c r="Q191" s="7715"/>
      <c r="R191" s="7715"/>
      <c r="S191" s="7715"/>
      <c r="T191" s="7715"/>
      <c r="U191" s="7715"/>
      <c r="V191" s="7715"/>
      <c r="W191" s="7715"/>
      <c r="X191" s="7715"/>
      <c r="Y191" s="7715"/>
      <c r="Z191" s="7715"/>
      <c r="AA191" s="7715"/>
      <c r="AB191" s="7715"/>
      <c r="AC191" s="7715"/>
      <c r="AD191" s="7715"/>
      <c r="AE191" s="7715"/>
      <c r="AF191" s="7715"/>
      <c r="AG191" s="7715"/>
      <c r="AH191" s="7715"/>
      <c r="AI191" s="7715"/>
      <c r="AJ191" s="7715"/>
      <c r="AK191" s="7715"/>
      <c r="AL191" s="1421"/>
      <c r="AM191" s="1949"/>
      <c r="AN191" s="1949"/>
      <c r="AO191" s="1421"/>
      <c r="AP191" s="1421"/>
      <c r="AQ191" s="1421"/>
      <c r="AR191" s="1421"/>
      <c r="AS191" s="1949"/>
      <c r="AT191" s="1421"/>
      <c r="AU191" s="1421"/>
      <c r="AV191" s="781"/>
      <c r="AW191" s="1421"/>
      <c r="AX191" s="1421"/>
      <c r="AY191" s="1421"/>
      <c r="AZ191" s="1421"/>
      <c r="BA191" s="1421"/>
      <c r="BB191" s="1945"/>
      <c r="BC191" s="803"/>
      <c r="BD191" s="803"/>
      <c r="BE191" s="803"/>
      <c r="BF191" s="803"/>
    </row>
    <row s="10822" customFormat="1" customHeight="1" ht="11.25">
      <c r="A192" s="1243"/>
      <c r="B192" s="1949"/>
      <c r="C192" s="1949"/>
      <c r="D192" s="572"/>
      <c r="J192" s="7715"/>
      <c r="K192" s="7715"/>
      <c r="L192" s="7715"/>
      <c r="M192" s="7715"/>
      <c r="N192" s="7715"/>
      <c r="O192" s="7715"/>
      <c r="P192" s="7715"/>
      <c r="Q192" s="7715"/>
      <c r="R192" s="7715"/>
      <c r="S192" s="7715"/>
      <c r="T192" s="7715"/>
      <c r="U192" s="7715"/>
      <c r="V192" s="7715"/>
      <c r="W192" s="7715"/>
      <c r="X192" s="7715"/>
      <c r="Y192" s="7715"/>
      <c r="Z192" s="7715"/>
      <c r="AA192" s="7715"/>
      <c r="AB192" s="7715"/>
      <c r="AC192" s="7715"/>
      <c r="AD192" s="7715"/>
      <c r="AE192" s="7715"/>
      <c r="AF192" s="7715"/>
      <c r="AG192" s="7715"/>
      <c r="AH192" s="7715"/>
      <c r="AI192" s="7715"/>
      <c r="AJ192" s="7715"/>
      <c r="AK192" s="7715"/>
      <c r="AL192" s="1421"/>
      <c r="AM192" s="1949"/>
      <c r="AN192" s="1949"/>
      <c r="AO192" s="1421"/>
      <c r="AP192" s="1421"/>
      <c r="AQ192" s="1421"/>
      <c r="AR192" s="1421"/>
      <c r="AS192" s="1949"/>
      <c r="AT192" s="1421"/>
      <c r="AU192" s="1421"/>
      <c r="AV192" s="781"/>
      <c r="AW192" s="1421"/>
      <c r="AX192" s="1421"/>
      <c r="AY192" s="1421"/>
      <c r="AZ192" s="1421"/>
      <c r="BA192" s="1421"/>
      <c r="BB192" s="1945"/>
      <c r="BC192" s="803"/>
      <c r="BD192" s="803"/>
      <c r="BE192" s="803"/>
      <c r="BF192" s="803"/>
    </row>
    <row s="10822" customFormat="1" customHeight="1" ht="11.25">
      <c r="A193" s="1243"/>
      <c r="B193" s="1949"/>
      <c r="C193" s="1949"/>
      <c r="D193" s="572"/>
      <c r="J193" s="7715"/>
      <c r="K193" s="7715"/>
      <c r="L193" s="7715"/>
      <c r="M193" s="7715"/>
      <c r="N193" s="7715"/>
      <c r="O193" s="7715"/>
      <c r="P193" s="7715"/>
      <c r="Q193" s="7715"/>
      <c r="R193" s="7715"/>
      <c r="S193" s="7715"/>
      <c r="T193" s="7715"/>
      <c r="U193" s="7715"/>
      <c r="V193" s="7715"/>
      <c r="W193" s="7715"/>
      <c r="X193" s="7715"/>
      <c r="Y193" s="7715"/>
      <c r="Z193" s="7715"/>
      <c r="AA193" s="7715"/>
      <c r="AB193" s="7715"/>
      <c r="AC193" s="7715"/>
      <c r="AD193" s="7715"/>
      <c r="AE193" s="7715"/>
      <c r="AF193" s="7715"/>
      <c r="AG193" s="7715"/>
      <c r="AH193" s="7715"/>
      <c r="AI193" s="7715"/>
      <c r="AJ193" s="7715"/>
      <c r="AK193" s="7715"/>
      <c r="AL193" s="1421"/>
      <c r="AM193" s="1949"/>
      <c r="AN193" s="1949"/>
      <c r="AO193" s="1421"/>
      <c r="AP193" s="1421"/>
      <c r="AQ193" s="1421"/>
      <c r="AR193" s="1421"/>
      <c r="AS193" s="1949"/>
      <c r="AT193" s="1421"/>
      <c r="AU193" s="1421"/>
      <c r="AV193" s="781"/>
      <c r="AW193" s="1421"/>
      <c r="AX193" s="1421"/>
      <c r="AY193" s="1421"/>
      <c r="AZ193" s="1421"/>
      <c r="BA193" s="1421"/>
      <c r="BB193" s="1945"/>
      <c r="BC193" s="803"/>
      <c r="BD193" s="803"/>
      <c r="BE193" s="803"/>
      <c r="BF193" s="803"/>
    </row>
    <row s="10822" customFormat="1" customHeight="1" ht="11.25">
      <c r="A194" s="1243"/>
      <c r="B194" s="1949"/>
      <c r="C194" s="1949"/>
      <c r="D194" s="572"/>
      <c r="J194" s="7715"/>
      <c r="K194" s="7715"/>
      <c r="L194" s="7715"/>
      <c r="M194" s="7715"/>
      <c r="N194" s="7715"/>
      <c r="O194" s="7715"/>
      <c r="P194" s="7715"/>
      <c r="Q194" s="7715"/>
      <c r="R194" s="7715"/>
      <c r="S194" s="7715"/>
      <c r="T194" s="7715"/>
      <c r="U194" s="7715"/>
      <c r="V194" s="7715"/>
      <c r="W194" s="7715"/>
      <c r="X194" s="7715"/>
      <c r="Y194" s="7715"/>
      <c r="Z194" s="7715"/>
      <c r="AA194" s="7715"/>
      <c r="AB194" s="7715"/>
      <c r="AC194" s="7715"/>
      <c r="AD194" s="7715"/>
      <c r="AE194" s="7715"/>
      <c r="AF194" s="7715"/>
      <c r="AG194" s="7715"/>
      <c r="AH194" s="7715"/>
      <c r="AI194" s="7715"/>
      <c r="AJ194" s="7715"/>
      <c r="AK194" s="7715"/>
      <c r="AL194" s="1421"/>
      <c r="AM194" s="1949"/>
      <c r="AN194" s="1949"/>
      <c r="AO194" s="1421"/>
      <c r="AP194" s="1421"/>
      <c r="AQ194" s="1421"/>
      <c r="AR194" s="1421"/>
      <c r="AS194" s="1949"/>
      <c r="AT194" s="1421"/>
      <c r="AU194" s="1421"/>
      <c r="AV194" s="781"/>
      <c r="AW194" s="1421"/>
      <c r="AX194" s="1421"/>
      <c r="AY194" s="1421"/>
      <c r="AZ194" s="1421"/>
      <c r="BA194" s="1421"/>
      <c r="BB194" s="1945"/>
      <c r="BC194" s="803"/>
      <c r="BD194" s="803"/>
      <c r="BE194" s="803"/>
      <c r="BF194" s="803"/>
    </row>
    <row s="10822" customFormat="1" customHeight="1" ht="11.25">
      <c r="A195" s="1243"/>
      <c r="B195" s="1949"/>
      <c r="C195" s="1949"/>
      <c r="D195" s="572"/>
      <c r="J195" s="7715"/>
      <c r="K195" s="7715"/>
      <c r="L195" s="7715"/>
      <c r="M195" s="7715"/>
      <c r="N195" s="7715"/>
      <c r="O195" s="7715"/>
      <c r="P195" s="7715"/>
      <c r="Q195" s="7715"/>
      <c r="R195" s="7715"/>
      <c r="S195" s="7715"/>
      <c r="T195" s="7715"/>
      <c r="U195" s="7715"/>
      <c r="V195" s="7715"/>
      <c r="W195" s="7715"/>
      <c r="X195" s="7715"/>
      <c r="Y195" s="7715"/>
      <c r="Z195" s="7715"/>
      <c r="AA195" s="7715"/>
      <c r="AB195" s="7715"/>
      <c r="AC195" s="7715"/>
      <c r="AD195" s="7715"/>
      <c r="AE195" s="7715"/>
      <c r="AF195" s="7715"/>
      <c r="AG195" s="7715"/>
      <c r="AH195" s="7715"/>
      <c r="AI195" s="7715"/>
      <c r="AJ195" s="7715"/>
      <c r="AK195" s="7715"/>
      <c r="AL195" s="1421"/>
      <c r="AM195" s="1949"/>
      <c r="AN195" s="1949"/>
      <c r="AO195" s="1421"/>
      <c r="AP195" s="1421"/>
      <c r="AQ195" s="1421"/>
      <c r="AR195" s="1421"/>
      <c r="AS195" s="1949"/>
      <c r="AT195" s="1421"/>
      <c r="AU195" s="1421"/>
      <c r="AV195" s="781"/>
      <c r="AW195" s="1421"/>
      <c r="AX195" s="1421"/>
      <c r="AY195" s="1421"/>
      <c r="AZ195" s="1421"/>
      <c r="BA195" s="1421"/>
      <c r="BB195" s="1945"/>
      <c r="BC195" s="803"/>
      <c r="BD195" s="803"/>
      <c r="BE195" s="803"/>
      <c r="BF195" s="803"/>
    </row>
    <row s="10822" customFormat="1" customHeight="1" ht="11.25">
      <c r="A196" s="1243"/>
      <c r="B196" s="1949"/>
      <c r="C196" s="1949"/>
      <c r="D196" s="572"/>
      <c r="J196" s="7715"/>
      <c r="K196" s="7715"/>
      <c r="L196" s="7715"/>
      <c r="M196" s="7715"/>
      <c r="N196" s="7715"/>
      <c r="O196" s="7715"/>
      <c r="P196" s="7715"/>
      <c r="Q196" s="7715"/>
      <c r="R196" s="7715"/>
      <c r="S196" s="7715"/>
      <c r="T196" s="7715"/>
      <c r="U196" s="7715"/>
      <c r="V196" s="7715"/>
      <c r="W196" s="7715"/>
      <c r="X196" s="7715"/>
      <c r="Y196" s="7715"/>
      <c r="Z196" s="7715"/>
      <c r="AA196" s="7715"/>
      <c r="AB196" s="7715"/>
      <c r="AC196" s="7715"/>
      <c r="AD196" s="7715"/>
      <c r="AE196" s="7715"/>
      <c r="AF196" s="7715"/>
      <c r="AG196" s="7715"/>
      <c r="AH196" s="7715"/>
      <c r="AI196" s="7715"/>
      <c r="AJ196" s="7715"/>
      <c r="AK196" s="7715"/>
      <c r="AL196" s="1421"/>
      <c r="AM196" s="1949"/>
      <c r="AN196" s="1949"/>
      <c r="AO196" s="1421"/>
      <c r="AP196" s="1421"/>
      <c r="AQ196" s="1421"/>
      <c r="AR196" s="1421"/>
      <c r="AS196" s="1949"/>
      <c r="AT196" s="1421"/>
      <c r="AU196" s="1421"/>
      <c r="AV196" s="781"/>
      <c r="AW196" s="1421"/>
      <c r="AX196" s="1421"/>
      <c r="AY196" s="1421"/>
      <c r="AZ196" s="1421"/>
      <c r="BA196" s="1421"/>
      <c r="BB196" s="1945"/>
      <c r="BC196" s="803"/>
      <c r="BD196" s="803"/>
      <c r="BE196" s="803"/>
      <c r="BF196" s="803"/>
    </row>
    <row s="10822" customFormat="1" customHeight="1" ht="11.25">
      <c r="A197" s="1243"/>
      <c r="B197" s="1949"/>
      <c r="C197" s="1949"/>
      <c r="D197" s="572"/>
      <c r="J197" s="7715"/>
      <c r="K197" s="7715"/>
      <c r="L197" s="7715"/>
      <c r="M197" s="7715"/>
      <c r="N197" s="7715"/>
      <c r="O197" s="7715"/>
      <c r="P197" s="7715"/>
      <c r="Q197" s="7715"/>
      <c r="R197" s="7715"/>
      <c r="S197" s="7715"/>
      <c r="T197" s="7715"/>
      <c r="U197" s="7715"/>
      <c r="V197" s="7715"/>
      <c r="W197" s="7715"/>
      <c r="X197" s="7715"/>
      <c r="Y197" s="7715"/>
      <c r="Z197" s="7715"/>
      <c r="AA197" s="7715"/>
      <c r="AB197" s="7715"/>
      <c r="AC197" s="7715"/>
      <c r="AD197" s="7715"/>
      <c r="AE197" s="7715"/>
      <c r="AF197" s="7715"/>
      <c r="AG197" s="7715"/>
      <c r="AH197" s="7715"/>
      <c r="AI197" s="7715"/>
      <c r="AJ197" s="7715"/>
      <c r="AK197" s="7715"/>
      <c r="AL197" s="1421"/>
      <c r="AM197" s="1949"/>
      <c r="AN197" s="1949"/>
      <c r="AO197" s="1421"/>
      <c r="AP197" s="1421"/>
      <c r="AQ197" s="1421"/>
      <c r="AR197" s="1421"/>
      <c r="AS197" s="1949"/>
      <c r="AT197" s="1421"/>
      <c r="AU197" s="1421"/>
      <c r="AV197" s="781"/>
      <c r="AW197" s="1421"/>
      <c r="AX197" s="1421"/>
      <c r="AY197" s="1421"/>
      <c r="AZ197" s="1421"/>
      <c r="BA197" s="1421"/>
      <c r="BB197" s="1945"/>
      <c r="BC197" s="803"/>
      <c r="BD197" s="803"/>
      <c r="BE197" s="803"/>
      <c r="BF197" s="803"/>
    </row>
    <row s="10822" customFormat="1" customHeight="1" ht="11.25">
      <c r="A198" s="1243"/>
      <c r="B198" s="1949"/>
      <c r="C198" s="1949"/>
      <c r="D198" s="572"/>
      <c r="J198" s="7715"/>
      <c r="K198" s="7715"/>
      <c r="L198" s="7715"/>
      <c r="M198" s="7715"/>
      <c r="N198" s="7715"/>
      <c r="O198" s="7715"/>
      <c r="P198" s="7715"/>
      <c r="Q198" s="7715"/>
      <c r="R198" s="7715"/>
      <c r="S198" s="7715"/>
      <c r="T198" s="7715"/>
      <c r="U198" s="7715"/>
      <c r="V198" s="7715"/>
      <c r="W198" s="7715"/>
      <c r="X198" s="7715"/>
      <c r="Y198" s="7715"/>
      <c r="Z198" s="7715"/>
      <c r="AA198" s="7715"/>
      <c r="AB198" s="7715"/>
      <c r="AC198" s="7715"/>
      <c r="AD198" s="7715"/>
      <c r="AE198" s="7715"/>
      <c r="AF198" s="7715"/>
      <c r="AG198" s="7715"/>
      <c r="AH198" s="7715"/>
      <c r="AI198" s="7715"/>
      <c r="AJ198" s="7715"/>
      <c r="AK198" s="7715"/>
      <c r="AL198" s="1421"/>
      <c r="AM198" s="1949"/>
      <c r="AN198" s="1949"/>
      <c r="AO198" s="1421"/>
      <c r="AP198" s="1421"/>
      <c r="AQ198" s="1421"/>
      <c r="AR198" s="1421"/>
      <c r="AS198" s="1949"/>
      <c r="AT198" s="1421"/>
      <c r="AU198" s="1421"/>
      <c r="AV198" s="781"/>
      <c r="AW198" s="1421"/>
      <c r="AX198" s="1421"/>
      <c r="AY198" s="1421"/>
      <c r="AZ198" s="1421"/>
      <c r="BA198" s="1421"/>
      <c r="BB198" s="1945"/>
      <c r="BC198" s="803"/>
      <c r="BD198" s="803"/>
      <c r="BE198" s="803"/>
      <c r="BF198" s="803"/>
    </row>
    <row s="10822" customFormat="1" customHeight="1" ht="11.25">
      <c r="A199" s="1243"/>
      <c r="B199" s="1949"/>
      <c r="C199" s="1949"/>
      <c r="D199" s="572"/>
      <c r="J199" s="7715"/>
      <c r="K199" s="7715"/>
      <c r="L199" s="7715"/>
      <c r="M199" s="7715"/>
      <c r="N199" s="7715"/>
      <c r="O199" s="7715"/>
      <c r="P199" s="7715"/>
      <c r="Q199" s="7715"/>
      <c r="R199" s="7715"/>
      <c r="S199" s="7715"/>
      <c r="T199" s="7715"/>
      <c r="U199" s="7715"/>
      <c r="V199" s="7715"/>
      <c r="W199" s="7715"/>
      <c r="X199" s="7715"/>
      <c r="Y199" s="7715"/>
      <c r="Z199" s="7715"/>
      <c r="AA199" s="7715"/>
      <c r="AB199" s="7715"/>
      <c r="AC199" s="7715"/>
      <c r="AD199" s="7715"/>
      <c r="AE199" s="7715"/>
      <c r="AF199" s="7715"/>
      <c r="AG199" s="7715"/>
      <c r="AH199" s="7715"/>
      <c r="AI199" s="7715"/>
      <c r="AJ199" s="7715"/>
      <c r="AK199" s="7715"/>
      <c r="AL199" s="1421"/>
      <c r="AM199" s="1949"/>
      <c r="AN199" s="1949"/>
      <c r="AO199" s="1421"/>
      <c r="AP199" s="1421"/>
      <c r="AQ199" s="1421"/>
      <c r="AR199" s="1421"/>
      <c r="AS199" s="1949"/>
      <c r="AT199" s="1421"/>
      <c r="AU199" s="1421"/>
      <c r="AV199" s="781"/>
      <c r="AW199" s="1421"/>
      <c r="AX199" s="1421"/>
      <c r="AY199" s="1421"/>
      <c r="AZ199" s="1421"/>
      <c r="BA199" s="1421"/>
      <c r="BB199" s="1945"/>
      <c r="BC199" s="803"/>
      <c r="BD199" s="803"/>
      <c r="BE199" s="803"/>
      <c r="BF199" s="803"/>
    </row>
    <row s="10822" customFormat="1" customHeight="1" ht="11.25">
      <c r="A200" s="1243"/>
      <c r="B200" s="1949"/>
      <c r="C200" s="1949"/>
      <c r="D200" s="572"/>
      <c r="J200" s="7715"/>
      <c r="K200" s="7715"/>
      <c r="L200" s="7715"/>
      <c r="M200" s="7715"/>
      <c r="N200" s="7715"/>
      <c r="O200" s="7715"/>
      <c r="P200" s="7715"/>
      <c r="Q200" s="7715"/>
      <c r="R200" s="7715"/>
      <c r="S200" s="7715"/>
      <c r="T200" s="7715"/>
      <c r="U200" s="7715"/>
      <c r="V200" s="7715"/>
      <c r="W200" s="7715"/>
      <c r="X200" s="7715"/>
      <c r="Y200" s="7715"/>
      <c r="Z200" s="7715"/>
      <c r="AA200" s="7715"/>
      <c r="AB200" s="7715"/>
      <c r="AC200" s="7715"/>
      <c r="AD200" s="7715"/>
      <c r="AE200" s="7715"/>
      <c r="AF200" s="7715"/>
      <c r="AG200" s="7715"/>
      <c r="AH200" s="7715"/>
      <c r="AI200" s="7715"/>
      <c r="AJ200" s="7715"/>
      <c r="AK200" s="7715"/>
      <c r="AL200" s="1421"/>
      <c r="AM200" s="1949"/>
      <c r="AN200" s="1949"/>
      <c r="AO200" s="1421"/>
      <c r="AP200" s="1421"/>
      <c r="AQ200" s="1421"/>
      <c r="AR200" s="1421"/>
      <c r="AS200" s="1949"/>
      <c r="AT200" s="1421"/>
      <c r="AU200" s="1421"/>
      <c r="AV200" s="781"/>
      <c r="AW200" s="1421"/>
      <c r="AX200" s="1421"/>
      <c r="AY200" s="1421"/>
      <c r="AZ200" s="1421"/>
      <c r="BA200" s="1421"/>
      <c r="BB200" s="1945"/>
      <c r="BC200" s="803"/>
      <c r="BD200" s="803"/>
      <c r="BE200" s="803"/>
      <c r="BF200" s="803"/>
    </row>
    <row s="10822" customFormat="1" customHeight="1" ht="11.25">
      <c r="A201" s="1243"/>
      <c r="B201" s="1949"/>
      <c r="C201" s="1949"/>
      <c r="D201" s="572"/>
      <c r="J201" s="7715"/>
      <c r="K201" s="7715"/>
      <c r="L201" s="7715"/>
      <c r="M201" s="7715"/>
      <c r="N201" s="7715"/>
      <c r="O201" s="7715"/>
      <c r="P201" s="7715"/>
      <c r="Q201" s="7715"/>
      <c r="R201" s="7715"/>
      <c r="S201" s="7715"/>
      <c r="T201" s="7715"/>
      <c r="U201" s="7715"/>
      <c r="V201" s="7715"/>
      <c r="W201" s="7715"/>
      <c r="X201" s="7715"/>
      <c r="Y201" s="7715"/>
      <c r="Z201" s="7715"/>
      <c r="AA201" s="7715"/>
      <c r="AB201" s="7715"/>
      <c r="AC201" s="7715"/>
      <c r="AD201" s="7715"/>
      <c r="AE201" s="7715"/>
      <c r="AF201" s="7715"/>
      <c r="AG201" s="7715"/>
      <c r="AH201" s="7715"/>
      <c r="AI201" s="7715"/>
      <c r="AJ201" s="7715"/>
      <c r="AK201" s="7715"/>
      <c r="AL201" s="1421"/>
      <c r="AM201" s="1949"/>
      <c r="AN201" s="1949"/>
      <c r="AO201" s="1421"/>
      <c r="AP201" s="1421"/>
      <c r="AQ201" s="1421"/>
      <c r="AR201" s="1421"/>
      <c r="AS201" s="1949"/>
      <c r="AT201" s="1421"/>
      <c r="AU201" s="1421"/>
      <c r="AV201" s="781"/>
      <c r="AW201" s="1421"/>
      <c r="AX201" s="1421"/>
      <c r="AY201" s="1421"/>
      <c r="AZ201" s="1421"/>
      <c r="BA201" s="1421"/>
      <c r="BB201" s="1945"/>
      <c r="BC201" s="803"/>
      <c r="BD201" s="803"/>
      <c r="BE201" s="803"/>
      <c r="BF201" s="803"/>
    </row>
    <row s="10822" customFormat="1" customHeight="1" ht="11.25">
      <c r="A202" s="1243"/>
      <c r="B202" s="1949"/>
      <c r="C202" s="1949"/>
      <c r="D202" s="572"/>
      <c r="J202" s="7715"/>
      <c r="K202" s="7715"/>
      <c r="L202" s="7715"/>
      <c r="M202" s="7715"/>
      <c r="N202" s="7715"/>
      <c r="O202" s="7715"/>
      <c r="P202" s="7715"/>
      <c r="Q202" s="7715"/>
      <c r="R202" s="7715"/>
      <c r="S202" s="7715"/>
      <c r="T202" s="7715"/>
      <c r="U202" s="7715"/>
      <c r="V202" s="7715"/>
      <c r="W202" s="7715"/>
      <c r="X202" s="7715"/>
      <c r="Y202" s="7715"/>
      <c r="Z202" s="7715"/>
      <c r="AA202" s="7715"/>
      <c r="AB202" s="7715"/>
      <c r="AC202" s="7715"/>
      <c r="AD202" s="7715"/>
      <c r="AE202" s="7715"/>
      <c r="AF202" s="7715"/>
      <c r="AG202" s="7715"/>
      <c r="AH202" s="7715"/>
      <c r="AI202" s="7715"/>
      <c r="AJ202" s="7715"/>
      <c r="AK202" s="7715"/>
      <c r="AL202" s="1421"/>
      <c r="AM202" s="1949"/>
      <c r="AN202" s="1949"/>
      <c r="AO202" s="1421"/>
      <c r="AP202" s="1421"/>
      <c r="AQ202" s="1421"/>
      <c r="AR202" s="1421"/>
      <c r="AS202" s="1949"/>
      <c r="AT202" s="1421"/>
      <c r="AU202" s="1421"/>
      <c r="AV202" s="781"/>
      <c r="AW202" s="1421"/>
      <c r="AX202" s="1421"/>
      <c r="AY202" s="1421"/>
      <c r="AZ202" s="1421"/>
      <c r="BA202" s="1421"/>
      <c r="BB202" s="1945"/>
      <c r="BC202" s="803"/>
      <c r="BD202" s="803"/>
      <c r="BE202" s="803"/>
      <c r="BF202" s="803"/>
    </row>
    <row s="10822" customFormat="1" customHeight="1" ht="11.25">
      <c r="A203" s="1243"/>
      <c r="B203" s="1949"/>
      <c r="C203" s="1949"/>
      <c r="D203" s="572"/>
      <c r="J203" s="7715"/>
      <c r="K203" s="7715"/>
      <c r="L203" s="7715"/>
      <c r="M203" s="7715"/>
      <c r="N203" s="7715"/>
      <c r="O203" s="7715"/>
      <c r="P203" s="7715"/>
      <c r="Q203" s="7715"/>
      <c r="R203" s="7715"/>
      <c r="S203" s="7715"/>
      <c r="T203" s="7715"/>
      <c r="U203" s="7715"/>
      <c r="V203" s="7715"/>
      <c r="W203" s="7715"/>
      <c r="X203" s="7715"/>
      <c r="Y203" s="7715"/>
      <c r="Z203" s="7715"/>
      <c r="AA203" s="7715"/>
      <c r="AB203" s="7715"/>
      <c r="AC203" s="7715"/>
      <c r="AD203" s="7715"/>
      <c r="AE203" s="7715"/>
      <c r="AF203" s="7715"/>
      <c r="AG203" s="7715"/>
      <c r="AH203" s="7715"/>
      <c r="AI203" s="7715"/>
      <c r="AJ203" s="7715"/>
      <c r="AK203" s="7715"/>
      <c r="AL203" s="1421"/>
      <c r="AM203" s="1949"/>
      <c r="AN203" s="1949"/>
      <c r="AO203" s="1421"/>
      <c r="AP203" s="1421"/>
      <c r="AQ203" s="1421"/>
      <c r="AR203" s="1421"/>
      <c r="AS203" s="1949"/>
      <c r="AT203" s="1421"/>
      <c r="AU203" s="1421"/>
      <c r="AV203" s="781"/>
      <c r="AW203" s="1421"/>
      <c r="AX203" s="1421"/>
      <c r="AY203" s="1421"/>
      <c r="AZ203" s="1421"/>
      <c r="BA203" s="1421"/>
      <c r="BB203" s="1945"/>
      <c r="BC203" s="803"/>
      <c r="BD203" s="803"/>
      <c r="BE203" s="803"/>
      <c r="BF203" s="803"/>
    </row>
    <row s="10822" customFormat="1" customHeight="1" ht="11.25">
      <c r="A204" s="1243"/>
      <c r="B204" s="1949"/>
      <c r="C204" s="1949"/>
      <c r="D204" s="572"/>
      <c r="J204" s="7715"/>
      <c r="K204" s="7715"/>
      <c r="L204" s="7715"/>
      <c r="M204" s="7715"/>
      <c r="N204" s="7715"/>
      <c r="O204" s="7715"/>
      <c r="P204" s="7715"/>
      <c r="Q204" s="7715"/>
      <c r="R204" s="7715"/>
      <c r="S204" s="7715"/>
      <c r="T204" s="7715"/>
      <c r="U204" s="7715"/>
      <c r="V204" s="7715"/>
      <c r="W204" s="7715"/>
      <c r="X204" s="7715"/>
      <c r="Y204" s="7715"/>
      <c r="Z204" s="7715"/>
      <c r="AA204" s="7715"/>
      <c r="AB204" s="7715"/>
      <c r="AC204" s="7715"/>
      <c r="AD204" s="7715"/>
      <c r="AE204" s="7715"/>
      <c r="AF204" s="7715"/>
      <c r="AG204" s="7715"/>
      <c r="AH204" s="7715"/>
      <c r="AI204" s="7715"/>
      <c r="AJ204" s="7715"/>
      <c r="AK204" s="7715"/>
      <c r="AL204" s="1421"/>
      <c r="AM204" s="1949"/>
      <c r="AN204" s="1949"/>
      <c r="AO204" s="1421"/>
      <c r="AP204" s="1421"/>
      <c r="AQ204" s="1421"/>
      <c r="AR204" s="1421"/>
      <c r="AS204" s="1949"/>
      <c r="AT204" s="1421"/>
      <c r="AU204" s="1421"/>
      <c r="AV204" s="781"/>
      <c r="AW204" s="1421"/>
      <c r="AX204" s="1421"/>
      <c r="AY204" s="1421"/>
      <c r="AZ204" s="1421"/>
      <c r="BA204" s="1421"/>
      <c r="BB204" s="1945"/>
      <c r="BC204" s="803"/>
      <c r="BD204" s="803"/>
      <c r="BE204" s="803"/>
      <c r="BF204" s="803"/>
    </row>
    <row s="10822" customFormat="1" customHeight="1" ht="11.25">
      <c r="A205" s="1243"/>
      <c r="B205" s="1949"/>
      <c r="C205" s="1949"/>
      <c r="D205" s="572"/>
      <c r="J205" s="7715"/>
      <c r="K205" s="7715"/>
      <c r="L205" s="7715"/>
      <c r="M205" s="7715"/>
      <c r="N205" s="7715"/>
      <c r="O205" s="7715"/>
      <c r="P205" s="7715"/>
      <c r="Q205" s="7715"/>
      <c r="R205" s="7715"/>
      <c r="S205" s="7715"/>
      <c r="T205" s="7715"/>
      <c r="U205" s="7715"/>
      <c r="V205" s="7715"/>
      <c r="W205" s="7715"/>
      <c r="X205" s="7715"/>
      <c r="Y205" s="7715"/>
      <c r="Z205" s="7715"/>
      <c r="AA205" s="7715"/>
      <c r="AB205" s="7715"/>
      <c r="AC205" s="7715"/>
      <c r="AD205" s="7715"/>
      <c r="AE205" s="7715"/>
      <c r="AF205" s="7715"/>
      <c r="AG205" s="7715"/>
      <c r="AH205" s="7715"/>
      <c r="AI205" s="7715"/>
      <c r="AJ205" s="7715"/>
      <c r="AK205" s="7715"/>
      <c r="AL205" s="1421"/>
      <c r="AM205" s="1949"/>
      <c r="AN205" s="1949"/>
      <c r="AO205" s="1421"/>
      <c r="AP205" s="1421"/>
      <c r="AQ205" s="1421"/>
      <c r="AR205" s="1421"/>
      <c r="AS205" s="1949"/>
      <c r="AT205" s="1421"/>
      <c r="AU205" s="1421"/>
      <c r="AV205" s="781"/>
      <c r="AW205" s="1421"/>
      <c r="AX205" s="1421"/>
      <c r="AY205" s="1421"/>
      <c r="AZ205" s="1421"/>
      <c r="BA205" s="1421"/>
      <c r="BB205" s="1945"/>
      <c r="BC205" s="803"/>
      <c r="BD205" s="803"/>
      <c r="BE205" s="803"/>
      <c r="BF205" s="803"/>
    </row>
    <row s="10822" customFormat="1" customHeight="1" ht="11.25">
      <c r="A206" s="1243"/>
      <c r="B206" s="1949"/>
      <c r="C206" s="1949"/>
      <c r="D206" s="572"/>
      <c r="J206" s="7715"/>
      <c r="K206" s="7715"/>
      <c r="L206" s="7715"/>
      <c r="M206" s="7715"/>
      <c r="N206" s="7715"/>
      <c r="O206" s="7715"/>
      <c r="P206" s="7715"/>
      <c r="Q206" s="7715"/>
      <c r="R206" s="7715"/>
      <c r="S206" s="7715"/>
      <c r="T206" s="7715"/>
      <c r="U206" s="7715"/>
      <c r="V206" s="7715"/>
      <c r="W206" s="7715"/>
      <c r="X206" s="7715"/>
      <c r="Y206" s="7715"/>
      <c r="Z206" s="7715"/>
      <c r="AA206" s="7715"/>
      <c r="AB206" s="7715"/>
      <c r="AC206" s="7715"/>
      <c r="AD206" s="7715"/>
      <c r="AE206" s="7715"/>
      <c r="AF206" s="7715"/>
      <c r="AG206" s="7715"/>
      <c r="AH206" s="7715"/>
      <c r="AI206" s="7715"/>
      <c r="AJ206" s="7715"/>
      <c r="AK206" s="7715"/>
      <c r="AL206" s="1421"/>
      <c r="AM206" s="1949"/>
      <c r="AN206" s="1949"/>
      <c r="AO206" s="1421"/>
      <c r="AP206" s="1421"/>
      <c r="AQ206" s="1421"/>
      <c r="AR206" s="1421"/>
      <c r="AS206" s="1949"/>
      <c r="AT206" s="1421"/>
      <c r="AU206" s="1421"/>
      <c r="AV206" s="781"/>
      <c r="AW206" s="1421"/>
      <c r="AX206" s="1421"/>
      <c r="AY206" s="1421"/>
      <c r="AZ206" s="1421"/>
      <c r="BA206" s="1421"/>
      <c r="BB206" s="1945"/>
      <c r="BC206" s="803"/>
      <c r="BD206" s="803"/>
      <c r="BE206" s="803"/>
      <c r="BF206" s="803"/>
    </row>
    <row s="10822" customFormat="1" customHeight="1" ht="11.25">
      <c r="A207" s="1243"/>
      <c r="B207" s="1949"/>
      <c r="C207" s="1949"/>
      <c r="D207" s="572"/>
      <c r="J207" s="7715"/>
      <c r="K207" s="7715"/>
      <c r="L207" s="7715"/>
      <c r="M207" s="7715"/>
      <c r="N207" s="7715"/>
      <c r="O207" s="7715"/>
      <c r="P207" s="7715"/>
      <c r="Q207" s="7715"/>
      <c r="R207" s="7715"/>
      <c r="S207" s="7715"/>
      <c r="T207" s="7715"/>
      <c r="U207" s="7715"/>
      <c r="V207" s="7715"/>
      <c r="W207" s="7715"/>
      <c r="X207" s="7715"/>
      <c r="Y207" s="7715"/>
      <c r="Z207" s="7715"/>
      <c r="AA207" s="7715"/>
      <c r="AB207" s="7715"/>
      <c r="AC207" s="7715"/>
      <c r="AD207" s="7715"/>
      <c r="AE207" s="7715"/>
      <c r="AF207" s="7715"/>
      <c r="AG207" s="7715"/>
      <c r="AH207" s="7715"/>
      <c r="AI207" s="7715"/>
      <c r="AJ207" s="7715"/>
      <c r="AK207" s="7715"/>
      <c r="AL207" s="1421"/>
      <c r="AM207" s="1949"/>
      <c r="AN207" s="1949"/>
      <c r="AO207" s="1421"/>
      <c r="AP207" s="1421"/>
      <c r="AQ207" s="1421"/>
      <c r="AR207" s="1421"/>
      <c r="AS207" s="1949"/>
      <c r="AT207" s="1421"/>
      <c r="AU207" s="1421"/>
      <c r="AV207" s="781"/>
      <c r="AW207" s="1421"/>
      <c r="AX207" s="1421"/>
      <c r="AY207" s="1421"/>
      <c r="AZ207" s="1421"/>
      <c r="BA207" s="1421"/>
      <c r="BB207" s="1945"/>
      <c r="BC207" s="803"/>
      <c r="BD207" s="803"/>
      <c r="BE207" s="803"/>
      <c r="BF207" s="803"/>
    </row>
    <row s="10822" customFormat="1" customHeight="1" ht="11.25">
      <c r="A208" s="1243"/>
      <c r="B208" s="1949"/>
      <c r="C208" s="1949"/>
      <c r="D208" s="572"/>
      <c r="J208" s="7715"/>
      <c r="K208" s="7715"/>
      <c r="L208" s="7715"/>
      <c r="M208" s="7715"/>
      <c r="N208" s="7715"/>
      <c r="O208" s="7715"/>
      <c r="P208" s="7715"/>
      <c r="Q208" s="7715"/>
      <c r="R208" s="7715"/>
      <c r="S208" s="7715"/>
      <c r="T208" s="7715"/>
      <c r="U208" s="7715"/>
      <c r="V208" s="7715"/>
      <c r="W208" s="7715"/>
      <c r="X208" s="7715"/>
      <c r="Y208" s="7715"/>
      <c r="Z208" s="7715"/>
      <c r="AA208" s="7715"/>
      <c r="AB208" s="7715"/>
      <c r="AC208" s="7715"/>
      <c r="AD208" s="7715"/>
      <c r="AE208" s="7715"/>
      <c r="AF208" s="7715"/>
      <c r="AG208" s="7715"/>
      <c r="AH208" s="7715"/>
      <c r="AI208" s="7715"/>
      <c r="AJ208" s="7715"/>
      <c r="AK208" s="7715"/>
      <c r="AL208" s="1421"/>
      <c r="AM208" s="1949"/>
      <c r="AN208" s="1949"/>
      <c r="AO208" s="1421"/>
      <c r="AP208" s="1421"/>
      <c r="AQ208" s="1421"/>
      <c r="AR208" s="1421"/>
      <c r="AS208" s="1949"/>
      <c r="AT208" s="1421"/>
      <c r="AU208" s="1421"/>
      <c r="AV208" s="781"/>
      <c r="AW208" s="1421"/>
      <c r="AX208" s="1421"/>
      <c r="AY208" s="1421"/>
      <c r="AZ208" s="1421"/>
      <c r="BA208" s="1421"/>
      <c r="BB208" s="1945"/>
      <c r="BC208" s="803"/>
      <c r="BD208" s="803"/>
      <c r="BE208" s="803"/>
      <c r="BF208" s="803"/>
    </row>
    <row s="10822" customFormat="1" customHeight="1" ht="11.25">
      <c r="A209" s="1243"/>
      <c r="B209" s="1949"/>
      <c r="C209" s="1949"/>
      <c r="D209" s="572"/>
      <c r="J209" s="7715"/>
      <c r="K209" s="7715"/>
      <c r="L209" s="7715"/>
      <c r="M209" s="7715"/>
      <c r="N209" s="7715"/>
      <c r="O209" s="7715"/>
      <c r="P209" s="7715"/>
      <c r="Q209" s="7715"/>
      <c r="R209" s="7715"/>
      <c r="S209" s="7715"/>
      <c r="T209" s="7715"/>
      <c r="U209" s="7715"/>
      <c r="V209" s="7715"/>
      <c r="W209" s="7715"/>
      <c r="X209" s="7715"/>
      <c r="Y209" s="7715"/>
      <c r="Z209" s="7715"/>
      <c r="AA209" s="7715"/>
      <c r="AB209" s="7715"/>
      <c r="AC209" s="7715"/>
      <c r="AD209" s="7715"/>
      <c r="AE209" s="7715"/>
      <c r="AF209" s="7715"/>
      <c r="AG209" s="7715"/>
      <c r="AH209" s="7715"/>
      <c r="AI209" s="7715"/>
      <c r="AJ209" s="7715"/>
      <c r="AK209" s="7715"/>
      <c r="AL209" s="1421"/>
      <c r="AM209" s="1949"/>
      <c r="AN209" s="1949"/>
      <c r="AO209" s="1421"/>
      <c r="AP209" s="1421"/>
      <c r="AQ209" s="1421"/>
      <c r="AR209" s="1421"/>
      <c r="AS209" s="1949"/>
      <c r="AT209" s="1421"/>
      <c r="AU209" s="1421"/>
      <c r="AV209" s="781"/>
      <c r="AW209" s="1421"/>
      <c r="AX209" s="1421"/>
      <c r="AY209" s="1421"/>
      <c r="AZ209" s="1421"/>
      <c r="BA209" s="1421"/>
      <c r="BB209" s="1945"/>
      <c r="BC209" s="803"/>
      <c r="BD209" s="803"/>
      <c r="BE209" s="803"/>
      <c r="BF209" s="803"/>
    </row>
    <row s="10822" customFormat="1" customHeight="1" ht="11.25">
      <c r="A210" s="1243"/>
      <c r="B210" s="1949"/>
      <c r="C210" s="1949"/>
      <c r="D210" s="572"/>
      <c r="J210" s="7715"/>
      <c r="K210" s="7715"/>
      <c r="L210" s="7715"/>
      <c r="M210" s="7715"/>
      <c r="N210" s="7715"/>
      <c r="O210" s="7715"/>
      <c r="P210" s="7715"/>
      <c r="Q210" s="7715"/>
      <c r="R210" s="7715"/>
      <c r="S210" s="7715"/>
      <c r="T210" s="7715"/>
      <c r="U210" s="7715"/>
      <c r="V210" s="7715"/>
      <c r="W210" s="7715"/>
      <c r="X210" s="7715"/>
      <c r="Y210" s="7715"/>
      <c r="Z210" s="7715"/>
      <c r="AA210" s="7715"/>
      <c r="AB210" s="7715"/>
      <c r="AC210" s="7715"/>
      <c r="AD210" s="7715"/>
      <c r="AE210" s="7715"/>
      <c r="AF210" s="7715"/>
      <c r="AG210" s="7715"/>
      <c r="AH210" s="7715"/>
      <c r="AI210" s="7715"/>
      <c r="AJ210" s="7715"/>
      <c r="AK210" s="7715"/>
      <c r="AL210" s="1421"/>
      <c r="AM210" s="1949"/>
      <c r="AN210" s="1949"/>
      <c r="AO210" s="1421"/>
      <c r="AP210" s="1421"/>
      <c r="AQ210" s="1421"/>
      <c r="AR210" s="1421"/>
      <c r="AS210" s="1949"/>
      <c r="AT210" s="1421"/>
      <c r="AU210" s="1421"/>
      <c r="AV210" s="781"/>
      <c r="AW210" s="1421"/>
      <c r="AX210" s="1421"/>
      <c r="AY210" s="1421"/>
      <c r="AZ210" s="1421"/>
      <c r="BA210" s="1421"/>
      <c r="BB210" s="1945"/>
      <c r="BC210" s="803"/>
      <c r="BD210" s="803"/>
      <c r="BE210" s="803"/>
      <c r="BF210" s="803"/>
    </row>
    <row s="10822" customFormat="1" customHeight="1" ht="11.25">
      <c r="A211" s="1243"/>
      <c r="B211" s="1949"/>
      <c r="C211" s="1949"/>
      <c r="D211" s="572"/>
      <c r="J211" s="7715"/>
      <c r="K211" s="7715"/>
      <c r="L211" s="7715"/>
      <c r="M211" s="7715"/>
      <c r="N211" s="7715"/>
      <c r="O211" s="7715"/>
      <c r="P211" s="7715"/>
      <c r="Q211" s="7715"/>
      <c r="R211" s="7715"/>
      <c r="S211" s="7715"/>
      <c r="T211" s="7715"/>
      <c r="U211" s="7715"/>
      <c r="V211" s="7715"/>
      <c r="W211" s="7715"/>
      <c r="X211" s="7715"/>
      <c r="Y211" s="7715"/>
      <c r="Z211" s="7715"/>
      <c r="AA211" s="7715"/>
      <c r="AB211" s="7715"/>
      <c r="AC211" s="7715"/>
      <c r="AD211" s="7715"/>
      <c r="AE211" s="7715"/>
      <c r="AF211" s="7715"/>
      <c r="AG211" s="7715"/>
      <c r="AH211" s="7715"/>
      <c r="AI211" s="7715"/>
      <c r="AJ211" s="7715"/>
      <c r="AK211" s="7715"/>
      <c r="AL211" s="1421"/>
      <c r="AM211" s="1949"/>
      <c r="AN211" s="1949"/>
      <c r="AO211" s="1421"/>
      <c r="AP211" s="1421"/>
      <c r="AQ211" s="1421"/>
      <c r="AR211" s="1421"/>
      <c r="AS211" s="1949"/>
      <c r="AT211" s="1421"/>
      <c r="AU211" s="1421"/>
      <c r="AV211" s="781"/>
      <c r="AW211" s="1421"/>
      <c r="AX211" s="1421"/>
      <c r="AY211" s="1421"/>
      <c r="AZ211" s="1421"/>
      <c r="BA211" s="1421"/>
      <c r="BB211" s="1945"/>
      <c r="BC211" s="803"/>
      <c r="BD211" s="803"/>
      <c r="BE211" s="803"/>
      <c r="BF211" s="803"/>
    </row>
    <row s="10822" customFormat="1" customHeight="1" ht="11.25">
      <c r="A212" s="1243"/>
      <c r="B212" s="1949"/>
      <c r="C212" s="1949"/>
      <c r="D212" s="572"/>
      <c r="J212" s="7715"/>
      <c r="K212" s="7715"/>
      <c r="L212" s="7715"/>
      <c r="M212" s="7715"/>
      <c r="N212" s="7715"/>
      <c r="O212" s="7715"/>
      <c r="P212" s="7715"/>
      <c r="Q212" s="7715"/>
      <c r="R212" s="7715"/>
      <c r="S212" s="7715"/>
      <c r="T212" s="7715"/>
      <c r="U212" s="7715"/>
      <c r="V212" s="7715"/>
      <c r="W212" s="7715"/>
      <c r="X212" s="7715"/>
      <c r="Y212" s="7715"/>
      <c r="Z212" s="7715"/>
      <c r="AA212" s="7715"/>
      <c r="AB212" s="7715"/>
      <c r="AC212" s="7715"/>
      <c r="AD212" s="7715"/>
      <c r="AE212" s="7715"/>
      <c r="AF212" s="7715"/>
      <c r="AG212" s="7715"/>
      <c r="AH212" s="7715"/>
      <c r="AI212" s="7715"/>
      <c r="AJ212" s="7715"/>
      <c r="AK212" s="7715"/>
      <c r="AL212" s="1421"/>
      <c r="AM212" s="1949"/>
      <c r="AN212" s="1949"/>
      <c r="AO212" s="1421"/>
      <c r="AP212" s="1421"/>
      <c r="AQ212" s="1421"/>
      <c r="AR212" s="1421"/>
      <c r="AS212" s="1949"/>
      <c r="AT212" s="1421"/>
      <c r="AU212" s="1421"/>
      <c r="AV212" s="781"/>
      <c r="AW212" s="1421"/>
      <c r="AX212" s="1421"/>
      <c r="AY212" s="1421"/>
      <c r="AZ212" s="1421"/>
      <c r="BA212" s="1421"/>
      <c r="BB212" s="1945"/>
      <c r="BC212" s="803"/>
      <c r="BD212" s="803"/>
      <c r="BE212" s="803"/>
      <c r="BF212" s="803"/>
    </row>
    <row s="10822" customFormat="1" customHeight="1" ht="11.25">
      <c r="A213" s="1243"/>
      <c r="B213" s="1949"/>
      <c r="C213" s="1949"/>
      <c r="D213" s="572"/>
      <c r="J213" s="7715"/>
      <c r="K213" s="7715"/>
      <c r="L213" s="7715"/>
      <c r="M213" s="7715"/>
      <c r="N213" s="7715"/>
      <c r="O213" s="7715"/>
      <c r="P213" s="7715"/>
      <c r="Q213" s="7715"/>
      <c r="R213" s="7715"/>
      <c r="S213" s="7715"/>
      <c r="T213" s="7715"/>
      <c r="U213" s="7715"/>
      <c r="V213" s="7715"/>
      <c r="W213" s="7715"/>
      <c r="X213" s="7715"/>
      <c r="Y213" s="7715"/>
      <c r="Z213" s="7715"/>
      <c r="AA213" s="7715"/>
      <c r="AB213" s="7715"/>
      <c r="AC213" s="7715"/>
      <c r="AD213" s="7715"/>
      <c r="AE213" s="7715"/>
      <c r="AF213" s="7715"/>
      <c r="AG213" s="7715"/>
      <c r="AH213" s="7715"/>
      <c r="AI213" s="7715"/>
      <c r="AJ213" s="7715"/>
      <c r="AK213" s="7715"/>
      <c r="AL213" s="1421"/>
      <c r="AM213" s="1949"/>
      <c r="AN213" s="1949"/>
      <c r="AO213" s="1421"/>
      <c r="AP213" s="1421"/>
      <c r="AQ213" s="1421"/>
      <c r="AR213" s="1421"/>
      <c r="AS213" s="1949"/>
      <c r="AT213" s="1421"/>
      <c r="AU213" s="1421"/>
      <c r="AV213" s="781"/>
      <c r="AW213" s="1421"/>
      <c r="AX213" s="1421"/>
      <c r="AY213" s="1421"/>
      <c r="AZ213" s="1421"/>
      <c r="BA213" s="1421"/>
      <c r="BB213" s="1945"/>
      <c r="BC213" s="803"/>
      <c r="BD213" s="803"/>
      <c r="BE213" s="803"/>
      <c r="BF213" s="803"/>
    </row>
    <row s="10822" customFormat="1" customHeight="1" ht="11.25">
      <c r="A214" s="1243"/>
      <c r="B214" s="1949"/>
      <c r="C214" s="1949"/>
      <c r="D214" s="572"/>
      <c r="J214" s="7715"/>
      <c r="K214" s="7715"/>
      <c r="L214" s="7715"/>
      <c r="M214" s="7715"/>
      <c r="N214" s="7715"/>
      <c r="O214" s="7715"/>
      <c r="P214" s="7715"/>
      <c r="Q214" s="7715"/>
      <c r="R214" s="7715"/>
      <c r="S214" s="7715"/>
      <c r="T214" s="7715"/>
      <c r="U214" s="7715"/>
      <c r="V214" s="7715"/>
      <c r="W214" s="7715"/>
      <c r="X214" s="7715"/>
      <c r="Y214" s="7715"/>
      <c r="Z214" s="7715"/>
      <c r="AA214" s="7715"/>
      <c r="AB214" s="7715"/>
      <c r="AC214" s="7715"/>
      <c r="AD214" s="7715"/>
      <c r="AE214" s="7715"/>
      <c r="AF214" s="7715"/>
      <c r="AG214" s="7715"/>
      <c r="AH214" s="7715"/>
      <c r="AI214" s="7715"/>
      <c r="AJ214" s="7715"/>
      <c r="AK214" s="7715"/>
      <c r="AL214" s="1421"/>
      <c r="AM214" s="1949"/>
      <c r="AN214" s="1949"/>
      <c r="AO214" s="1421"/>
      <c r="AP214" s="1421"/>
      <c r="AQ214" s="1421"/>
      <c r="AR214" s="1421"/>
      <c r="AS214" s="1949"/>
      <c r="AT214" s="1421"/>
      <c r="AU214" s="1421"/>
      <c r="AV214" s="781"/>
      <c r="AW214" s="1421"/>
      <c r="AX214" s="1421"/>
      <c r="AY214" s="1421"/>
      <c r="AZ214" s="1421"/>
      <c r="BA214" s="1421"/>
      <c r="BB214" s="1945"/>
      <c r="BC214" s="803"/>
      <c r="BD214" s="803"/>
      <c r="BE214" s="803"/>
      <c r="BF214" s="803"/>
    </row>
    <row s="10822" customFormat="1" customHeight="1" ht="11.25">
      <c r="A215" s="1243"/>
      <c r="B215" s="1949"/>
      <c r="C215" s="1949"/>
      <c r="D215" s="572"/>
      <c r="J215" s="7715"/>
      <c r="K215" s="7715"/>
      <c r="L215" s="7715"/>
      <c r="M215" s="7715"/>
      <c r="N215" s="7715"/>
      <c r="O215" s="7715"/>
      <c r="P215" s="7715"/>
      <c r="Q215" s="7715"/>
      <c r="R215" s="7715"/>
      <c r="S215" s="7715"/>
      <c r="T215" s="7715"/>
      <c r="U215" s="7715"/>
      <c r="V215" s="7715"/>
      <c r="W215" s="7715"/>
      <c r="X215" s="7715"/>
      <c r="Y215" s="7715"/>
      <c r="Z215" s="7715"/>
      <c r="AA215" s="7715"/>
      <c r="AB215" s="7715"/>
      <c r="AC215" s="7715"/>
      <c r="AD215" s="7715"/>
      <c r="AE215" s="7715"/>
      <c r="AF215" s="7715"/>
      <c r="AG215" s="7715"/>
      <c r="AH215" s="7715"/>
      <c r="AI215" s="7715"/>
      <c r="AJ215" s="7715"/>
      <c r="AK215" s="7715"/>
      <c r="AL215" s="1421"/>
      <c r="AM215" s="1949"/>
      <c r="AN215" s="1949"/>
      <c r="AO215" s="1421"/>
      <c r="AP215" s="1421"/>
      <c r="AQ215" s="1421"/>
      <c r="AR215" s="1421"/>
      <c r="AS215" s="1949"/>
      <c r="AT215" s="1421"/>
      <c r="AU215" s="1421"/>
      <c r="AV215" s="781"/>
      <c r="AW215" s="1421"/>
      <c r="AX215" s="1421"/>
      <c r="AY215" s="1421"/>
      <c r="AZ215" s="1421"/>
      <c r="BA215" s="1421"/>
      <c r="BB215" s="1945"/>
      <c r="BC215" s="803"/>
      <c r="BD215" s="803"/>
      <c r="BE215" s="803"/>
      <c r="BF215" s="803"/>
    </row>
    <row s="10822" customFormat="1" customHeight="1" ht="11.25">
      <c r="A216" s="1243"/>
      <c r="B216" s="1949"/>
      <c r="C216" s="1949"/>
      <c r="D216" s="572"/>
      <c r="J216" s="7715"/>
      <c r="K216" s="7715"/>
      <c r="L216" s="7715"/>
      <c r="M216" s="7715"/>
      <c r="N216" s="7715"/>
      <c r="O216" s="7715"/>
      <c r="P216" s="7715"/>
      <c r="Q216" s="7715"/>
      <c r="R216" s="7715"/>
      <c r="S216" s="7715"/>
      <c r="T216" s="7715"/>
      <c r="U216" s="7715"/>
      <c r="V216" s="7715"/>
      <c r="W216" s="7715"/>
      <c r="X216" s="7715"/>
      <c r="Y216" s="7715"/>
      <c r="Z216" s="7715"/>
      <c r="AA216" s="7715"/>
      <c r="AB216" s="7715"/>
      <c r="AC216" s="7715"/>
      <c r="AD216" s="7715"/>
      <c r="AE216" s="7715"/>
      <c r="AF216" s="7715"/>
      <c r="AG216" s="7715"/>
      <c r="AH216" s="7715"/>
      <c r="AI216" s="7715"/>
      <c r="AJ216" s="7715"/>
      <c r="AK216" s="7715"/>
      <c r="AL216" s="1421"/>
      <c r="AM216" s="1949"/>
      <c r="AN216" s="1949"/>
      <c r="AO216" s="1421"/>
      <c r="AP216" s="1421"/>
      <c r="AQ216" s="1421"/>
      <c r="AR216" s="1421"/>
      <c r="AS216" s="1949"/>
      <c r="AT216" s="1421"/>
      <c r="AU216" s="1421"/>
      <c r="AV216" s="781"/>
      <c r="AW216" s="1421"/>
      <c r="AX216" s="1421"/>
      <c r="AY216" s="1421"/>
      <c r="AZ216" s="1421"/>
      <c r="BA216" s="1421"/>
      <c r="BB216" s="1945"/>
      <c r="BC216" s="803"/>
      <c r="BD216" s="803"/>
      <c r="BE216" s="803"/>
      <c r="BF216" s="803"/>
    </row>
    <row s="10822" customFormat="1" customHeight="1" ht="11.25">
      <c r="A217" s="1243"/>
      <c r="B217" s="1949"/>
      <c r="C217" s="1949"/>
      <c r="D217" s="572"/>
      <c r="J217" s="7715"/>
      <c r="K217" s="7715"/>
      <c r="L217" s="7715"/>
      <c r="M217" s="7715"/>
      <c r="N217" s="7715"/>
      <c r="O217" s="7715"/>
      <c r="P217" s="7715"/>
      <c r="Q217" s="7715"/>
      <c r="R217" s="7715"/>
      <c r="S217" s="7715"/>
      <c r="T217" s="7715"/>
      <c r="U217" s="7715"/>
      <c r="V217" s="7715"/>
      <c r="W217" s="7715"/>
      <c r="X217" s="7715"/>
      <c r="Y217" s="7715"/>
      <c r="Z217" s="7715"/>
      <c r="AA217" s="7715"/>
      <c r="AB217" s="7715"/>
      <c r="AC217" s="7715"/>
      <c r="AD217" s="7715"/>
      <c r="AE217" s="7715"/>
      <c r="AF217" s="7715"/>
      <c r="AG217" s="7715"/>
      <c r="AH217" s="7715"/>
      <c r="AI217" s="7715"/>
      <c r="AJ217" s="7715"/>
      <c r="AK217" s="7715"/>
      <c r="AL217" s="1421"/>
      <c r="AM217" s="1949"/>
      <c r="AN217" s="1949"/>
      <c r="AO217" s="1421"/>
      <c r="AP217" s="1421"/>
      <c r="AQ217" s="1421"/>
      <c r="AR217" s="1421"/>
      <c r="AS217" s="1949"/>
      <c r="AT217" s="1421"/>
      <c r="AU217" s="1421"/>
      <c r="AV217" s="781"/>
      <c r="AW217" s="1421"/>
      <c r="AX217" s="1421"/>
      <c r="AY217" s="1421"/>
      <c r="AZ217" s="1421"/>
      <c r="BA217" s="1421"/>
      <c r="BB217" s="1945"/>
      <c r="BC217" s="803"/>
      <c r="BD217" s="803"/>
      <c r="BE217" s="803"/>
      <c r="BF217" s="803"/>
    </row>
    <row s="10822" customFormat="1" customHeight="1" ht="11.25">
      <c r="A218" s="1243"/>
      <c r="B218" s="1949"/>
      <c r="C218" s="1949"/>
      <c r="D218" s="572"/>
      <c r="J218" s="7715"/>
      <c r="K218" s="7715"/>
      <c r="L218" s="7715"/>
      <c r="M218" s="7715"/>
      <c r="N218" s="7715"/>
      <c r="O218" s="7715"/>
      <c r="P218" s="7715"/>
      <c r="Q218" s="7715"/>
      <c r="R218" s="7715"/>
      <c r="S218" s="7715"/>
      <c r="T218" s="7715"/>
      <c r="U218" s="7715"/>
      <c r="V218" s="7715"/>
      <c r="W218" s="7715"/>
      <c r="X218" s="7715"/>
      <c r="Y218" s="7715"/>
      <c r="Z218" s="7715"/>
      <c r="AA218" s="7715"/>
      <c r="AB218" s="7715"/>
      <c r="AC218" s="7715"/>
      <c r="AD218" s="7715"/>
      <c r="AE218" s="7715"/>
      <c r="AF218" s="7715"/>
      <c r="AG218" s="7715"/>
      <c r="AH218" s="7715"/>
      <c r="AI218" s="7715"/>
      <c r="AJ218" s="7715"/>
      <c r="AK218" s="7715"/>
      <c r="AL218" s="1421"/>
      <c r="AM218" s="1949"/>
      <c r="AN218" s="1949"/>
      <c r="AO218" s="1421"/>
      <c r="AP218" s="1421"/>
      <c r="AQ218" s="1421"/>
      <c r="AR218" s="1421"/>
      <c r="AS218" s="1949"/>
      <c r="AT218" s="1421"/>
      <c r="AU218" s="1421"/>
      <c r="AV218" s="781"/>
      <c r="AW218" s="1421"/>
      <c r="AX218" s="1421"/>
      <c r="AY218" s="1421"/>
      <c r="AZ218" s="1421"/>
      <c r="BA218" s="1421"/>
      <c r="BB218" s="1945"/>
      <c r="BC218" s="803"/>
      <c r="BD218" s="803"/>
      <c r="BE218" s="803"/>
      <c r="BF218" s="803"/>
    </row>
    <row s="10822" customFormat="1" customHeight="1" ht="11.25">
      <c r="A219" s="1243"/>
      <c r="B219" s="1949"/>
      <c r="C219" s="1949"/>
      <c r="D219" s="572"/>
      <c r="J219" s="7715"/>
      <c r="K219" s="7715"/>
      <c r="L219" s="7715"/>
      <c r="M219" s="7715"/>
      <c r="N219" s="7715"/>
      <c r="O219" s="7715"/>
      <c r="P219" s="7715"/>
      <c r="Q219" s="7715"/>
      <c r="R219" s="7715"/>
      <c r="S219" s="7715"/>
      <c r="T219" s="7715"/>
      <c r="U219" s="7715"/>
      <c r="V219" s="7715"/>
      <c r="W219" s="7715"/>
      <c r="X219" s="7715"/>
      <c r="Y219" s="7715"/>
      <c r="Z219" s="7715"/>
      <c r="AA219" s="7715"/>
      <c r="AB219" s="7715"/>
      <c r="AC219" s="7715"/>
      <c r="AD219" s="7715"/>
      <c r="AE219" s="7715"/>
      <c r="AF219" s="7715"/>
      <c r="AG219" s="7715"/>
      <c r="AH219" s="7715"/>
      <c r="AI219" s="7715"/>
      <c r="AJ219" s="7715"/>
      <c r="AK219" s="7715"/>
      <c r="AL219" s="1421"/>
      <c r="AM219" s="1949"/>
      <c r="AN219" s="1949"/>
      <c r="AO219" s="1421"/>
      <c r="AP219" s="1421"/>
      <c r="AQ219" s="1421"/>
      <c r="AR219" s="1421"/>
      <c r="AS219" s="1949"/>
      <c r="AT219" s="1421"/>
      <c r="AU219" s="1421"/>
      <c r="AV219" s="781"/>
      <c r="AW219" s="1421"/>
      <c r="AX219" s="1421"/>
      <c r="AY219" s="1421"/>
      <c r="AZ219" s="1421"/>
      <c r="BA219" s="1421"/>
      <c r="BB219" s="1945"/>
      <c r="BC219" s="803"/>
      <c r="BD219" s="803"/>
      <c r="BE219" s="803"/>
      <c r="BF219" s="803"/>
    </row>
    <row s="10822" customFormat="1" customHeight="1" ht="11.25">
      <c r="A220" s="1243"/>
      <c r="B220" s="1949"/>
      <c r="C220" s="1949"/>
      <c r="D220" s="572"/>
      <c r="J220" s="7715"/>
      <c r="K220" s="7715"/>
      <c r="L220" s="7715"/>
      <c r="M220" s="7715"/>
      <c r="N220" s="7715"/>
      <c r="O220" s="7715"/>
      <c r="P220" s="7715"/>
      <c r="Q220" s="7715"/>
      <c r="R220" s="7715"/>
      <c r="S220" s="7715"/>
      <c r="T220" s="7715"/>
      <c r="U220" s="7715"/>
      <c r="V220" s="7715"/>
      <c r="W220" s="7715"/>
      <c r="X220" s="7715"/>
      <c r="Y220" s="7715"/>
      <c r="Z220" s="7715"/>
      <c r="AA220" s="7715"/>
      <c r="AB220" s="7715"/>
      <c r="AC220" s="7715"/>
      <c r="AD220" s="7715"/>
      <c r="AE220" s="7715"/>
      <c r="AF220" s="7715"/>
      <c r="AG220" s="7715"/>
      <c r="AH220" s="7715"/>
      <c r="AI220" s="7715"/>
      <c r="AJ220" s="7715"/>
      <c r="AK220" s="7715"/>
      <c r="AL220" s="1421"/>
      <c r="AM220" s="1949"/>
      <c r="AN220" s="1949"/>
      <c r="AO220" s="1421"/>
      <c r="AP220" s="1421"/>
      <c r="AQ220" s="1421"/>
      <c r="AR220" s="1421"/>
      <c r="AS220" s="1949"/>
      <c r="AT220" s="1421"/>
      <c r="AU220" s="1421"/>
      <c r="AV220" s="781"/>
      <c r="AW220" s="1421"/>
      <c r="AX220" s="1421"/>
      <c r="AY220" s="1421"/>
      <c r="AZ220" s="1421"/>
      <c r="BA220" s="1421"/>
      <c r="BB220" s="1945"/>
      <c r="BC220" s="803"/>
      <c r="BD220" s="803"/>
      <c r="BE220" s="803"/>
      <c r="BF220" s="803"/>
    </row>
    <row s="10822" customFormat="1" customHeight="1" ht="11.25">
      <c r="A221" s="1243"/>
      <c r="B221" s="1949"/>
      <c r="C221" s="1949"/>
      <c r="D221" s="572"/>
      <c r="J221" s="7715"/>
      <c r="K221" s="7715"/>
      <c r="L221" s="7715"/>
      <c r="M221" s="7715"/>
      <c r="N221" s="7715"/>
      <c r="O221" s="7715"/>
      <c r="P221" s="7715"/>
      <c r="Q221" s="7715"/>
      <c r="R221" s="7715"/>
      <c r="S221" s="7715"/>
      <c r="T221" s="7715"/>
      <c r="U221" s="7715"/>
      <c r="V221" s="7715"/>
      <c r="W221" s="7715"/>
      <c r="X221" s="7715"/>
      <c r="Y221" s="7715"/>
      <c r="Z221" s="7715"/>
      <c r="AA221" s="7715"/>
      <c r="AB221" s="7715"/>
      <c r="AC221" s="7715"/>
      <c r="AD221" s="7715"/>
      <c r="AE221" s="7715"/>
      <c r="AF221" s="7715"/>
      <c r="AG221" s="7715"/>
      <c r="AH221" s="7715"/>
      <c r="AI221" s="7715"/>
      <c r="AJ221" s="7715"/>
      <c r="AK221" s="7715"/>
      <c r="AL221" s="1421"/>
      <c r="AM221" s="1949"/>
      <c r="AN221" s="1949"/>
      <c r="AO221" s="1421"/>
      <c r="AP221" s="1421"/>
      <c r="AQ221" s="1421"/>
      <c r="AR221" s="1421"/>
      <c r="AS221" s="1949"/>
      <c r="AT221" s="1421"/>
      <c r="AU221" s="1421"/>
      <c r="AV221" s="781"/>
      <c r="AW221" s="1421"/>
      <c r="AX221" s="1421"/>
      <c r="AY221" s="1421"/>
      <c r="AZ221" s="1421"/>
      <c r="BA221" s="1421"/>
      <c r="BB221" s="1945"/>
      <c r="BC221" s="803"/>
      <c r="BD221" s="803"/>
      <c r="BE221" s="803"/>
      <c r="BF221" s="803"/>
    </row>
    <row s="10822" customFormat="1" customHeight="1" ht="11.25">
      <c r="A222" s="1243"/>
      <c r="B222" s="1949"/>
      <c r="C222" s="1949"/>
      <c r="D222" s="572"/>
      <c r="J222" s="7715"/>
      <c r="K222" s="7715"/>
      <c r="L222" s="7715"/>
      <c r="M222" s="7715"/>
      <c r="N222" s="7715"/>
      <c r="O222" s="7715"/>
      <c r="P222" s="7715"/>
      <c r="Q222" s="7715"/>
      <c r="R222" s="7715"/>
      <c r="S222" s="7715"/>
      <c r="T222" s="7715"/>
      <c r="U222" s="7715"/>
      <c r="V222" s="7715"/>
      <c r="W222" s="7715"/>
      <c r="X222" s="7715"/>
      <c r="Y222" s="7715"/>
      <c r="Z222" s="7715"/>
      <c r="AA222" s="7715"/>
      <c r="AB222" s="7715"/>
      <c r="AC222" s="7715"/>
      <c r="AD222" s="7715"/>
      <c r="AE222" s="7715"/>
      <c r="AF222" s="7715"/>
      <c r="AG222" s="7715"/>
      <c r="AH222" s="7715"/>
      <c r="AI222" s="7715"/>
      <c r="AJ222" s="7715"/>
      <c r="AK222" s="7715"/>
      <c r="AL222" s="1421"/>
      <c r="AM222" s="1949"/>
      <c r="AN222" s="1949"/>
      <c r="AO222" s="1421"/>
      <c r="AP222" s="1421"/>
      <c r="AQ222" s="1421"/>
      <c r="AR222" s="1421"/>
      <c r="AS222" s="1949"/>
      <c r="AT222" s="1421"/>
      <c r="AU222" s="1421"/>
      <c r="AV222" s="781"/>
      <c r="AW222" s="1421"/>
      <c r="AX222" s="1421"/>
      <c r="AY222" s="1421"/>
      <c r="AZ222" s="1421"/>
      <c r="BA222" s="1421"/>
      <c r="BB222" s="1945"/>
      <c r="BC222" s="803"/>
      <c r="BD222" s="803"/>
      <c r="BE222" s="803"/>
      <c r="BF222" s="803"/>
    </row>
    <row s="10822" customFormat="1" customHeight="1" ht="11.25">
      <c r="A223" s="1243"/>
      <c r="B223" s="1949"/>
      <c r="C223" s="1949"/>
      <c r="D223" s="572"/>
      <c r="J223" s="7715"/>
      <c r="K223" s="7715"/>
      <c r="L223" s="7715"/>
      <c r="M223" s="7715"/>
      <c r="N223" s="7715"/>
      <c r="O223" s="7715"/>
      <c r="P223" s="7715"/>
      <c r="Q223" s="7715"/>
      <c r="R223" s="7715"/>
      <c r="S223" s="7715"/>
      <c r="T223" s="7715"/>
      <c r="U223" s="7715"/>
      <c r="V223" s="7715"/>
      <c r="W223" s="7715"/>
      <c r="X223" s="7715"/>
      <c r="Y223" s="7715"/>
      <c r="Z223" s="7715"/>
      <c r="AA223" s="7715"/>
      <c r="AB223" s="7715"/>
      <c r="AC223" s="7715"/>
      <c r="AD223" s="7715"/>
      <c r="AE223" s="7715"/>
      <c r="AF223" s="7715"/>
      <c r="AG223" s="7715"/>
      <c r="AH223" s="7715"/>
      <c r="AI223" s="7715"/>
      <c r="AJ223" s="7715"/>
      <c r="AK223" s="7715"/>
      <c r="AL223" s="1421"/>
      <c r="AM223" s="1949"/>
      <c r="AN223" s="1949"/>
      <c r="AO223" s="1421"/>
      <c r="AP223" s="1421"/>
      <c r="AQ223" s="1421"/>
      <c r="AR223" s="1421"/>
      <c r="AS223" s="1949"/>
      <c r="AT223" s="1421"/>
      <c r="AU223" s="1421"/>
      <c r="AV223" s="781"/>
      <c r="AW223" s="1421"/>
      <c r="AX223" s="1421"/>
      <c r="AY223" s="1421"/>
      <c r="AZ223" s="1421"/>
      <c r="BA223" s="1421"/>
      <c r="BB223" s="1945"/>
      <c r="BC223" s="803"/>
      <c r="BD223" s="803"/>
      <c r="BE223" s="803"/>
      <c r="BF223" s="803"/>
    </row>
    <row s="10822" customFormat="1" customHeight="1" ht="11.25">
      <c r="A224" s="1243"/>
      <c r="B224" s="1949"/>
      <c r="C224" s="1949"/>
      <c r="D224" s="572"/>
      <c r="J224" s="7715"/>
      <c r="K224" s="7715"/>
      <c r="L224" s="7715"/>
      <c r="M224" s="7715"/>
      <c r="N224" s="7715"/>
      <c r="O224" s="7715"/>
      <c r="P224" s="7715"/>
      <c r="Q224" s="7715"/>
      <c r="R224" s="7715"/>
      <c r="S224" s="7715"/>
      <c r="T224" s="7715"/>
      <c r="U224" s="7715"/>
      <c r="V224" s="7715"/>
      <c r="W224" s="7715"/>
      <c r="X224" s="7715"/>
      <c r="Y224" s="7715"/>
      <c r="Z224" s="7715"/>
      <c r="AA224" s="7715"/>
      <c r="AB224" s="7715"/>
      <c r="AC224" s="7715"/>
      <c r="AD224" s="7715"/>
      <c r="AE224" s="7715"/>
      <c r="AF224" s="7715"/>
      <c r="AG224" s="7715"/>
      <c r="AH224" s="7715"/>
      <c r="AI224" s="7715"/>
      <c r="AJ224" s="7715"/>
      <c r="AK224" s="7715"/>
      <c r="AL224" s="1421"/>
      <c r="AM224" s="1949"/>
      <c r="AN224" s="1949"/>
      <c r="AO224" s="1421"/>
      <c r="AP224" s="1421"/>
      <c r="AQ224" s="1421"/>
      <c r="AR224" s="1421"/>
      <c r="AS224" s="1949"/>
      <c r="AT224" s="1421"/>
      <c r="AU224" s="1421"/>
      <c r="AV224" s="781"/>
      <c r="AW224" s="1421"/>
      <c r="AX224" s="1421"/>
      <c r="AY224" s="1421"/>
      <c r="AZ224" s="1421"/>
      <c r="BA224" s="1421"/>
      <c r="BB224" s="1945"/>
      <c r="BC224" s="803"/>
      <c r="BD224" s="803"/>
      <c r="BE224" s="803"/>
      <c r="BF224" s="803"/>
    </row>
    <row s="10822" customFormat="1" customHeight="1" ht="11.25">
      <c r="A225" s="1243"/>
      <c r="B225" s="1949"/>
      <c r="C225" s="1949"/>
      <c r="D225" s="572"/>
      <c r="J225" s="7715"/>
      <c r="K225" s="7715"/>
      <c r="L225" s="7715"/>
      <c r="M225" s="7715"/>
      <c r="N225" s="7715"/>
      <c r="O225" s="7715"/>
      <c r="P225" s="7715"/>
      <c r="Q225" s="7715"/>
      <c r="R225" s="7715"/>
      <c r="S225" s="7715"/>
      <c r="T225" s="7715"/>
      <c r="U225" s="7715"/>
      <c r="V225" s="7715"/>
      <c r="W225" s="7715"/>
      <c r="X225" s="7715"/>
      <c r="Y225" s="7715"/>
      <c r="Z225" s="7715"/>
      <c r="AA225" s="7715"/>
      <c r="AB225" s="7715"/>
      <c r="AC225" s="7715"/>
      <c r="AD225" s="7715"/>
      <c r="AE225" s="7715"/>
      <c r="AF225" s="7715"/>
      <c r="AG225" s="7715"/>
      <c r="AH225" s="7715"/>
      <c r="AI225" s="7715"/>
      <c r="AJ225" s="7715"/>
      <c r="AK225" s="7715"/>
      <c r="AL225" s="1421"/>
      <c r="AM225" s="1949"/>
      <c r="AN225" s="1949"/>
      <c r="AO225" s="1421"/>
      <c r="AP225" s="1421"/>
      <c r="AQ225" s="1421"/>
      <c r="AR225" s="1421"/>
      <c r="AS225" s="1949"/>
      <c r="AT225" s="1421"/>
      <c r="AU225" s="1421"/>
      <c r="AV225" s="781"/>
      <c r="AW225" s="1421"/>
      <c r="AX225" s="1421"/>
      <c r="AY225" s="1421"/>
      <c r="AZ225" s="1421"/>
      <c r="BA225" s="1421"/>
      <c r="BB225" s="1945"/>
      <c r="BC225" s="803"/>
      <c r="BD225" s="803"/>
      <c r="BE225" s="803"/>
      <c r="BF225" s="803"/>
    </row>
    <row s="10822" customFormat="1" customHeight="1" ht="11.25">
      <c r="A226" s="1243"/>
      <c r="B226" s="1949"/>
      <c r="C226" s="1949"/>
      <c r="D226" s="572"/>
      <c r="J226" s="7715"/>
      <c r="K226" s="7715"/>
      <c r="L226" s="7715"/>
      <c r="M226" s="7715"/>
      <c r="N226" s="7715"/>
      <c r="O226" s="7715"/>
      <c r="P226" s="7715"/>
      <c r="Q226" s="7715"/>
      <c r="R226" s="7715"/>
      <c r="S226" s="7715"/>
      <c r="T226" s="7715"/>
      <c r="U226" s="7715"/>
      <c r="V226" s="7715"/>
      <c r="W226" s="7715"/>
      <c r="X226" s="7715"/>
      <c r="Y226" s="7715"/>
      <c r="Z226" s="7715"/>
      <c r="AA226" s="7715"/>
      <c r="AB226" s="7715"/>
      <c r="AC226" s="7715"/>
      <c r="AD226" s="7715"/>
      <c r="AE226" s="7715"/>
      <c r="AF226" s="7715"/>
      <c r="AG226" s="7715"/>
      <c r="AH226" s="7715"/>
      <c r="AI226" s="7715"/>
      <c r="AJ226" s="7715"/>
      <c r="AK226" s="7715"/>
      <c r="AL226" s="1421"/>
      <c r="AM226" s="1949"/>
      <c r="AN226" s="1949"/>
      <c r="AO226" s="1421"/>
      <c r="AP226" s="1421"/>
      <c r="AQ226" s="1421"/>
      <c r="AR226" s="1421"/>
      <c r="AS226" s="1949"/>
      <c r="AT226" s="1421"/>
      <c r="AU226" s="1421"/>
      <c r="AV226" s="781"/>
      <c r="AW226" s="1421"/>
      <c r="AX226" s="1421"/>
      <c r="AY226" s="1421"/>
      <c r="AZ226" s="1421"/>
      <c r="BA226" s="1421"/>
      <c r="BB226" s="1945"/>
      <c r="BC226" s="803"/>
      <c r="BD226" s="803"/>
      <c r="BE226" s="803"/>
      <c r="BF226" s="803"/>
    </row>
    <row s="10822" customFormat="1" customHeight="1" ht="11.25">
      <c r="A227" s="1243"/>
      <c r="B227" s="1949"/>
      <c r="C227" s="1949"/>
      <c r="D227" s="572"/>
      <c r="J227" s="7715"/>
      <c r="K227" s="7715"/>
      <c r="L227" s="7715"/>
      <c r="M227" s="7715"/>
      <c r="N227" s="7715"/>
      <c r="O227" s="7715"/>
      <c r="P227" s="7715"/>
      <c r="Q227" s="7715"/>
      <c r="R227" s="7715"/>
      <c r="S227" s="7715"/>
      <c r="T227" s="7715"/>
      <c r="U227" s="7715"/>
      <c r="V227" s="7715"/>
      <c r="W227" s="7715"/>
      <c r="X227" s="7715"/>
      <c r="Y227" s="7715"/>
      <c r="Z227" s="7715"/>
      <c r="AA227" s="7715"/>
      <c r="AB227" s="7715"/>
      <c r="AC227" s="7715"/>
      <c r="AD227" s="7715"/>
      <c r="AE227" s="7715"/>
      <c r="AF227" s="7715"/>
      <c r="AG227" s="7715"/>
      <c r="AH227" s="7715"/>
      <c r="AI227" s="7715"/>
      <c r="AJ227" s="7715"/>
      <c r="AK227" s="7715"/>
      <c r="AL227" s="1421"/>
      <c r="AM227" s="1949"/>
      <c r="AN227" s="1949"/>
      <c r="AO227" s="1421"/>
      <c r="AP227" s="1421"/>
      <c r="AQ227" s="1421"/>
      <c r="AR227" s="1421"/>
      <c r="AS227" s="1949"/>
      <c r="AT227" s="1421"/>
      <c r="AU227" s="1421"/>
      <c r="AV227" s="781"/>
      <c r="AW227" s="1421"/>
      <c r="AX227" s="1421"/>
      <c r="AY227" s="1421"/>
      <c r="AZ227" s="1421"/>
      <c r="BA227" s="1421"/>
      <c r="BB227" s="1945"/>
      <c r="BC227" s="803"/>
      <c r="BD227" s="803"/>
      <c r="BE227" s="803"/>
      <c r="BF227" s="803"/>
    </row>
    <row s="10822" customFormat="1" customHeight="1" ht="11.25">
      <c r="A228" s="1243"/>
      <c r="B228" s="1949"/>
      <c r="C228" s="1949"/>
      <c r="D228" s="572"/>
      <c r="J228" s="7715"/>
      <c r="K228" s="7715"/>
      <c r="L228" s="7715"/>
      <c r="M228" s="7715"/>
      <c r="N228" s="7715"/>
      <c r="O228" s="7715"/>
      <c r="P228" s="7715"/>
      <c r="Q228" s="7715"/>
      <c r="R228" s="7715"/>
      <c r="S228" s="7715"/>
      <c r="T228" s="7715"/>
      <c r="U228" s="7715"/>
      <c r="V228" s="7715"/>
      <c r="W228" s="7715"/>
      <c r="X228" s="7715"/>
      <c r="Y228" s="7715"/>
      <c r="Z228" s="7715"/>
      <c r="AA228" s="7715"/>
      <c r="AB228" s="7715"/>
      <c r="AC228" s="7715"/>
      <c r="AD228" s="7715"/>
      <c r="AE228" s="7715"/>
      <c r="AF228" s="7715"/>
      <c r="AG228" s="7715"/>
      <c r="AH228" s="7715"/>
      <c r="AI228" s="7715"/>
      <c r="AJ228" s="7715"/>
      <c r="AK228" s="7715"/>
      <c r="AL228" s="1421"/>
      <c r="AM228" s="1949"/>
      <c r="AN228" s="1949"/>
      <c r="AO228" s="1421"/>
      <c r="AP228" s="1421"/>
      <c r="AQ228" s="1421"/>
      <c r="AR228" s="1421"/>
      <c r="AS228" s="1949"/>
      <c r="AT228" s="1421"/>
      <c r="AU228" s="1421"/>
      <c r="AV228" s="781"/>
      <c r="AW228" s="1421"/>
      <c r="AX228" s="1421"/>
      <c r="AY228" s="1421"/>
      <c r="AZ228" s="1421"/>
      <c r="BA228" s="1421"/>
      <c r="BB228" s="1945"/>
      <c r="BC228" s="803"/>
      <c r="BD228" s="803"/>
      <c r="BE228" s="803"/>
      <c r="BF228" s="803"/>
    </row>
    <row s="10822" customFormat="1" customHeight="1" ht="11.25">
      <c r="A229" s="1243"/>
      <c r="B229" s="1949"/>
      <c r="C229" s="1949"/>
      <c r="D229" s="572"/>
      <c r="J229" s="7715"/>
      <c r="K229" s="7715"/>
      <c r="L229" s="7715"/>
      <c r="M229" s="7715"/>
      <c r="N229" s="7715"/>
      <c r="O229" s="7715"/>
      <c r="P229" s="7715"/>
      <c r="Q229" s="7715"/>
      <c r="R229" s="7715"/>
      <c r="S229" s="7715"/>
      <c r="T229" s="7715"/>
      <c r="U229" s="7715"/>
      <c r="V229" s="7715"/>
      <c r="W229" s="7715"/>
      <c r="X229" s="7715"/>
      <c r="Y229" s="7715"/>
      <c r="Z229" s="7715"/>
      <c r="AA229" s="7715"/>
      <c r="AB229" s="7715"/>
      <c r="AC229" s="7715"/>
      <c r="AD229" s="7715"/>
      <c r="AE229" s="7715"/>
      <c r="AF229" s="7715"/>
      <c r="AG229" s="7715"/>
      <c r="AH229" s="7715"/>
      <c r="AI229" s="7715"/>
      <c r="AJ229" s="7715"/>
      <c r="AK229" s="7715"/>
      <c r="AL229" s="1421"/>
      <c r="AM229" s="1949"/>
      <c r="AN229" s="1949"/>
      <c r="AO229" s="1421"/>
      <c r="AP229" s="1421"/>
      <c r="AQ229" s="1421"/>
      <c r="AR229" s="1421"/>
      <c r="AS229" s="1949"/>
      <c r="AT229" s="1421"/>
      <c r="AU229" s="1421"/>
      <c r="AV229" s="781"/>
      <c r="AW229" s="1421"/>
      <c r="AX229" s="1421"/>
      <c r="AY229" s="1421"/>
      <c r="AZ229" s="1421"/>
      <c r="BA229" s="1421"/>
      <c r="BB229" s="1945"/>
      <c r="BC229" s="803"/>
      <c r="BD229" s="803"/>
      <c r="BE229" s="803"/>
      <c r="BF229" s="803"/>
    </row>
    <row s="10822" customFormat="1" customHeight="1" ht="11.25">
      <c r="A230" s="1243"/>
      <c r="B230" s="1949"/>
      <c r="C230" s="1949"/>
      <c r="D230" s="572"/>
      <c r="J230" s="7715"/>
      <c r="K230" s="7715"/>
      <c r="L230" s="7715"/>
      <c r="M230" s="7715"/>
      <c r="N230" s="7715"/>
      <c r="O230" s="7715"/>
      <c r="P230" s="7715"/>
      <c r="Q230" s="7715"/>
      <c r="R230" s="7715"/>
      <c r="S230" s="7715"/>
      <c r="T230" s="7715"/>
      <c r="U230" s="7715"/>
      <c r="V230" s="7715"/>
      <c r="W230" s="7715"/>
      <c r="X230" s="7715"/>
      <c r="Y230" s="7715"/>
      <c r="Z230" s="7715"/>
      <c r="AA230" s="7715"/>
      <c r="AB230" s="7715"/>
      <c r="AC230" s="7715"/>
      <c r="AD230" s="7715"/>
      <c r="AE230" s="7715"/>
      <c r="AF230" s="7715"/>
      <c r="AG230" s="7715"/>
      <c r="AH230" s="7715"/>
      <c r="AI230" s="7715"/>
      <c r="AJ230" s="7715"/>
      <c r="AK230" s="7715"/>
      <c r="AL230" s="1421"/>
      <c r="AM230" s="1949"/>
      <c r="AN230" s="1949"/>
      <c r="AO230" s="1421"/>
      <c r="AP230" s="1421"/>
      <c r="AQ230" s="1421"/>
      <c r="AR230" s="1421"/>
      <c r="AS230" s="1949"/>
      <c r="AT230" s="1421"/>
      <c r="AU230" s="1421"/>
      <c r="AV230" s="781"/>
      <c r="AW230" s="1421"/>
      <c r="AX230" s="1421"/>
      <c r="AY230" s="1421"/>
      <c r="AZ230" s="1421"/>
      <c r="BA230" s="1421"/>
      <c r="BB230" s="1945"/>
      <c r="BC230" s="803"/>
      <c r="BD230" s="803"/>
      <c r="BE230" s="803"/>
      <c r="BF230" s="803"/>
    </row>
    <row s="10822" customFormat="1" customHeight="1" ht="11.25">
      <c r="A231" s="1243"/>
      <c r="B231" s="1949"/>
      <c r="C231" s="1949"/>
      <c r="D231" s="572"/>
      <c r="J231" s="7715"/>
      <c r="K231" s="7715"/>
      <c r="L231" s="7715"/>
      <c r="M231" s="7715"/>
      <c r="N231" s="7715"/>
      <c r="O231" s="7715"/>
      <c r="P231" s="7715"/>
      <c r="Q231" s="7715"/>
      <c r="R231" s="7715"/>
      <c r="S231" s="7715"/>
      <c r="T231" s="7715"/>
      <c r="U231" s="7715"/>
      <c r="V231" s="7715"/>
      <c r="W231" s="7715"/>
      <c r="X231" s="7715"/>
      <c r="Y231" s="7715"/>
      <c r="Z231" s="7715"/>
      <c r="AA231" s="7715"/>
      <c r="AB231" s="7715"/>
      <c r="AC231" s="7715"/>
      <c r="AD231" s="7715"/>
      <c r="AE231" s="7715"/>
      <c r="AF231" s="7715"/>
      <c r="AG231" s="7715"/>
      <c r="AH231" s="7715"/>
      <c r="AI231" s="7715"/>
      <c r="AJ231" s="7715"/>
      <c r="AK231" s="7715"/>
      <c r="AL231" s="1421"/>
      <c r="AM231" s="1949"/>
      <c r="AN231" s="1949"/>
      <c r="AO231" s="1421"/>
      <c r="AP231" s="1421"/>
      <c r="AQ231" s="1421"/>
      <c r="AR231" s="1421"/>
      <c r="AS231" s="1949"/>
      <c r="AT231" s="1421"/>
      <c r="AU231" s="1421"/>
      <c r="AV231" s="781"/>
      <c r="AW231" s="1421"/>
      <c r="AX231" s="1421"/>
      <c r="AY231" s="1421"/>
      <c r="AZ231" s="1421"/>
      <c r="BA231" s="1421"/>
      <c r="BB231" s="1945"/>
      <c r="BC231" s="803"/>
      <c r="BD231" s="803"/>
      <c r="BE231" s="803"/>
      <c r="BF231" s="803"/>
    </row>
    <row s="10822" customFormat="1" customHeight="1" ht="11.25">
      <c r="A232" s="1243"/>
      <c r="B232" s="1949"/>
      <c r="C232" s="1949"/>
      <c r="D232" s="572"/>
      <c r="J232" s="7715"/>
      <c r="K232" s="7715"/>
      <c r="L232" s="7715"/>
      <c r="M232" s="7715"/>
      <c r="N232" s="7715"/>
      <c r="O232" s="7715"/>
      <c r="P232" s="7715"/>
      <c r="Q232" s="7715"/>
      <c r="R232" s="7715"/>
      <c r="S232" s="7715"/>
      <c r="T232" s="7715"/>
      <c r="U232" s="7715"/>
      <c r="V232" s="7715"/>
      <c r="W232" s="7715"/>
      <c r="X232" s="7715"/>
      <c r="Y232" s="7715"/>
      <c r="Z232" s="7715"/>
      <c r="AA232" s="7715"/>
      <c r="AB232" s="7715"/>
      <c r="AC232" s="7715"/>
      <c r="AD232" s="7715"/>
      <c r="AE232" s="7715"/>
      <c r="AF232" s="7715"/>
      <c r="AG232" s="7715"/>
      <c r="AH232" s="7715"/>
      <c r="AI232" s="7715"/>
      <c r="AJ232" s="7715"/>
      <c r="AK232" s="7715"/>
      <c r="AL232" s="1421"/>
      <c r="AM232" s="1949"/>
      <c r="AN232" s="1949"/>
      <c r="AO232" s="1421"/>
      <c r="AP232" s="1421"/>
      <c r="AQ232" s="1421"/>
      <c r="AR232" s="1421"/>
      <c r="AS232" s="1949"/>
      <c r="AT232" s="1421"/>
      <c r="AU232" s="1421"/>
      <c r="AV232" s="781"/>
      <c r="AW232" s="1421"/>
      <c r="AX232" s="1421"/>
      <c r="AY232" s="1421"/>
      <c r="AZ232" s="1421"/>
      <c r="BA232" s="1421"/>
      <c r="BB232" s="1945"/>
      <c r="BC232" s="803"/>
      <c r="BD232" s="803"/>
      <c r="BE232" s="803"/>
      <c r="BF232" s="803"/>
    </row>
    <row s="10822" customFormat="1" customHeight="1" ht="11.25">
      <c r="A233" s="1243"/>
      <c r="B233" s="1949"/>
      <c r="C233" s="1949"/>
      <c r="D233" s="572"/>
      <c r="J233" s="7715"/>
      <c r="K233" s="7715"/>
      <c r="L233" s="7715"/>
      <c r="M233" s="7715"/>
      <c r="N233" s="7715"/>
      <c r="O233" s="7715"/>
      <c r="P233" s="7715"/>
      <c r="Q233" s="7715"/>
      <c r="R233" s="7715"/>
      <c r="S233" s="7715"/>
      <c r="T233" s="7715"/>
      <c r="U233" s="7715"/>
      <c r="V233" s="7715"/>
      <c r="W233" s="7715"/>
      <c r="X233" s="7715"/>
      <c r="Y233" s="7715"/>
      <c r="Z233" s="7715"/>
      <c r="AA233" s="7715"/>
      <c r="AB233" s="7715"/>
      <c r="AC233" s="7715"/>
      <c r="AD233" s="7715"/>
      <c r="AE233" s="7715"/>
      <c r="AF233" s="7715"/>
      <c r="AG233" s="7715"/>
      <c r="AH233" s="7715"/>
      <c r="AI233" s="7715"/>
      <c r="AJ233" s="7715"/>
      <c r="AK233" s="7715"/>
      <c r="AL233" s="1421"/>
      <c r="AM233" s="1949"/>
      <c r="AN233" s="1949"/>
      <c r="AO233" s="1421"/>
      <c r="AP233" s="1421"/>
      <c r="AQ233" s="1421"/>
      <c r="AR233" s="1421"/>
      <c r="AS233" s="1949"/>
      <c r="AT233" s="1421"/>
      <c r="AU233" s="1421"/>
      <c r="AV233" s="781"/>
      <c r="AW233" s="1421"/>
      <c r="AX233" s="1421"/>
      <c r="AY233" s="1421"/>
      <c r="AZ233" s="1421"/>
      <c r="BA233" s="1421"/>
      <c r="BB233" s="1945"/>
      <c r="BC233" s="803"/>
      <c r="BD233" s="803"/>
      <c r="BE233" s="803"/>
      <c r="BF233" s="803"/>
    </row>
    <row s="10822" customFormat="1" customHeight="1" ht="11.25">
      <c r="A234" s="1243"/>
      <c r="B234" s="1949"/>
      <c r="C234" s="1949"/>
      <c r="D234" s="572"/>
      <c r="J234" s="7715"/>
      <c r="K234" s="7715"/>
      <c r="L234" s="7715"/>
      <c r="M234" s="7715"/>
      <c r="N234" s="7715"/>
      <c r="O234" s="7715"/>
      <c r="P234" s="7715"/>
      <c r="Q234" s="7715"/>
      <c r="R234" s="7715"/>
      <c r="S234" s="7715"/>
      <c r="T234" s="7715"/>
      <c r="U234" s="7715"/>
      <c r="V234" s="7715"/>
      <c r="W234" s="7715"/>
      <c r="X234" s="7715"/>
      <c r="Y234" s="7715"/>
      <c r="Z234" s="7715"/>
      <c r="AA234" s="7715"/>
      <c r="AB234" s="7715"/>
      <c r="AC234" s="7715"/>
      <c r="AD234" s="7715"/>
      <c r="AE234" s="7715"/>
      <c r="AF234" s="7715"/>
      <c r="AG234" s="7715"/>
      <c r="AH234" s="7715"/>
      <c r="AI234" s="7715"/>
      <c r="AJ234" s="7715"/>
      <c r="AK234" s="7715"/>
      <c r="AL234" s="1421"/>
      <c r="AM234" s="1949"/>
      <c r="AN234" s="1949"/>
      <c r="AO234" s="1421"/>
      <c r="AP234" s="1421"/>
      <c r="AQ234" s="1421"/>
      <c r="AR234" s="1421"/>
      <c r="AS234" s="1949"/>
      <c r="AT234" s="1421"/>
      <c r="AU234" s="1421"/>
      <c r="AV234" s="781"/>
      <c r="AW234" s="1421"/>
      <c r="AX234" s="1421"/>
      <c r="AY234" s="1421"/>
      <c r="AZ234" s="1421"/>
      <c r="BA234" s="1421"/>
      <c r="BB234" s="1945"/>
      <c r="BC234" s="803"/>
      <c r="BD234" s="803"/>
      <c r="BE234" s="803"/>
      <c r="BF234" s="803"/>
    </row>
    <row s="10822" customFormat="1" customHeight="1" ht="11.25">
      <c r="A235" s="1243"/>
      <c r="B235" s="1949"/>
      <c r="C235" s="1949"/>
      <c r="D235" s="572"/>
      <c r="J235" s="7715"/>
      <c r="K235" s="7715"/>
      <c r="L235" s="7715"/>
      <c r="M235" s="7715"/>
      <c r="N235" s="7715"/>
      <c r="O235" s="7715"/>
      <c r="P235" s="7715"/>
      <c r="Q235" s="7715"/>
      <c r="R235" s="7715"/>
      <c r="S235" s="7715"/>
      <c r="T235" s="7715"/>
      <c r="U235" s="7715"/>
      <c r="V235" s="7715"/>
      <c r="W235" s="7715"/>
      <c r="X235" s="7715"/>
      <c r="Y235" s="7715"/>
      <c r="Z235" s="7715"/>
      <c r="AA235" s="7715"/>
      <c r="AB235" s="7715"/>
      <c r="AC235" s="7715"/>
      <c r="AD235" s="7715"/>
      <c r="AE235" s="7715"/>
      <c r="AF235" s="7715"/>
      <c r="AG235" s="7715"/>
      <c r="AH235" s="7715"/>
      <c r="AI235" s="7715"/>
      <c r="AJ235" s="7715"/>
      <c r="AK235" s="7715"/>
      <c r="AL235" s="1421"/>
      <c r="AM235" s="1949"/>
      <c r="AN235" s="1949"/>
      <c r="AO235" s="1421"/>
      <c r="AP235" s="1421"/>
      <c r="AQ235" s="1421"/>
      <c r="AR235" s="1421"/>
      <c r="AS235" s="1949"/>
      <c r="AT235" s="1421"/>
      <c r="AU235" s="1421"/>
      <c r="AV235" s="781"/>
      <c r="AW235" s="1421"/>
      <c r="AX235" s="1421"/>
      <c r="AY235" s="1421"/>
      <c r="AZ235" s="1421"/>
      <c r="BA235" s="1421"/>
      <c r="BB235" s="1945"/>
      <c r="BC235" s="803"/>
      <c r="BD235" s="803"/>
      <c r="BE235" s="803"/>
      <c r="BF235" s="803"/>
    </row>
    <row s="10822" customFormat="1" customHeight="1" ht="11.25">
      <c r="A236" s="1243"/>
      <c r="B236" s="1949"/>
      <c r="C236" s="1949"/>
      <c r="D236" s="572"/>
      <c r="J236" s="7715"/>
      <c r="K236" s="7715"/>
      <c r="L236" s="7715"/>
      <c r="M236" s="7715"/>
      <c r="N236" s="7715"/>
      <c r="O236" s="7715"/>
      <c r="P236" s="7715"/>
      <c r="Q236" s="7715"/>
      <c r="R236" s="7715"/>
      <c r="S236" s="7715"/>
      <c r="T236" s="7715"/>
      <c r="U236" s="7715"/>
      <c r="V236" s="7715"/>
      <c r="W236" s="7715"/>
      <c r="X236" s="7715"/>
      <c r="Y236" s="7715"/>
      <c r="Z236" s="7715"/>
      <c r="AA236" s="7715"/>
      <c r="AB236" s="7715"/>
      <c r="AC236" s="7715"/>
      <c r="AD236" s="7715"/>
      <c r="AE236" s="7715"/>
      <c r="AF236" s="7715"/>
      <c r="AG236" s="7715"/>
      <c r="AH236" s="7715"/>
      <c r="AI236" s="7715"/>
      <c r="AJ236" s="7715"/>
      <c r="AK236" s="7715"/>
      <c r="AL236" s="1421"/>
      <c r="AM236" s="1949"/>
      <c r="AN236" s="1949"/>
      <c r="AO236" s="1421"/>
      <c r="AP236" s="1421"/>
      <c r="AQ236" s="1421"/>
      <c r="AR236" s="1421"/>
      <c r="AS236" s="1949"/>
      <c r="AT236" s="1421"/>
      <c r="AU236" s="1421"/>
      <c r="AV236" s="781"/>
      <c r="AW236" s="1421"/>
      <c r="AX236" s="1421"/>
      <c r="AY236" s="1421"/>
      <c r="AZ236" s="1421"/>
      <c r="BA236" s="1421"/>
      <c r="BB236" s="1945"/>
      <c r="BC236" s="803"/>
      <c r="BD236" s="803"/>
      <c r="BE236" s="803"/>
      <c r="BF236" s="803"/>
    </row>
    <row s="10822" customFormat="1" customHeight="1" ht="11.25">
      <c r="A237" s="1243"/>
      <c r="B237" s="1949"/>
      <c r="C237" s="1949"/>
      <c r="D237" s="572"/>
      <c r="J237" s="7715"/>
      <c r="K237" s="7715"/>
      <c r="L237" s="7715"/>
      <c r="M237" s="7715"/>
      <c r="N237" s="7715"/>
      <c r="O237" s="7715"/>
      <c r="P237" s="7715"/>
      <c r="Q237" s="7715"/>
      <c r="R237" s="7715"/>
      <c r="S237" s="7715"/>
      <c r="T237" s="7715"/>
      <c r="U237" s="7715"/>
      <c r="V237" s="7715"/>
      <c r="W237" s="7715"/>
      <c r="X237" s="7715"/>
      <c r="Y237" s="7715"/>
      <c r="Z237" s="7715"/>
      <c r="AA237" s="7715"/>
      <c r="AB237" s="7715"/>
      <c r="AC237" s="7715"/>
      <c r="AD237" s="7715"/>
      <c r="AE237" s="7715"/>
      <c r="AF237" s="7715"/>
      <c r="AG237" s="7715"/>
      <c r="AH237" s="7715"/>
      <c r="AI237" s="7715"/>
      <c r="AJ237" s="7715"/>
      <c r="AK237" s="7715"/>
      <c r="AL237" s="1421"/>
      <c r="AM237" s="1949"/>
      <c r="AN237" s="1949"/>
      <c r="AO237" s="1421"/>
      <c r="AP237" s="1421"/>
      <c r="AQ237" s="1421"/>
      <c r="AR237" s="1421"/>
      <c r="AS237" s="1949"/>
      <c r="AT237" s="1421"/>
      <c r="AU237" s="1421"/>
      <c r="AV237" s="781"/>
      <c r="AW237" s="1421"/>
      <c r="AX237" s="1421"/>
      <c r="AY237" s="1421"/>
      <c r="AZ237" s="1421"/>
      <c r="BA237" s="1421"/>
      <c r="BB237" s="1945"/>
      <c r="BC237" s="803"/>
      <c r="BD237" s="803"/>
      <c r="BE237" s="803"/>
      <c r="BF237" s="803"/>
    </row>
    <row s="10822" customFormat="1" customHeight="1" ht="11.25">
      <c r="A238" s="1243"/>
      <c r="B238" s="1949"/>
      <c r="C238" s="1949"/>
      <c r="D238" s="572"/>
      <c r="J238" s="7715"/>
      <c r="K238" s="7715"/>
      <c r="L238" s="7715"/>
      <c r="M238" s="7715"/>
      <c r="N238" s="7715"/>
      <c r="O238" s="7715"/>
      <c r="P238" s="7715"/>
      <c r="Q238" s="7715"/>
      <c r="R238" s="7715"/>
      <c r="S238" s="7715"/>
      <c r="T238" s="7715"/>
      <c r="U238" s="7715"/>
      <c r="V238" s="7715"/>
      <c r="W238" s="7715"/>
      <c r="X238" s="7715"/>
      <c r="Y238" s="7715"/>
      <c r="Z238" s="7715"/>
      <c r="AA238" s="7715"/>
      <c r="AB238" s="7715"/>
      <c r="AC238" s="7715"/>
      <c r="AD238" s="7715"/>
      <c r="AE238" s="7715"/>
      <c r="AF238" s="7715"/>
      <c r="AG238" s="7715"/>
      <c r="AH238" s="7715"/>
      <c r="AI238" s="7715"/>
      <c r="AJ238" s="7715"/>
      <c r="AK238" s="7715"/>
      <c r="AL238" s="1421"/>
      <c r="AM238" s="1949"/>
      <c r="AN238" s="1949"/>
      <c r="AO238" s="1421"/>
      <c r="AP238" s="1421"/>
      <c r="AQ238" s="1421"/>
      <c r="AR238" s="1421"/>
      <c r="AS238" s="1949"/>
      <c r="AT238" s="1421"/>
      <c r="AU238" s="1421"/>
      <c r="AV238" s="781"/>
      <c r="AW238" s="1421"/>
      <c r="AX238" s="1421"/>
      <c r="AY238" s="1421"/>
      <c r="AZ238" s="1421"/>
      <c r="BA238" s="1421"/>
      <c r="BB238" s="1945"/>
      <c r="BC238" s="803"/>
      <c r="BD238" s="803"/>
      <c r="BE238" s="803"/>
      <c r="BF238" s="803"/>
    </row>
    <row s="10822" customFormat="1" customHeight="1" ht="11.25">
      <c r="A239" s="1243"/>
      <c r="B239" s="1949"/>
      <c r="C239" s="1949"/>
      <c r="D239" s="572"/>
      <c r="J239" s="7715"/>
      <c r="K239" s="7715"/>
      <c r="L239" s="7715"/>
      <c r="M239" s="7715"/>
      <c r="N239" s="7715"/>
      <c r="O239" s="7715"/>
      <c r="P239" s="7715"/>
      <c r="Q239" s="7715"/>
      <c r="R239" s="7715"/>
      <c r="S239" s="7715"/>
      <c r="T239" s="7715"/>
      <c r="U239" s="7715"/>
      <c r="V239" s="7715"/>
      <c r="W239" s="7715"/>
      <c r="X239" s="7715"/>
      <c r="Y239" s="7715"/>
      <c r="Z239" s="7715"/>
      <c r="AA239" s="7715"/>
      <c r="AB239" s="7715"/>
      <c r="AC239" s="7715"/>
      <c r="AD239" s="7715"/>
      <c r="AE239" s="7715"/>
      <c r="AF239" s="7715"/>
      <c r="AG239" s="7715"/>
      <c r="AH239" s="7715"/>
      <c r="AI239" s="7715"/>
      <c r="AJ239" s="7715"/>
      <c r="AK239" s="7715"/>
      <c r="AL239" s="1421"/>
      <c r="AM239" s="1949"/>
      <c r="AN239" s="1949"/>
      <c r="AO239" s="1421"/>
      <c r="AP239" s="1421"/>
      <c r="AQ239" s="1421"/>
      <c r="AR239" s="1421"/>
      <c r="AS239" s="1949"/>
      <c r="AT239" s="1421"/>
      <c r="AU239" s="1421"/>
      <c r="AV239" s="781"/>
      <c r="AW239" s="1421"/>
      <c r="AX239" s="1421"/>
      <c r="AY239" s="1421"/>
      <c r="AZ239" s="1421"/>
      <c r="BA239" s="1421"/>
      <c r="BB239" s="1945"/>
      <c r="BC239" s="803"/>
      <c r="BD239" s="803"/>
      <c r="BE239" s="803"/>
      <c r="BF239" s="803"/>
    </row>
    <row s="10822" customFormat="1" customHeight="1" ht="11.25">
      <c r="A240" s="1243"/>
      <c r="B240" s="1949"/>
      <c r="C240" s="1949"/>
      <c r="D240" s="572"/>
      <c r="J240" s="7715"/>
      <c r="K240" s="7715"/>
      <c r="L240" s="7715"/>
      <c r="M240" s="7715"/>
      <c r="N240" s="7715"/>
      <c r="O240" s="7715"/>
      <c r="P240" s="7715"/>
      <c r="Q240" s="7715"/>
      <c r="R240" s="7715"/>
      <c r="S240" s="7715"/>
      <c r="T240" s="7715"/>
      <c r="U240" s="7715"/>
      <c r="V240" s="7715"/>
      <c r="W240" s="7715"/>
      <c r="X240" s="7715"/>
      <c r="Y240" s="7715"/>
      <c r="Z240" s="7715"/>
      <c r="AA240" s="7715"/>
      <c r="AB240" s="7715"/>
      <c r="AC240" s="7715"/>
      <c r="AD240" s="7715"/>
      <c r="AE240" s="7715"/>
      <c r="AF240" s="7715"/>
      <c r="AG240" s="7715"/>
      <c r="AH240" s="7715"/>
      <c r="AI240" s="7715"/>
      <c r="AJ240" s="7715"/>
      <c r="AK240" s="7715"/>
      <c r="AL240" s="1421"/>
      <c r="AM240" s="1949"/>
      <c r="AN240" s="1949"/>
      <c r="AO240" s="1421"/>
      <c r="AP240" s="1421"/>
      <c r="AQ240" s="1421"/>
      <c r="AR240" s="1421"/>
      <c r="AS240" s="1949"/>
      <c r="AT240" s="1421"/>
      <c r="AU240" s="1421"/>
      <c r="AV240" s="781"/>
      <c r="AW240" s="1421"/>
      <c r="AX240" s="1421"/>
      <c r="AY240" s="1421"/>
      <c r="AZ240" s="1421"/>
      <c r="BA240" s="1421"/>
      <c r="BB240" s="1945"/>
      <c r="BC240" s="803"/>
      <c r="BD240" s="803"/>
      <c r="BE240" s="803"/>
      <c r="BF240" s="803"/>
    </row>
    <row s="10822" customFormat="1" customHeight="1" ht="11.25">
      <c r="A241" s="1243"/>
      <c r="B241" s="1949"/>
      <c r="C241" s="1949"/>
      <c r="D241" s="572"/>
      <c r="J241" s="7715"/>
      <c r="K241" s="7715"/>
      <c r="L241" s="7715"/>
      <c r="M241" s="7715"/>
      <c r="N241" s="7715"/>
      <c r="O241" s="7715"/>
      <c r="P241" s="7715"/>
      <c r="Q241" s="7715"/>
      <c r="R241" s="7715"/>
      <c r="S241" s="7715"/>
      <c r="T241" s="7715"/>
      <c r="U241" s="7715"/>
      <c r="V241" s="7715"/>
      <c r="W241" s="7715"/>
      <c r="X241" s="7715"/>
      <c r="Y241" s="7715"/>
      <c r="Z241" s="7715"/>
      <c r="AA241" s="7715"/>
      <c r="AB241" s="7715"/>
      <c r="AC241" s="7715"/>
      <c r="AD241" s="7715"/>
      <c r="AE241" s="7715"/>
      <c r="AF241" s="7715"/>
      <c r="AG241" s="7715"/>
      <c r="AH241" s="7715"/>
      <c r="AI241" s="7715"/>
      <c r="AJ241" s="7715"/>
      <c r="AK241" s="7715"/>
      <c r="AL241" s="1421"/>
      <c r="AM241" s="1949"/>
      <c r="AN241" s="1949"/>
      <c r="AO241" s="1421"/>
      <c r="AP241" s="1421"/>
      <c r="AQ241" s="1421"/>
      <c r="AR241" s="1421"/>
      <c r="AS241" s="1949"/>
      <c r="AT241" s="1421"/>
      <c r="AU241" s="1421"/>
      <c r="AV241" s="781"/>
      <c r="AW241" s="1421"/>
      <c r="AX241" s="1421"/>
      <c r="AY241" s="1421"/>
      <c r="AZ241" s="1421"/>
      <c r="BA241" s="1421"/>
      <c r="BB241" s="1945"/>
      <c r="BC241" s="803"/>
      <c r="BD241" s="803"/>
      <c r="BE241" s="803"/>
      <c r="BF241" s="803"/>
    </row>
    <row s="10822" customFormat="1" customHeight="1" ht="11.25">
      <c r="A242" s="1243"/>
      <c r="B242" s="1949"/>
      <c r="C242" s="1949"/>
      <c r="D242" s="572"/>
      <c r="J242" s="7715"/>
      <c r="K242" s="7715"/>
      <c r="L242" s="7715"/>
      <c r="M242" s="7715"/>
      <c r="N242" s="7715"/>
      <c r="O242" s="7715"/>
      <c r="P242" s="7715"/>
      <c r="Q242" s="7715"/>
      <c r="R242" s="7715"/>
      <c r="S242" s="7715"/>
      <c r="T242" s="7715"/>
      <c r="U242" s="7715"/>
      <c r="V242" s="7715"/>
      <c r="W242" s="7715"/>
      <c r="X242" s="7715"/>
      <c r="Y242" s="7715"/>
      <c r="Z242" s="7715"/>
      <c r="AA242" s="7715"/>
      <c r="AB242" s="7715"/>
      <c r="AC242" s="7715"/>
      <c r="AD242" s="7715"/>
      <c r="AE242" s="7715"/>
      <c r="AF242" s="7715"/>
      <c r="AG242" s="7715"/>
      <c r="AH242" s="7715"/>
      <c r="AI242" s="7715"/>
      <c r="AJ242" s="7715"/>
      <c r="AK242" s="7715"/>
      <c r="AL242" s="1421"/>
      <c r="AM242" s="1949"/>
      <c r="AN242" s="1949"/>
      <c r="AO242" s="1421"/>
      <c r="AP242" s="1421"/>
      <c r="AQ242" s="1421"/>
      <c r="AR242" s="1421"/>
      <c r="AS242" s="1949"/>
      <c r="AT242" s="1421"/>
      <c r="AU242" s="1421"/>
      <c r="AV242" s="781"/>
      <c r="AW242" s="1421"/>
      <c r="AX242" s="1421"/>
      <c r="AY242" s="1421"/>
      <c r="AZ242" s="1421"/>
      <c r="BA242" s="1421"/>
      <c r="BB242" s="1945"/>
      <c r="BC242" s="803"/>
      <c r="BD242" s="803"/>
      <c r="BE242" s="803"/>
      <c r="BF242" s="803"/>
    </row>
    <row s="10822" customFormat="1" customHeight="1" ht="11.25">
      <c r="A243" s="1243"/>
      <c r="B243" s="1949"/>
      <c r="C243" s="1949"/>
      <c r="D243" s="572"/>
      <c r="J243" s="7715"/>
      <c r="K243" s="7715"/>
      <c r="L243" s="7715"/>
      <c r="M243" s="7715"/>
      <c r="N243" s="7715"/>
      <c r="O243" s="7715"/>
      <c r="P243" s="7715"/>
      <c r="Q243" s="7715"/>
      <c r="R243" s="7715"/>
      <c r="S243" s="7715"/>
      <c r="T243" s="7715"/>
      <c r="U243" s="7715"/>
      <c r="V243" s="7715"/>
      <c r="W243" s="7715"/>
      <c r="X243" s="7715"/>
      <c r="Y243" s="7715"/>
      <c r="Z243" s="7715"/>
      <c r="AA243" s="7715"/>
      <c r="AB243" s="7715"/>
      <c r="AC243" s="7715"/>
      <c r="AD243" s="7715"/>
      <c r="AE243" s="7715"/>
      <c r="AF243" s="7715"/>
      <c r="AG243" s="7715"/>
      <c r="AH243" s="7715"/>
      <c r="AI243" s="7715"/>
      <c r="AJ243" s="7715"/>
      <c r="AK243" s="7715"/>
      <c r="AL243" s="1421"/>
      <c r="AM243" s="1949"/>
      <c r="AN243" s="1949"/>
      <c r="AO243" s="1421"/>
      <c r="AP243" s="1421"/>
      <c r="AQ243" s="1421"/>
      <c r="AR243" s="1421"/>
      <c r="AS243" s="1949"/>
      <c r="AT243" s="1421"/>
      <c r="AU243" s="1421"/>
      <c r="AV243" s="781"/>
      <c r="AW243" s="1421"/>
      <c r="AX243" s="1421"/>
      <c r="AY243" s="1421"/>
      <c r="AZ243" s="1421"/>
      <c r="BA243" s="1421"/>
      <c r="BB243" s="1945"/>
      <c r="BC243" s="803"/>
      <c r="BD243" s="803"/>
      <c r="BE243" s="803"/>
      <c r="BF243" s="803"/>
    </row>
    <row s="10822" customFormat="1" customHeight="1" ht="11.25">
      <c r="A244" s="1243"/>
      <c r="B244" s="1949"/>
      <c r="C244" s="1949"/>
      <c r="D244" s="572"/>
      <c r="J244" s="7715"/>
      <c r="K244" s="7715"/>
      <c r="L244" s="7715"/>
      <c r="M244" s="7715"/>
      <c r="N244" s="7715"/>
      <c r="O244" s="7715"/>
      <c r="P244" s="7715"/>
      <c r="Q244" s="7715"/>
      <c r="R244" s="7715"/>
      <c r="S244" s="7715"/>
      <c r="T244" s="7715"/>
      <c r="U244" s="7715"/>
      <c r="V244" s="7715"/>
      <c r="W244" s="7715"/>
      <c r="X244" s="7715"/>
      <c r="Y244" s="7715"/>
      <c r="Z244" s="7715"/>
      <c r="AA244" s="7715"/>
      <c r="AB244" s="7715"/>
      <c r="AC244" s="7715"/>
      <c r="AD244" s="7715"/>
      <c r="AE244" s="7715"/>
      <c r="AF244" s="7715"/>
      <c r="AG244" s="7715"/>
      <c r="AH244" s="7715"/>
      <c r="AI244" s="7715"/>
      <c r="AJ244" s="7715"/>
      <c r="AK244" s="7715"/>
      <c r="AL244" s="1421"/>
      <c r="AM244" s="1949"/>
      <c r="AN244" s="1949"/>
      <c r="AO244" s="1421"/>
      <c r="AP244" s="1421"/>
      <c r="AQ244" s="1421"/>
      <c r="AR244" s="1421"/>
      <c r="AS244" s="1949"/>
      <c r="AT244" s="1421"/>
      <c r="AU244" s="1421"/>
      <c r="AV244" s="781"/>
      <c r="AW244" s="1421"/>
      <c r="AX244" s="1421"/>
      <c r="AY244" s="1421"/>
      <c r="AZ244" s="1421"/>
      <c r="BA244" s="1421"/>
      <c r="BB244" s="1945"/>
      <c r="BC244" s="803"/>
      <c r="BD244" s="803"/>
      <c r="BE244" s="803"/>
      <c r="BF244" s="803"/>
    </row>
    <row s="10822" customFormat="1" customHeight="1" ht="11.25">
      <c r="A245" s="1243"/>
      <c r="B245" s="1949"/>
      <c r="C245" s="1949"/>
      <c r="D245" s="572"/>
      <c r="J245" s="7715"/>
      <c r="K245" s="7715"/>
      <c r="L245" s="7715"/>
      <c r="M245" s="7715"/>
      <c r="N245" s="7715"/>
      <c r="O245" s="7715"/>
      <c r="P245" s="7715"/>
      <c r="Q245" s="7715"/>
      <c r="R245" s="7715"/>
      <c r="S245" s="7715"/>
      <c r="T245" s="7715"/>
      <c r="U245" s="7715"/>
      <c r="V245" s="7715"/>
      <c r="W245" s="7715"/>
      <c r="X245" s="7715"/>
      <c r="Y245" s="7715"/>
      <c r="Z245" s="7715"/>
      <c r="AA245" s="7715"/>
      <c r="AB245" s="7715"/>
      <c r="AC245" s="7715"/>
      <c r="AD245" s="7715"/>
      <c r="AE245" s="7715"/>
      <c r="AF245" s="7715"/>
      <c r="AG245" s="7715"/>
      <c r="AH245" s="7715"/>
      <c r="AI245" s="7715"/>
      <c r="AJ245" s="7715"/>
      <c r="AK245" s="7715"/>
      <c r="AL245" s="1421"/>
      <c r="AM245" s="1949"/>
      <c r="AN245" s="1949"/>
      <c r="AO245" s="1421"/>
      <c r="AP245" s="1421"/>
      <c r="AQ245" s="1421"/>
      <c r="AR245" s="1421"/>
      <c r="AS245" s="1949"/>
      <c r="AT245" s="1421"/>
      <c r="AU245" s="1421"/>
      <c r="AV245" s="781"/>
      <c r="AW245" s="1421"/>
      <c r="AX245" s="1421"/>
      <c r="AY245" s="1421"/>
      <c r="AZ245" s="1421"/>
      <c r="BA245" s="1421"/>
      <c r="BB245" s="1945"/>
      <c r="BC245" s="803"/>
      <c r="BD245" s="803"/>
      <c r="BE245" s="803"/>
      <c r="BF245" s="803"/>
    </row>
    <row s="10822" customFormat="1" customHeight="1" ht="11.25">
      <c r="A246" s="1243"/>
      <c r="B246" s="1949"/>
      <c r="C246" s="1949"/>
      <c r="D246" s="572"/>
      <c r="J246" s="7715"/>
      <c r="K246" s="7715"/>
      <c r="L246" s="7715"/>
      <c r="M246" s="7715"/>
      <c r="N246" s="7715"/>
      <c r="O246" s="7715"/>
      <c r="P246" s="7715"/>
      <c r="Q246" s="7715"/>
      <c r="R246" s="7715"/>
      <c r="S246" s="7715"/>
      <c r="T246" s="7715"/>
      <c r="U246" s="7715"/>
      <c r="V246" s="7715"/>
      <c r="W246" s="7715"/>
      <c r="X246" s="7715"/>
      <c r="Y246" s="7715"/>
      <c r="Z246" s="7715"/>
      <c r="AA246" s="7715"/>
      <c r="AB246" s="7715"/>
      <c r="AC246" s="7715"/>
      <c r="AD246" s="7715"/>
      <c r="AE246" s="7715"/>
      <c r="AF246" s="7715"/>
      <c r="AG246" s="7715"/>
      <c r="AH246" s="7715"/>
      <c r="AI246" s="7715"/>
      <c r="AJ246" s="7715"/>
      <c r="AK246" s="7715"/>
      <c r="AL246" s="1421"/>
      <c r="AM246" s="1949"/>
      <c r="AN246" s="1949"/>
      <c r="AO246" s="1421"/>
      <c r="AP246" s="1421"/>
      <c r="AQ246" s="1421"/>
      <c r="AR246" s="1421"/>
      <c r="AS246" s="1949"/>
      <c r="AT246" s="1421"/>
      <c r="AU246" s="1421"/>
      <c r="AV246" s="781"/>
      <c r="AW246" s="1421"/>
      <c r="AX246" s="1421"/>
      <c r="AY246" s="1421"/>
      <c r="AZ246" s="1421"/>
      <c r="BA246" s="1421"/>
      <c r="BB246" s="1945"/>
      <c r="BC246" s="803"/>
      <c r="BD246" s="803"/>
      <c r="BE246" s="803"/>
      <c r="BF246" s="803"/>
    </row>
    <row s="10822" customFormat="1" customHeight="1" ht="11.25">
      <c r="A247" s="1243"/>
      <c r="B247" s="1949"/>
      <c r="C247" s="1949"/>
      <c r="D247" s="572"/>
      <c r="J247" s="7715"/>
      <c r="K247" s="7715"/>
      <c r="L247" s="7715"/>
      <c r="M247" s="7715"/>
      <c r="N247" s="7715"/>
      <c r="O247" s="7715"/>
      <c r="P247" s="7715"/>
      <c r="Q247" s="7715"/>
      <c r="R247" s="7715"/>
      <c r="S247" s="7715"/>
      <c r="T247" s="7715"/>
      <c r="U247" s="7715"/>
      <c r="V247" s="7715"/>
      <c r="W247" s="7715"/>
      <c r="X247" s="7715"/>
      <c r="Y247" s="7715"/>
      <c r="Z247" s="7715"/>
      <c r="AA247" s="7715"/>
      <c r="AB247" s="7715"/>
      <c r="AC247" s="7715"/>
      <c r="AD247" s="7715"/>
      <c r="AE247" s="7715"/>
      <c r="AF247" s="7715"/>
      <c r="AG247" s="7715"/>
      <c r="AH247" s="7715"/>
      <c r="AI247" s="7715"/>
      <c r="AJ247" s="7715"/>
      <c r="AK247" s="7715"/>
      <c r="AL247" s="1421"/>
      <c r="AM247" s="1949"/>
      <c r="AN247" s="1949"/>
      <c r="AO247" s="1421"/>
      <c r="AP247" s="1421"/>
      <c r="AQ247" s="1421"/>
      <c r="AR247" s="1421"/>
      <c r="AS247" s="1949"/>
      <c r="AT247" s="1421"/>
      <c r="AU247" s="1421"/>
      <c r="AV247" s="781"/>
      <c r="AW247" s="1421"/>
      <c r="AX247" s="1421"/>
      <c r="AY247" s="1421"/>
      <c r="AZ247" s="1421"/>
      <c r="BA247" s="1421"/>
      <c r="BB247" s="1945"/>
      <c r="BC247" s="803"/>
      <c r="BD247" s="803"/>
      <c r="BE247" s="803"/>
      <c r="BF247" s="803"/>
    </row>
    <row s="10822" customFormat="1" customHeight="1" ht="11.25">
      <c r="A248" s="1243"/>
      <c r="B248" s="1949"/>
      <c r="C248" s="1949"/>
      <c r="D248" s="572"/>
      <c r="J248" s="7715"/>
      <c r="K248" s="7715"/>
      <c r="L248" s="7715"/>
      <c r="M248" s="7715"/>
      <c r="N248" s="7715"/>
      <c r="O248" s="7715"/>
      <c r="P248" s="7715"/>
      <c r="Q248" s="7715"/>
      <c r="R248" s="7715"/>
      <c r="S248" s="7715"/>
      <c r="T248" s="7715"/>
      <c r="U248" s="7715"/>
      <c r="V248" s="7715"/>
      <c r="W248" s="7715"/>
      <c r="X248" s="7715"/>
      <c r="Y248" s="7715"/>
      <c r="Z248" s="7715"/>
      <c r="AA248" s="7715"/>
      <c r="AB248" s="7715"/>
      <c r="AC248" s="7715"/>
      <c r="AD248" s="7715"/>
      <c r="AE248" s="7715"/>
      <c r="AF248" s="7715"/>
      <c r="AG248" s="7715"/>
      <c r="AH248" s="7715"/>
      <c r="AI248" s="7715"/>
      <c r="AJ248" s="7715"/>
      <c r="AK248" s="7715"/>
      <c r="AL248" s="1421"/>
      <c r="AM248" s="1949"/>
      <c r="AN248" s="1949"/>
      <c r="AO248" s="1421"/>
      <c r="AP248" s="1421"/>
      <c r="AQ248" s="1421"/>
      <c r="AR248" s="1421"/>
      <c r="AS248" s="1949"/>
      <c r="AT248" s="1421"/>
      <c r="AU248" s="1421"/>
      <c r="AV248" s="781"/>
      <c r="AW248" s="1421"/>
      <c r="AX248" s="1421"/>
      <c r="AY248" s="1421"/>
      <c r="AZ248" s="1421"/>
      <c r="BA248" s="1421"/>
      <c r="BB248" s="1945"/>
      <c r="BC248" s="803"/>
      <c r="BD248" s="803"/>
      <c r="BE248" s="803"/>
      <c r="BF248" s="803"/>
    </row>
    <row s="10822" customFormat="1" customHeight="1" ht="11.25">
      <c r="A249" s="1243"/>
      <c r="B249" s="1949"/>
      <c r="C249" s="1949"/>
      <c r="D249" s="572"/>
      <c r="J249" s="7715"/>
      <c r="K249" s="7715"/>
      <c r="L249" s="7715"/>
      <c r="M249" s="7715"/>
      <c r="N249" s="7715"/>
      <c r="O249" s="7715"/>
      <c r="P249" s="7715"/>
      <c r="Q249" s="7715"/>
      <c r="R249" s="7715"/>
      <c r="S249" s="7715"/>
      <c r="T249" s="7715"/>
      <c r="U249" s="7715"/>
      <c r="V249" s="7715"/>
      <c r="W249" s="7715"/>
      <c r="X249" s="7715"/>
      <c r="Y249" s="7715"/>
      <c r="Z249" s="7715"/>
      <c r="AA249" s="7715"/>
      <c r="AB249" s="7715"/>
      <c r="AC249" s="7715"/>
      <c r="AD249" s="7715"/>
      <c r="AE249" s="7715"/>
      <c r="AF249" s="7715"/>
      <c r="AG249" s="7715"/>
      <c r="AH249" s="7715"/>
      <c r="AI249" s="7715"/>
      <c r="AJ249" s="7715"/>
      <c r="AK249" s="7715"/>
      <c r="AL249" s="1421"/>
      <c r="AM249" s="1949"/>
      <c r="AN249" s="1949"/>
      <c r="AO249" s="1421"/>
      <c r="AP249" s="1421"/>
      <c r="AQ249" s="1421"/>
      <c r="AR249" s="1421"/>
      <c r="AS249" s="1949"/>
      <c r="AT249" s="1421"/>
      <c r="AU249" s="1421"/>
      <c r="AV249" s="781"/>
      <c r="AW249" s="1421"/>
      <c r="AX249" s="1421"/>
      <c r="AY249" s="1421"/>
      <c r="AZ249" s="1421"/>
      <c r="BA249" s="1421"/>
      <c r="BB249" s="1945"/>
      <c r="BC249" s="803"/>
      <c r="BD249" s="803"/>
      <c r="BE249" s="803"/>
      <c r="BF249" s="803"/>
    </row>
    <row s="10822" customFormat="1" customHeight="1" ht="11.25">
      <c r="A250" s="1243"/>
      <c r="B250" s="1949"/>
      <c r="C250" s="1949"/>
      <c r="D250" s="572"/>
      <c r="J250" s="7715"/>
      <c r="K250" s="7715"/>
      <c r="L250" s="7715"/>
      <c r="M250" s="7715"/>
      <c r="N250" s="7715"/>
      <c r="O250" s="7715"/>
      <c r="P250" s="7715"/>
      <c r="Q250" s="7715"/>
      <c r="R250" s="7715"/>
      <c r="S250" s="7715"/>
      <c r="T250" s="7715"/>
      <c r="U250" s="7715"/>
      <c r="V250" s="7715"/>
      <c r="W250" s="7715"/>
      <c r="X250" s="7715"/>
      <c r="Y250" s="7715"/>
      <c r="Z250" s="7715"/>
      <c r="AA250" s="7715"/>
      <c r="AB250" s="7715"/>
      <c r="AC250" s="7715"/>
      <c r="AD250" s="7715"/>
      <c r="AE250" s="7715"/>
      <c r="AF250" s="7715"/>
      <c r="AG250" s="7715"/>
      <c r="AH250" s="7715"/>
      <c r="AI250" s="7715"/>
      <c r="AJ250" s="7715"/>
      <c r="AK250" s="7715"/>
      <c r="AL250" s="1421"/>
      <c r="AM250" s="1949"/>
      <c r="AN250" s="1949"/>
      <c r="AO250" s="1421"/>
      <c r="AP250" s="1421"/>
      <c r="AQ250" s="1421"/>
      <c r="AR250" s="1421"/>
      <c r="AS250" s="1949"/>
      <c r="AT250" s="1421"/>
      <c r="AU250" s="1421"/>
      <c r="AV250" s="781"/>
      <c r="AW250" s="1421"/>
      <c r="AX250" s="1421"/>
      <c r="AY250" s="1421"/>
      <c r="AZ250" s="1421"/>
      <c r="BA250" s="1421"/>
      <c r="BB250" s="1945"/>
      <c r="BC250" s="803"/>
      <c r="BD250" s="803"/>
      <c r="BE250" s="803"/>
      <c r="BF250" s="803"/>
    </row>
    <row s="10822" customFormat="1" customHeight="1" ht="11.25">
      <c r="A251" s="1243"/>
      <c r="B251" s="1949"/>
      <c r="C251" s="1949"/>
      <c r="D251" s="572"/>
      <c r="J251" s="7715"/>
      <c r="K251" s="7715"/>
      <c r="L251" s="7715"/>
      <c r="M251" s="7715"/>
      <c r="N251" s="7715"/>
      <c r="O251" s="7715"/>
      <c r="P251" s="7715"/>
      <c r="Q251" s="7715"/>
      <c r="R251" s="7715"/>
      <c r="S251" s="7715"/>
      <c r="T251" s="7715"/>
      <c r="U251" s="7715"/>
      <c r="V251" s="7715"/>
      <c r="W251" s="7715"/>
      <c r="X251" s="7715"/>
      <c r="Y251" s="7715"/>
      <c r="Z251" s="7715"/>
      <c r="AA251" s="7715"/>
      <c r="AB251" s="7715"/>
      <c r="AC251" s="7715"/>
      <c r="AD251" s="7715"/>
      <c r="AE251" s="7715"/>
      <c r="AF251" s="7715"/>
      <c r="AG251" s="7715"/>
      <c r="AH251" s="7715"/>
      <c r="AI251" s="7715"/>
      <c r="AJ251" s="7715"/>
      <c r="AK251" s="7715"/>
      <c r="AL251" s="1421"/>
      <c r="AM251" s="1949"/>
      <c r="AN251" s="1949"/>
      <c r="AO251" s="1421"/>
      <c r="AP251" s="1421"/>
      <c r="AQ251" s="1421"/>
      <c r="AR251" s="1421"/>
      <c r="AS251" s="1949"/>
      <c r="AT251" s="1421"/>
      <c r="AU251" s="1421"/>
      <c r="AV251" s="781"/>
      <c r="AW251" s="1421"/>
      <c r="AX251" s="1421"/>
      <c r="AY251" s="1421"/>
      <c r="AZ251" s="1421"/>
      <c r="BA251" s="1421"/>
      <c r="BB251" s="1945"/>
      <c r="BC251" s="803"/>
      <c r="BD251" s="803"/>
      <c r="BE251" s="803"/>
      <c r="BF251" s="803"/>
    </row>
    <row s="10822" customFormat="1" customHeight="1" ht="11.25">
      <c r="A252" s="1243"/>
      <c r="B252" s="1949"/>
      <c r="C252" s="1949"/>
      <c r="D252" s="572"/>
      <c r="J252" s="7715"/>
      <c r="K252" s="7715"/>
      <c r="L252" s="7715"/>
      <c r="M252" s="7715"/>
      <c r="N252" s="7715"/>
      <c r="O252" s="7715"/>
      <c r="P252" s="7715"/>
      <c r="Q252" s="7715"/>
      <c r="R252" s="7715"/>
      <c r="S252" s="7715"/>
      <c r="T252" s="7715"/>
      <c r="U252" s="7715"/>
      <c r="V252" s="7715"/>
      <c r="W252" s="7715"/>
      <c r="X252" s="7715"/>
      <c r="Y252" s="7715"/>
      <c r="Z252" s="7715"/>
      <c r="AA252" s="7715"/>
      <c r="AB252" s="7715"/>
      <c r="AC252" s="7715"/>
      <c r="AD252" s="7715"/>
      <c r="AE252" s="7715"/>
      <c r="AF252" s="7715"/>
      <c r="AG252" s="7715"/>
      <c r="AH252" s="7715"/>
      <c r="AI252" s="7715"/>
      <c r="AJ252" s="7715"/>
      <c r="AK252" s="7715"/>
      <c r="AL252" s="1421"/>
      <c r="AM252" s="1949"/>
      <c r="AN252" s="1949"/>
      <c r="AO252" s="1421"/>
      <c r="AP252" s="1421"/>
      <c r="AQ252" s="1421"/>
      <c r="AR252" s="1421"/>
      <c r="AS252" s="1949"/>
      <c r="AT252" s="1421"/>
      <c r="AU252" s="1421"/>
      <c r="AV252" s="781"/>
      <c r="AW252" s="1421"/>
      <c r="AX252" s="1421"/>
      <c r="AY252" s="1421"/>
      <c r="AZ252" s="1421"/>
      <c r="BA252" s="1421"/>
      <c r="BB252" s="1945"/>
      <c r="BC252" s="803"/>
      <c r="BD252" s="803"/>
      <c r="BE252" s="803"/>
      <c r="BF252" s="803"/>
    </row>
    <row s="10822" customFormat="1" customHeight="1" ht="11.25">
      <c r="A253" s="1243"/>
      <c r="B253" s="1949"/>
      <c r="C253" s="1949"/>
      <c r="D253" s="572"/>
      <c r="J253" s="7715"/>
      <c r="K253" s="7715"/>
      <c r="L253" s="7715"/>
      <c r="M253" s="7715"/>
      <c r="N253" s="7715"/>
      <c r="O253" s="7715"/>
      <c r="P253" s="7715"/>
      <c r="Q253" s="7715"/>
      <c r="R253" s="7715"/>
      <c r="S253" s="7715"/>
      <c r="T253" s="7715"/>
      <c r="U253" s="7715"/>
      <c r="V253" s="7715"/>
      <c r="W253" s="7715"/>
      <c r="X253" s="7715"/>
      <c r="Y253" s="7715"/>
      <c r="Z253" s="7715"/>
      <c r="AA253" s="7715"/>
      <c r="AB253" s="7715"/>
      <c r="AC253" s="7715"/>
      <c r="AD253" s="7715"/>
      <c r="AE253" s="7715"/>
      <c r="AF253" s="7715"/>
      <c r="AG253" s="7715"/>
      <c r="AH253" s="7715"/>
      <c r="AI253" s="7715"/>
      <c r="AJ253" s="7715"/>
      <c r="AK253" s="7715"/>
      <c r="AL253" s="1421"/>
      <c r="AM253" s="1949"/>
      <c r="AN253" s="1949"/>
      <c r="AO253" s="1421"/>
      <c r="AP253" s="1421"/>
      <c r="AQ253" s="1421"/>
      <c r="AR253" s="1421"/>
      <c r="AS253" s="1949"/>
      <c r="AT253" s="1421"/>
      <c r="AU253" s="1421"/>
      <c r="AV253" s="781"/>
      <c r="AW253" s="1421"/>
      <c r="AX253" s="1421"/>
      <c r="AY253" s="1421"/>
      <c r="AZ253" s="1421"/>
      <c r="BA253" s="1421"/>
      <c r="BB253" s="1945"/>
      <c r="BC253" s="803"/>
      <c r="BD253" s="803"/>
      <c r="BE253" s="803"/>
      <c r="BF253" s="803"/>
    </row>
    <row s="10822" customFormat="1" customHeight="1" ht="11.25">
      <c r="A254" s="1243"/>
      <c r="B254" s="1949"/>
      <c r="C254" s="1949"/>
      <c r="D254" s="572"/>
      <c r="J254" s="7715"/>
      <c r="K254" s="7715"/>
      <c r="L254" s="7715"/>
      <c r="M254" s="7715"/>
      <c r="N254" s="7715"/>
      <c r="O254" s="7715"/>
      <c r="P254" s="7715"/>
      <c r="Q254" s="7715"/>
      <c r="R254" s="7715"/>
      <c r="S254" s="7715"/>
      <c r="T254" s="7715"/>
      <c r="U254" s="7715"/>
      <c r="V254" s="7715"/>
      <c r="W254" s="7715"/>
      <c r="X254" s="7715"/>
      <c r="Y254" s="7715"/>
      <c r="Z254" s="7715"/>
      <c r="AA254" s="7715"/>
      <c r="AB254" s="7715"/>
      <c r="AC254" s="7715"/>
      <c r="AD254" s="7715"/>
      <c r="AE254" s="7715"/>
      <c r="AF254" s="7715"/>
      <c r="AG254" s="7715"/>
      <c r="AH254" s="7715"/>
      <c r="AI254" s="7715"/>
      <c r="AJ254" s="7715"/>
      <c r="AK254" s="7715"/>
      <c r="AL254" s="1421"/>
      <c r="AM254" s="1949"/>
      <c r="AN254" s="1949"/>
      <c r="AO254" s="1421"/>
      <c r="AP254" s="1421"/>
      <c r="AQ254" s="1421"/>
      <c r="AR254" s="1421"/>
      <c r="AS254" s="1949"/>
      <c r="AT254" s="1421"/>
      <c r="AU254" s="1421"/>
      <c r="AV254" s="781"/>
      <c r="AW254" s="1421"/>
      <c r="AX254" s="1421"/>
      <c r="AY254" s="1421"/>
      <c r="AZ254" s="1421"/>
      <c r="BA254" s="1421"/>
      <c r="BB254" s="1945"/>
      <c r="BC254" s="803"/>
      <c r="BD254" s="803"/>
      <c r="BE254" s="803"/>
      <c r="BF254" s="803"/>
    </row>
    <row s="10822" customFormat="1" customHeight="1" ht="11.25">
      <c r="A255" s="1243"/>
      <c r="B255" s="1949"/>
      <c r="C255" s="1949"/>
      <c r="D255" s="572"/>
      <c r="J255" s="7715"/>
      <c r="K255" s="7715"/>
      <c r="L255" s="7715"/>
      <c r="M255" s="7715"/>
      <c r="N255" s="7715"/>
      <c r="O255" s="7715"/>
      <c r="P255" s="7715"/>
      <c r="Q255" s="7715"/>
      <c r="R255" s="7715"/>
      <c r="S255" s="7715"/>
      <c r="T255" s="7715"/>
      <c r="U255" s="7715"/>
      <c r="V255" s="7715"/>
      <c r="W255" s="7715"/>
      <c r="X255" s="7715"/>
      <c r="Y255" s="7715"/>
      <c r="Z255" s="7715"/>
      <c r="AA255" s="7715"/>
      <c r="AB255" s="7715"/>
      <c r="AC255" s="7715"/>
      <c r="AD255" s="7715"/>
      <c r="AE255" s="7715"/>
      <c r="AF255" s="7715"/>
      <c r="AG255" s="7715"/>
      <c r="AH255" s="7715"/>
      <c r="AI255" s="7715"/>
      <c r="AJ255" s="7715"/>
      <c r="AK255" s="7715"/>
      <c r="AL255" s="1421"/>
      <c r="AM255" s="1949"/>
      <c r="AN255" s="1949"/>
      <c r="AO255" s="1421"/>
      <c r="AP255" s="1421"/>
      <c r="AQ255" s="1421"/>
      <c r="AR255" s="1421"/>
      <c r="AS255" s="1949"/>
      <c r="AT255" s="1421"/>
      <c r="AU255" s="1421"/>
      <c r="AV255" s="781"/>
      <c r="AW255" s="1421"/>
      <c r="AX255" s="1421"/>
      <c r="AY255" s="1421"/>
      <c r="AZ255" s="1421"/>
      <c r="BA255" s="1421"/>
      <c r="BB255" s="1945"/>
      <c r="BC255" s="803"/>
      <c r="BD255" s="803"/>
      <c r="BE255" s="803"/>
      <c r="BF255" s="803"/>
    </row>
    <row s="10822" customFormat="1" customHeight="1" ht="11.25">
      <c r="A256" s="1243"/>
      <c r="B256" s="1949"/>
      <c r="C256" s="1949"/>
      <c r="D256" s="572"/>
      <c r="J256" s="7715"/>
      <c r="K256" s="7715"/>
      <c r="L256" s="7715"/>
      <c r="M256" s="7715"/>
      <c r="N256" s="7715"/>
      <c r="O256" s="7715"/>
      <c r="P256" s="7715"/>
      <c r="Q256" s="7715"/>
      <c r="R256" s="7715"/>
      <c r="S256" s="7715"/>
      <c r="T256" s="7715"/>
      <c r="U256" s="7715"/>
      <c r="V256" s="7715"/>
      <c r="W256" s="7715"/>
      <c r="X256" s="7715"/>
      <c r="Y256" s="7715"/>
      <c r="Z256" s="7715"/>
      <c r="AA256" s="7715"/>
      <c r="AB256" s="7715"/>
      <c r="AC256" s="7715"/>
      <c r="AD256" s="7715"/>
      <c r="AE256" s="7715"/>
      <c r="AF256" s="7715"/>
      <c r="AG256" s="7715"/>
      <c r="AH256" s="7715"/>
      <c r="AI256" s="7715"/>
      <c r="AJ256" s="7715"/>
      <c r="AK256" s="7715"/>
      <c r="AL256" s="1421"/>
      <c r="AM256" s="1949"/>
      <c r="AN256" s="1949"/>
      <c r="AO256" s="1421"/>
      <c r="AP256" s="1421"/>
      <c r="AQ256" s="1421"/>
      <c r="AR256" s="1421"/>
      <c r="AS256" s="1949"/>
      <c r="AT256" s="1421"/>
      <c r="AU256" s="1421"/>
      <c r="AV256" s="781"/>
      <c r="AW256" s="1421"/>
      <c r="AX256" s="1421"/>
      <c r="AY256" s="1421"/>
      <c r="AZ256" s="1421"/>
      <c r="BA256" s="1421"/>
      <c r="BB256" s="1945"/>
      <c r="BC256" s="803"/>
      <c r="BD256" s="803"/>
      <c r="BE256" s="803"/>
      <c r="BF256" s="803"/>
    </row>
    <row s="10822" customFormat="1" customHeight="1" ht="11.25">
      <c r="A257" s="1243"/>
      <c r="B257" s="1949"/>
      <c r="C257" s="1949"/>
      <c r="D257" s="572"/>
      <c r="J257" s="7715"/>
      <c r="K257" s="7715"/>
      <c r="L257" s="7715"/>
      <c r="M257" s="7715"/>
      <c r="N257" s="7715"/>
      <c r="O257" s="7715"/>
      <c r="P257" s="7715"/>
      <c r="Q257" s="7715"/>
      <c r="R257" s="7715"/>
      <c r="S257" s="7715"/>
      <c r="T257" s="7715"/>
      <c r="U257" s="7715"/>
      <c r="V257" s="7715"/>
      <c r="W257" s="7715"/>
      <c r="X257" s="7715"/>
      <c r="Y257" s="7715"/>
      <c r="Z257" s="7715"/>
      <c r="AA257" s="7715"/>
      <c r="AB257" s="7715"/>
      <c r="AC257" s="7715"/>
      <c r="AD257" s="7715"/>
      <c r="AE257" s="7715"/>
      <c r="AF257" s="7715"/>
      <c r="AG257" s="7715"/>
      <c r="AH257" s="7715"/>
      <c r="AI257" s="7715"/>
      <c r="AJ257" s="7715"/>
      <c r="AK257" s="7715"/>
      <c r="AL257" s="1421"/>
      <c r="AM257" s="1949"/>
      <c r="AN257" s="1949"/>
      <c r="AO257" s="1421"/>
      <c r="AP257" s="1421"/>
      <c r="AQ257" s="1421"/>
      <c r="AR257" s="1421"/>
      <c r="AS257" s="1949"/>
      <c r="AT257" s="1421"/>
      <c r="AU257" s="1421"/>
      <c r="AV257" s="781"/>
      <c r="AW257" s="1421"/>
      <c r="AX257" s="1421"/>
      <c r="AY257" s="1421"/>
      <c r="AZ257" s="1421"/>
      <c r="BA257" s="1421"/>
      <c r="BB257" s="1945"/>
      <c r="BC257" s="803"/>
      <c r="BD257" s="803"/>
      <c r="BE257" s="803"/>
      <c r="BF257" s="803"/>
    </row>
    <row s="10822" customFormat="1" customHeight="1" ht="11.25">
      <c r="A258" s="1243"/>
      <c r="B258" s="1949"/>
      <c r="C258" s="1949"/>
      <c r="D258" s="572"/>
      <c r="J258" s="7715"/>
      <c r="K258" s="7715"/>
      <c r="L258" s="7715"/>
      <c r="M258" s="7715"/>
      <c r="N258" s="7715"/>
      <c r="O258" s="7715"/>
      <c r="P258" s="7715"/>
      <c r="Q258" s="7715"/>
      <c r="R258" s="7715"/>
      <c r="S258" s="7715"/>
      <c r="T258" s="7715"/>
      <c r="U258" s="7715"/>
      <c r="V258" s="7715"/>
      <c r="W258" s="7715"/>
      <c r="X258" s="7715"/>
      <c r="Y258" s="7715"/>
      <c r="Z258" s="7715"/>
      <c r="AA258" s="7715"/>
      <c r="AB258" s="7715"/>
      <c r="AC258" s="7715"/>
      <c r="AD258" s="7715"/>
      <c r="AE258" s="7715"/>
      <c r="AF258" s="7715"/>
      <c r="AG258" s="7715"/>
      <c r="AH258" s="7715"/>
      <c r="AI258" s="7715"/>
      <c r="AJ258" s="7715"/>
      <c r="AK258" s="7715"/>
      <c r="AL258" s="1421"/>
      <c r="AM258" s="1949"/>
      <c r="AN258" s="1949"/>
      <c r="AO258" s="1421"/>
      <c r="AP258" s="1421"/>
      <c r="AQ258" s="1421"/>
      <c r="AR258" s="1421"/>
      <c r="AS258" s="1949"/>
      <c r="AT258" s="1421"/>
      <c r="AU258" s="1421"/>
      <c r="AV258" s="781"/>
      <c r="AW258" s="1421"/>
      <c r="AX258" s="1421"/>
      <c r="AY258" s="1421"/>
      <c r="AZ258" s="1421"/>
      <c r="BA258" s="1421"/>
      <c r="BB258" s="1945"/>
      <c r="BC258" s="803"/>
      <c r="BD258" s="803"/>
      <c r="BE258" s="803"/>
      <c r="BF258" s="803"/>
    </row>
    <row s="10822" customFormat="1" customHeight="1" ht="11.25">
      <c r="A259" s="1243"/>
      <c r="B259" s="1949"/>
      <c r="C259" s="1949"/>
      <c r="D259" s="572"/>
      <c r="J259" s="7715"/>
      <c r="K259" s="7715"/>
      <c r="L259" s="7715"/>
      <c r="M259" s="7715"/>
      <c r="N259" s="7715"/>
      <c r="O259" s="7715"/>
      <c r="P259" s="7715"/>
      <c r="Q259" s="7715"/>
      <c r="R259" s="7715"/>
      <c r="S259" s="7715"/>
      <c r="T259" s="7715"/>
      <c r="U259" s="7715"/>
      <c r="V259" s="7715"/>
      <c r="W259" s="7715"/>
      <c r="X259" s="7715"/>
      <c r="Y259" s="7715"/>
      <c r="Z259" s="7715"/>
      <c r="AA259" s="7715"/>
      <c r="AB259" s="7715"/>
      <c r="AC259" s="7715"/>
      <c r="AD259" s="7715"/>
      <c r="AE259" s="7715"/>
      <c r="AF259" s="7715"/>
      <c r="AG259" s="7715"/>
      <c r="AH259" s="7715"/>
      <c r="AI259" s="7715"/>
      <c r="AJ259" s="7715"/>
      <c r="AK259" s="7715"/>
      <c r="AL259" s="1421"/>
      <c r="AM259" s="1949"/>
      <c r="AN259" s="1949"/>
      <c r="AO259" s="1421"/>
      <c r="AP259" s="1421"/>
      <c r="AQ259" s="1421"/>
      <c r="AR259" s="1421"/>
      <c r="AS259" s="1949"/>
      <c r="AT259" s="1421"/>
      <c r="AU259" s="1421"/>
      <c r="AV259" s="781"/>
      <c r="AW259" s="1421"/>
      <c r="AX259" s="1421"/>
      <c r="AY259" s="1421"/>
      <c r="AZ259" s="1421"/>
      <c r="BA259" s="1421"/>
      <c r="BB259" s="1945"/>
      <c r="BC259" s="803"/>
      <c r="BD259" s="803"/>
      <c r="BE259" s="803"/>
      <c r="BF259" s="803"/>
    </row>
    <row s="10822" customFormat="1" customHeight="1" ht="11.25">
      <c r="A260" s="1243"/>
      <c r="B260" s="1949"/>
      <c r="C260" s="1949"/>
      <c r="D260" s="572"/>
      <c r="J260" s="7715"/>
      <c r="K260" s="7715"/>
      <c r="L260" s="7715"/>
      <c r="M260" s="7715"/>
      <c r="N260" s="7715"/>
      <c r="O260" s="7715"/>
      <c r="P260" s="7715"/>
      <c r="Q260" s="7715"/>
      <c r="R260" s="7715"/>
      <c r="S260" s="7715"/>
      <c r="T260" s="7715"/>
      <c r="U260" s="7715"/>
      <c r="V260" s="7715"/>
      <c r="W260" s="7715"/>
      <c r="X260" s="7715"/>
      <c r="Y260" s="7715"/>
      <c r="Z260" s="7715"/>
      <c r="AA260" s="7715"/>
      <c r="AB260" s="7715"/>
      <c r="AC260" s="7715"/>
      <c r="AD260" s="7715"/>
      <c r="AE260" s="7715"/>
      <c r="AF260" s="7715"/>
      <c r="AG260" s="7715"/>
      <c r="AH260" s="7715"/>
      <c r="AI260" s="7715"/>
      <c r="AJ260" s="7715"/>
      <c r="AK260" s="7715"/>
      <c r="AL260" s="1421"/>
      <c r="AM260" s="1949"/>
      <c r="AN260" s="1949"/>
      <c r="AO260" s="1421"/>
      <c r="AP260" s="1421"/>
      <c r="AQ260" s="1421"/>
      <c r="AR260" s="1421"/>
      <c r="AS260" s="1949"/>
      <c r="AT260" s="1421"/>
      <c r="AU260" s="1421"/>
      <c r="AV260" s="781"/>
      <c r="AW260" s="1421"/>
      <c r="AX260" s="1421"/>
      <c r="AY260" s="1421"/>
      <c r="AZ260" s="1421"/>
      <c r="BA260" s="1421"/>
      <c r="BB260" s="1945"/>
      <c r="BC260" s="803"/>
      <c r="BD260" s="803"/>
      <c r="BE260" s="803"/>
      <c r="BF260" s="803"/>
    </row>
    <row s="10822" customFormat="1" customHeight="1" ht="11.25">
      <c r="A261" s="1243"/>
      <c r="B261" s="1949"/>
      <c r="C261" s="1949"/>
      <c r="D261" s="572"/>
      <c r="J261" s="7715"/>
      <c r="K261" s="7715"/>
      <c r="L261" s="7715"/>
      <c r="M261" s="7715"/>
      <c r="N261" s="7715"/>
      <c r="O261" s="7715"/>
      <c r="P261" s="7715"/>
      <c r="Q261" s="7715"/>
      <c r="R261" s="7715"/>
      <c r="S261" s="7715"/>
      <c r="T261" s="7715"/>
      <c r="U261" s="7715"/>
      <c r="V261" s="7715"/>
      <c r="W261" s="7715"/>
      <c r="X261" s="7715"/>
      <c r="Y261" s="7715"/>
      <c r="Z261" s="7715"/>
      <c r="AA261" s="7715"/>
      <c r="AB261" s="7715"/>
      <c r="AC261" s="7715"/>
      <c r="AD261" s="7715"/>
      <c r="AE261" s="7715"/>
      <c r="AF261" s="7715"/>
      <c r="AG261" s="7715"/>
      <c r="AH261" s="7715"/>
      <c r="AI261" s="7715"/>
      <c r="AJ261" s="7715"/>
      <c r="AK261" s="7715"/>
      <c r="AL261" s="1421"/>
      <c r="AM261" s="1949"/>
      <c r="AN261" s="1949"/>
      <c r="AO261" s="1421"/>
      <c r="AP261" s="1421"/>
      <c r="AQ261" s="1421"/>
      <c r="AR261" s="1421"/>
      <c r="AS261" s="1949"/>
      <c r="AT261" s="1421"/>
      <c r="AU261" s="1421"/>
      <c r="AV261" s="781"/>
      <c r="AW261" s="1421"/>
      <c r="AX261" s="1421"/>
      <c r="AY261" s="1421"/>
      <c r="AZ261" s="1421"/>
      <c r="BA261" s="1421"/>
      <c r="BB261" s="1945"/>
      <c r="BC261" s="803"/>
      <c r="BD261" s="803"/>
      <c r="BE261" s="803"/>
      <c r="BF261" s="803"/>
    </row>
    <row s="10822" customFormat="1" customHeight="1" ht="11.25">
      <c r="A262" s="1243"/>
      <c r="B262" s="1949"/>
      <c r="C262" s="1949"/>
      <c r="D262" s="572"/>
      <c r="J262" s="7715"/>
      <c r="K262" s="7715"/>
      <c r="L262" s="7715"/>
      <c r="M262" s="7715"/>
      <c r="N262" s="7715"/>
      <c r="O262" s="7715"/>
      <c r="P262" s="7715"/>
      <c r="Q262" s="7715"/>
      <c r="R262" s="7715"/>
      <c r="S262" s="7715"/>
      <c r="T262" s="7715"/>
      <c r="U262" s="7715"/>
      <c r="V262" s="7715"/>
      <c r="W262" s="7715"/>
      <c r="X262" s="7715"/>
      <c r="Y262" s="7715"/>
      <c r="Z262" s="7715"/>
      <c r="AA262" s="7715"/>
      <c r="AB262" s="7715"/>
      <c r="AC262" s="7715"/>
      <c r="AD262" s="7715"/>
      <c r="AE262" s="7715"/>
      <c r="AF262" s="7715"/>
      <c r="AG262" s="7715"/>
      <c r="AH262" s="7715"/>
      <c r="AI262" s="7715"/>
      <c r="AJ262" s="7715"/>
      <c r="AK262" s="7715"/>
      <c r="AL262" s="1421"/>
      <c r="AM262" s="1949"/>
      <c r="AN262" s="1949"/>
      <c r="AO262" s="1421"/>
      <c r="AP262" s="1421"/>
      <c r="AQ262" s="1421"/>
      <c r="AR262" s="1421"/>
      <c r="AS262" s="1949"/>
      <c r="AT262" s="1421"/>
      <c r="AU262" s="1421"/>
      <c r="AV262" s="781"/>
      <c r="AW262" s="1421"/>
      <c r="AX262" s="1421"/>
      <c r="AY262" s="1421"/>
      <c r="AZ262" s="1421"/>
      <c r="BA262" s="1421"/>
      <c r="BB262" s="1945"/>
      <c r="BC262" s="803"/>
      <c r="BD262" s="803"/>
      <c r="BE262" s="803"/>
      <c r="BF262" s="803"/>
    </row>
    <row s="10822" customFormat="1" customHeight="1" ht="11.25">
      <c r="A263" s="1243"/>
      <c r="B263" s="1949"/>
      <c r="C263" s="1949"/>
      <c r="D263" s="572"/>
      <c r="J263" s="7715"/>
      <c r="K263" s="7715"/>
      <c r="L263" s="7715"/>
      <c r="M263" s="7715"/>
      <c r="N263" s="7715"/>
      <c r="O263" s="7715"/>
      <c r="P263" s="7715"/>
      <c r="Q263" s="7715"/>
      <c r="R263" s="7715"/>
      <c r="S263" s="7715"/>
      <c r="T263" s="7715"/>
      <c r="U263" s="7715"/>
      <c r="V263" s="7715"/>
      <c r="W263" s="7715"/>
      <c r="X263" s="7715"/>
      <c r="Y263" s="7715"/>
      <c r="Z263" s="7715"/>
      <c r="AA263" s="7715"/>
      <c r="AB263" s="7715"/>
      <c r="AC263" s="7715"/>
      <c r="AD263" s="7715"/>
      <c r="AE263" s="7715"/>
      <c r="AF263" s="7715"/>
      <c r="AG263" s="7715"/>
      <c r="AH263" s="7715"/>
      <c r="AI263" s="7715"/>
      <c r="AJ263" s="7715"/>
      <c r="AK263" s="7715"/>
      <c r="AL263" s="1421"/>
      <c r="AM263" s="1949"/>
      <c r="AN263" s="1949"/>
      <c r="AO263" s="1421"/>
      <c r="AP263" s="1421"/>
      <c r="AQ263" s="1421"/>
      <c r="AR263" s="1421"/>
      <c r="AS263" s="1949"/>
      <c r="AT263" s="1421"/>
      <c r="AU263" s="1421"/>
      <c r="AV263" s="781"/>
      <c r="AW263" s="1421"/>
      <c r="AX263" s="1421"/>
      <c r="AY263" s="1421"/>
      <c r="AZ263" s="1421"/>
      <c r="BA263" s="1421"/>
      <c r="BB263" s="1945"/>
      <c r="BC263" s="803"/>
      <c r="BD263" s="803"/>
      <c r="BE263" s="803"/>
      <c r="BF263" s="803"/>
    </row>
    <row s="10822" customFormat="1" customHeight="1" ht="11.25">
      <c r="A264" s="1243"/>
      <c r="B264" s="1949"/>
      <c r="C264" s="1949"/>
      <c r="D264" s="572"/>
      <c r="J264" s="7715"/>
      <c r="K264" s="7715"/>
      <c r="L264" s="7715"/>
      <c r="M264" s="7715"/>
      <c r="N264" s="7715"/>
      <c r="O264" s="7715"/>
      <c r="P264" s="7715"/>
      <c r="Q264" s="7715"/>
      <c r="R264" s="7715"/>
      <c r="S264" s="7715"/>
      <c r="T264" s="7715"/>
      <c r="U264" s="7715"/>
      <c r="V264" s="7715"/>
      <c r="W264" s="7715"/>
      <c r="X264" s="7715"/>
      <c r="Y264" s="7715"/>
      <c r="Z264" s="7715"/>
      <c r="AA264" s="7715"/>
      <c r="AB264" s="7715"/>
      <c r="AC264" s="7715"/>
      <c r="AD264" s="7715"/>
      <c r="AE264" s="7715"/>
      <c r="AF264" s="7715"/>
      <c r="AG264" s="7715"/>
      <c r="AH264" s="7715"/>
      <c r="AI264" s="7715"/>
      <c r="AJ264" s="7715"/>
      <c r="AK264" s="7715"/>
      <c r="AL264" s="1421"/>
      <c r="AM264" s="1949"/>
      <c r="AN264" s="1949"/>
      <c r="AO264" s="1421"/>
      <c r="AP264" s="1421"/>
      <c r="AQ264" s="1421"/>
      <c r="AR264" s="1421"/>
      <c r="AS264" s="1949"/>
      <c r="AT264" s="1421"/>
      <c r="AU264" s="1421"/>
      <c r="AV264" s="781"/>
      <c r="AW264" s="1421"/>
      <c r="AX264" s="1421"/>
      <c r="AY264" s="1421"/>
      <c r="AZ264" s="1421"/>
      <c r="BA264" s="1421"/>
      <c r="BB264" s="1945"/>
      <c r="BC264" s="803"/>
      <c r="BD264" s="803"/>
      <c r="BE264" s="803"/>
      <c r="BF264" s="803"/>
    </row>
    <row s="10822" customFormat="1" customHeight="1" ht="11.25">
      <c r="A265" s="1243"/>
      <c r="B265" s="1949"/>
      <c r="C265" s="1949"/>
      <c r="D265" s="572"/>
      <c r="J265" s="7715"/>
      <c r="K265" s="7715"/>
      <c r="L265" s="7715"/>
      <c r="M265" s="7715"/>
      <c r="N265" s="7715"/>
      <c r="O265" s="7715"/>
      <c r="P265" s="7715"/>
      <c r="Q265" s="7715"/>
      <c r="R265" s="7715"/>
      <c r="S265" s="7715"/>
      <c r="T265" s="7715"/>
      <c r="U265" s="7715"/>
      <c r="V265" s="7715"/>
      <c r="W265" s="7715"/>
      <c r="X265" s="7715"/>
      <c r="Y265" s="7715"/>
      <c r="Z265" s="7715"/>
      <c r="AA265" s="7715"/>
      <c r="AB265" s="7715"/>
      <c r="AC265" s="7715"/>
      <c r="AD265" s="7715"/>
      <c r="AE265" s="7715"/>
      <c r="AF265" s="7715"/>
      <c r="AG265" s="7715"/>
      <c r="AH265" s="7715"/>
      <c r="AI265" s="7715"/>
      <c r="AJ265" s="7715"/>
      <c r="AK265" s="7715"/>
      <c r="AL265" s="1421"/>
      <c r="AM265" s="1949"/>
      <c r="AN265" s="1949"/>
      <c r="AO265" s="1421"/>
      <c r="AP265" s="1421"/>
      <c r="AQ265" s="1421"/>
      <c r="AR265" s="1421"/>
      <c r="AS265" s="1949"/>
      <c r="AT265" s="1421"/>
      <c r="AU265" s="1421"/>
      <c r="AV265" s="781"/>
      <c r="AW265" s="1421"/>
      <c r="AX265" s="1421"/>
      <c r="AY265" s="1421"/>
      <c r="AZ265" s="1421"/>
      <c r="BA265" s="1421"/>
      <c r="BB265" s="1945"/>
      <c r="BC265" s="803"/>
      <c r="BD265" s="803"/>
      <c r="BE265" s="803"/>
      <c r="BF265" s="803"/>
    </row>
    <row s="10822" customFormat="1" customHeight="1" ht="11.25">
      <c r="A266" s="1243"/>
      <c r="B266" s="1949"/>
      <c r="C266" s="1949"/>
      <c r="D266" s="572"/>
      <c r="J266" s="7715"/>
      <c r="K266" s="7715"/>
      <c r="L266" s="7715"/>
      <c r="M266" s="7715"/>
      <c r="N266" s="7715"/>
      <c r="O266" s="7715"/>
      <c r="P266" s="7715"/>
      <c r="Q266" s="7715"/>
      <c r="R266" s="7715"/>
      <c r="S266" s="7715"/>
      <c r="T266" s="7715"/>
      <c r="U266" s="7715"/>
      <c r="V266" s="7715"/>
      <c r="W266" s="7715"/>
      <c r="X266" s="7715"/>
      <c r="Y266" s="7715"/>
      <c r="Z266" s="7715"/>
      <c r="AA266" s="7715"/>
      <c r="AB266" s="7715"/>
      <c r="AC266" s="7715"/>
      <c r="AD266" s="7715"/>
      <c r="AE266" s="7715"/>
      <c r="AF266" s="7715"/>
      <c r="AG266" s="7715"/>
      <c r="AH266" s="7715"/>
      <c r="AI266" s="7715"/>
      <c r="AJ266" s="7715"/>
      <c r="AK266" s="7715"/>
      <c r="AL266" s="1421"/>
      <c r="AM266" s="1949"/>
      <c r="AN266" s="1949"/>
      <c r="AO266" s="1421"/>
      <c r="AP266" s="1421"/>
      <c r="AQ266" s="1421"/>
      <c r="AR266" s="1421"/>
      <c r="AS266" s="1949"/>
      <c r="AT266" s="1421"/>
      <c r="AU266" s="1421"/>
      <c r="AV266" s="781"/>
      <c r="AW266" s="1421"/>
      <c r="AX266" s="1421"/>
      <c r="AY266" s="1421"/>
      <c r="AZ266" s="1421"/>
      <c r="BA266" s="1421"/>
      <c r="BB266" s="1945"/>
      <c r="BC266" s="803"/>
      <c r="BD266" s="803"/>
      <c r="BE266" s="803"/>
      <c r="BF266" s="803"/>
    </row>
    <row s="10822" customFormat="1" customHeight="1" ht="11.25">
      <c r="A267" s="1243"/>
      <c r="B267" s="1949"/>
      <c r="C267" s="1949"/>
      <c r="D267" s="572"/>
      <c r="J267" s="7715"/>
      <c r="K267" s="7715"/>
      <c r="L267" s="7715"/>
      <c r="M267" s="7715"/>
      <c r="N267" s="7715"/>
      <c r="O267" s="7715"/>
      <c r="P267" s="7715"/>
      <c r="Q267" s="7715"/>
      <c r="R267" s="7715"/>
      <c r="S267" s="7715"/>
      <c r="T267" s="7715"/>
      <c r="U267" s="7715"/>
      <c r="V267" s="7715"/>
      <c r="W267" s="7715"/>
      <c r="X267" s="7715"/>
      <c r="Y267" s="7715"/>
      <c r="Z267" s="7715"/>
      <c r="AA267" s="7715"/>
      <c r="AB267" s="7715"/>
      <c r="AC267" s="7715"/>
      <c r="AD267" s="7715"/>
      <c r="AE267" s="7715"/>
      <c r="AF267" s="7715"/>
      <c r="AG267" s="7715"/>
      <c r="AH267" s="7715"/>
      <c r="AI267" s="7715"/>
      <c r="AJ267" s="7715"/>
      <c r="AK267" s="7715"/>
      <c r="AL267" s="1421"/>
      <c r="AM267" s="1949"/>
      <c r="AN267" s="1949"/>
      <c r="AO267" s="1421"/>
      <c r="AP267" s="1421"/>
      <c r="AQ267" s="1421"/>
      <c r="AR267" s="1421"/>
      <c r="AS267" s="1949"/>
      <c r="AT267" s="1421"/>
      <c r="AU267" s="1421"/>
      <c r="AV267" s="781"/>
      <c r="AW267" s="1421"/>
      <c r="AX267" s="1421"/>
      <c r="AY267" s="1421"/>
      <c r="AZ267" s="1421"/>
      <c r="BA267" s="1421"/>
      <c r="BB267" s="1945"/>
      <c r="BC267" s="803"/>
      <c r="BD267" s="803"/>
      <c r="BE267" s="803"/>
      <c r="BF267" s="803"/>
    </row>
    <row s="10822" customFormat="1" customHeight="1" ht="11.25">
      <c r="A268" s="1243"/>
      <c r="B268" s="1949"/>
      <c r="C268" s="1949"/>
      <c r="D268" s="572"/>
      <c r="J268" s="7715"/>
      <c r="K268" s="7715"/>
      <c r="L268" s="7715"/>
      <c r="M268" s="7715"/>
      <c r="N268" s="7715"/>
      <c r="O268" s="7715"/>
      <c r="P268" s="7715"/>
      <c r="Q268" s="7715"/>
      <c r="R268" s="7715"/>
      <c r="S268" s="7715"/>
      <c r="T268" s="7715"/>
      <c r="U268" s="7715"/>
      <c r="V268" s="7715"/>
      <c r="W268" s="7715"/>
      <c r="X268" s="7715"/>
      <c r="Y268" s="7715"/>
      <c r="Z268" s="7715"/>
      <c r="AA268" s="7715"/>
      <c r="AB268" s="7715"/>
      <c r="AC268" s="7715"/>
      <c r="AD268" s="7715"/>
      <c r="AE268" s="7715"/>
      <c r="AF268" s="7715"/>
      <c r="AG268" s="7715"/>
      <c r="AH268" s="7715"/>
      <c r="AI268" s="7715"/>
      <c r="AJ268" s="7715"/>
      <c r="AK268" s="7715"/>
      <c r="AL268" s="1421"/>
      <c r="AM268" s="1949"/>
      <c r="AN268" s="1949"/>
      <c r="AO268" s="1421"/>
      <c r="AP268" s="1421"/>
      <c r="AQ268" s="1421"/>
      <c r="AR268" s="1421"/>
      <c r="AS268" s="1949"/>
      <c r="AT268" s="1421"/>
      <c r="AU268" s="1421"/>
      <c r="AV268" s="781"/>
      <c r="AW268" s="1421"/>
      <c r="AX268" s="1421"/>
      <c r="AY268" s="1421"/>
      <c r="AZ268" s="1421"/>
      <c r="BA268" s="1421"/>
      <c r="BB268" s="1945"/>
      <c r="BC268" s="803"/>
      <c r="BD268" s="803"/>
      <c r="BE268" s="803"/>
      <c r="BF268" s="803"/>
    </row>
    <row s="10822" customFormat="1" customHeight="1" ht="11.25">
      <c r="A269" s="1243"/>
      <c r="B269" s="1949"/>
      <c r="C269" s="1949"/>
      <c r="D269" s="572"/>
      <c r="J269" s="7715"/>
      <c r="K269" s="7715"/>
      <c r="L269" s="7715"/>
      <c r="M269" s="7715"/>
      <c r="N269" s="7715"/>
      <c r="O269" s="7715"/>
      <c r="P269" s="7715"/>
      <c r="Q269" s="7715"/>
      <c r="R269" s="7715"/>
      <c r="S269" s="7715"/>
      <c r="T269" s="7715"/>
      <c r="U269" s="7715"/>
      <c r="V269" s="7715"/>
      <c r="W269" s="7715"/>
      <c r="X269" s="7715"/>
      <c r="Y269" s="7715"/>
      <c r="Z269" s="7715"/>
      <c r="AA269" s="7715"/>
      <c r="AB269" s="7715"/>
      <c r="AC269" s="7715"/>
      <c r="AD269" s="7715"/>
      <c r="AE269" s="7715"/>
      <c r="AF269" s="7715"/>
      <c r="AG269" s="7715"/>
      <c r="AH269" s="7715"/>
      <c r="AI269" s="7715"/>
      <c r="AJ269" s="7715"/>
      <c r="AK269" s="7715"/>
      <c r="AL269" s="1421"/>
      <c r="AM269" s="1949"/>
      <c r="AN269" s="1949"/>
      <c r="AO269" s="1421"/>
      <c r="AP269" s="1421"/>
      <c r="AQ269" s="1421"/>
      <c r="AR269" s="1421"/>
      <c r="AS269" s="1949"/>
      <c r="AT269" s="1421"/>
      <c r="AU269" s="1421"/>
      <c r="AV269" s="781"/>
      <c r="AW269" s="1421"/>
      <c r="AX269" s="1421"/>
      <c r="AY269" s="1421"/>
      <c r="AZ269" s="1421"/>
      <c r="BA269" s="1421"/>
      <c r="BB269" s="1945"/>
      <c r="BC269" s="803"/>
      <c r="BD269" s="803"/>
      <c r="BE269" s="803"/>
      <c r="BF269" s="803"/>
    </row>
    <row s="10822" customFormat="1" customHeight="1" ht="11.25">
      <c r="A270" s="1243"/>
      <c r="B270" s="1949"/>
      <c r="C270" s="1949"/>
      <c r="D270" s="572"/>
      <c r="J270" s="7715"/>
      <c r="K270" s="7715"/>
      <c r="L270" s="7715"/>
      <c r="M270" s="7715"/>
      <c r="N270" s="7715"/>
      <c r="O270" s="7715"/>
      <c r="P270" s="7715"/>
      <c r="Q270" s="7715"/>
      <c r="R270" s="7715"/>
      <c r="S270" s="7715"/>
      <c r="T270" s="7715"/>
      <c r="U270" s="7715"/>
      <c r="V270" s="7715"/>
      <c r="W270" s="7715"/>
      <c r="X270" s="7715"/>
      <c r="Y270" s="7715"/>
      <c r="Z270" s="7715"/>
      <c r="AA270" s="7715"/>
      <c r="AB270" s="7715"/>
      <c r="AC270" s="7715"/>
      <c r="AD270" s="7715"/>
      <c r="AE270" s="7715"/>
      <c r="AF270" s="7715"/>
      <c r="AG270" s="7715"/>
      <c r="AH270" s="7715"/>
      <c r="AI270" s="7715"/>
      <c r="AJ270" s="7715"/>
      <c r="AK270" s="7715"/>
      <c r="AL270" s="1421"/>
      <c r="AM270" s="1949"/>
      <c r="AN270" s="1949"/>
      <c r="AO270" s="1421"/>
      <c r="AP270" s="1421"/>
      <c r="AQ270" s="1421"/>
      <c r="AR270" s="1421"/>
      <c r="AS270" s="1949"/>
      <c r="AT270" s="1421"/>
      <c r="AU270" s="1421"/>
      <c r="AV270" s="781"/>
      <c r="AW270" s="1421"/>
      <c r="AX270" s="1421"/>
      <c r="AY270" s="1421"/>
      <c r="AZ270" s="1421"/>
      <c r="BA270" s="1421"/>
      <c r="BB270" s="1945"/>
      <c r="BC270" s="803"/>
      <c r="BD270" s="803"/>
      <c r="BE270" s="803"/>
      <c r="BF270" s="803"/>
    </row>
    <row s="10822" customFormat="1" customHeight="1" ht="11.25">
      <c r="A271" s="1243"/>
      <c r="B271" s="1949"/>
      <c r="C271" s="1949"/>
      <c r="D271" s="572"/>
      <c r="J271" s="7715"/>
      <c r="K271" s="7715"/>
      <c r="L271" s="7715"/>
      <c r="M271" s="7715"/>
      <c r="N271" s="7715"/>
      <c r="O271" s="7715"/>
      <c r="P271" s="7715"/>
      <c r="Q271" s="7715"/>
      <c r="R271" s="7715"/>
      <c r="S271" s="7715"/>
      <c r="T271" s="7715"/>
      <c r="U271" s="7715"/>
      <c r="V271" s="7715"/>
      <c r="W271" s="7715"/>
      <c r="X271" s="7715"/>
      <c r="Y271" s="7715"/>
      <c r="Z271" s="7715"/>
      <c r="AA271" s="7715"/>
      <c r="AB271" s="7715"/>
      <c r="AC271" s="7715"/>
      <c r="AD271" s="7715"/>
      <c r="AE271" s="7715"/>
      <c r="AF271" s="7715"/>
      <c r="AG271" s="7715"/>
      <c r="AH271" s="7715"/>
      <c r="AI271" s="7715"/>
      <c r="AJ271" s="7715"/>
      <c r="AK271" s="7715"/>
      <c r="AL271" s="1421"/>
      <c r="AM271" s="1949"/>
      <c r="AN271" s="1949"/>
      <c r="AO271" s="1421"/>
      <c r="AP271" s="1421"/>
      <c r="AQ271" s="1421"/>
      <c r="AR271" s="1421"/>
      <c r="AS271" s="1949"/>
      <c r="AT271" s="1421"/>
      <c r="AU271" s="1421"/>
      <c r="AV271" s="781"/>
      <c r="AW271" s="1421"/>
      <c r="AX271" s="1421"/>
      <c r="AY271" s="1421"/>
      <c r="AZ271" s="1421"/>
      <c r="BA271" s="1421"/>
      <c r="BB271" s="1945"/>
      <c r="BC271" s="803"/>
      <c r="BD271" s="803"/>
      <c r="BE271" s="803"/>
      <c r="BF271" s="803"/>
    </row>
    <row s="10822" customFormat="1" customHeight="1" ht="11.25">
      <c r="A272" s="1243"/>
      <c r="B272" s="1949"/>
      <c r="C272" s="1949"/>
      <c r="D272" s="572"/>
      <c r="J272" s="7715"/>
      <c r="K272" s="7715"/>
      <c r="L272" s="7715"/>
      <c r="M272" s="7715"/>
      <c r="N272" s="7715"/>
      <c r="O272" s="7715"/>
      <c r="P272" s="7715"/>
      <c r="Q272" s="7715"/>
      <c r="R272" s="7715"/>
      <c r="S272" s="7715"/>
      <c r="T272" s="7715"/>
      <c r="U272" s="7715"/>
      <c r="V272" s="7715"/>
      <c r="W272" s="7715"/>
      <c r="X272" s="7715"/>
      <c r="Y272" s="7715"/>
      <c r="Z272" s="7715"/>
      <c r="AA272" s="7715"/>
      <c r="AB272" s="7715"/>
      <c r="AC272" s="7715"/>
      <c r="AD272" s="7715"/>
      <c r="AE272" s="7715"/>
      <c r="AF272" s="7715"/>
      <c r="AG272" s="7715"/>
      <c r="AH272" s="7715"/>
      <c r="AI272" s="7715"/>
      <c r="AJ272" s="7715"/>
      <c r="AK272" s="7715"/>
      <c r="AL272" s="1421"/>
      <c r="AM272" s="1949"/>
      <c r="AN272" s="1949"/>
      <c r="AO272" s="1421"/>
      <c r="AP272" s="1421"/>
      <c r="AQ272" s="1421"/>
      <c r="AR272" s="1421"/>
      <c r="AS272" s="1949"/>
      <c r="AT272" s="1421"/>
      <c r="AU272" s="1421"/>
      <c r="AV272" s="781"/>
      <c r="AW272" s="1421"/>
      <c r="AX272" s="1421"/>
      <c r="AY272" s="1421"/>
      <c r="AZ272" s="1421"/>
      <c r="BA272" s="1421"/>
      <c r="BB272" s="1945"/>
      <c r="BC272" s="803"/>
      <c r="BD272" s="803"/>
      <c r="BE272" s="803"/>
      <c r="BF272" s="803"/>
    </row>
    <row s="10822" customFormat="1" customHeight="1" ht="11.25">
      <c r="A273" s="1243"/>
      <c r="B273" s="1949"/>
      <c r="C273" s="1949"/>
      <c r="D273" s="572"/>
      <c r="J273" s="7715"/>
      <c r="K273" s="7715"/>
      <c r="L273" s="7715"/>
      <c r="M273" s="7715"/>
      <c r="N273" s="7715"/>
      <c r="O273" s="7715"/>
      <c r="P273" s="7715"/>
      <c r="Q273" s="7715"/>
      <c r="R273" s="7715"/>
      <c r="S273" s="7715"/>
      <c r="T273" s="7715"/>
      <c r="U273" s="7715"/>
      <c r="V273" s="7715"/>
      <c r="W273" s="7715"/>
      <c r="X273" s="7715"/>
      <c r="Y273" s="7715"/>
      <c r="Z273" s="7715"/>
      <c r="AA273" s="7715"/>
      <c r="AB273" s="7715"/>
      <c r="AC273" s="7715"/>
      <c r="AD273" s="7715"/>
      <c r="AE273" s="7715"/>
      <c r="AF273" s="7715"/>
      <c r="AG273" s="7715"/>
      <c r="AH273" s="7715"/>
      <c r="AI273" s="7715"/>
      <c r="AJ273" s="7715"/>
      <c r="AK273" s="7715"/>
      <c r="AL273" s="1421"/>
      <c r="AM273" s="1949"/>
      <c r="AN273" s="1949"/>
      <c r="AO273" s="1421"/>
      <c r="AP273" s="1421"/>
      <c r="AQ273" s="1421"/>
      <c r="AR273" s="1421"/>
      <c r="AS273" s="1949"/>
      <c r="AT273" s="1421"/>
      <c r="AU273" s="1421"/>
      <c r="AV273" s="781"/>
      <c r="AW273" s="1421"/>
      <c r="AX273" s="1421"/>
      <c r="AY273" s="1421"/>
      <c r="AZ273" s="1421"/>
      <c r="BA273" s="1421"/>
      <c r="BB273" s="1945"/>
      <c r="BC273" s="803"/>
      <c r="BD273" s="803"/>
      <c r="BE273" s="803"/>
      <c r="BF273" s="803"/>
    </row>
    <row s="10822" customFormat="1" customHeight="1" ht="11.25">
      <c r="A274" s="1243"/>
      <c r="B274" s="1949"/>
      <c r="C274" s="1949"/>
      <c r="D274" s="572"/>
      <c r="J274" s="7715"/>
      <c r="K274" s="7715"/>
      <c r="L274" s="7715"/>
      <c r="M274" s="7715"/>
      <c r="N274" s="7715"/>
      <c r="O274" s="7715"/>
      <c r="P274" s="7715"/>
      <c r="Q274" s="7715"/>
      <c r="R274" s="7715"/>
      <c r="S274" s="7715"/>
      <c r="T274" s="7715"/>
      <c r="U274" s="7715"/>
      <c r="V274" s="7715"/>
      <c r="W274" s="7715"/>
      <c r="X274" s="7715"/>
      <c r="Y274" s="7715"/>
      <c r="Z274" s="7715"/>
      <c r="AA274" s="7715"/>
      <c r="AB274" s="7715"/>
      <c r="AC274" s="7715"/>
      <c r="AD274" s="7715"/>
      <c r="AE274" s="7715"/>
      <c r="AF274" s="7715"/>
      <c r="AG274" s="7715"/>
      <c r="AH274" s="7715"/>
      <c r="AI274" s="7715"/>
      <c r="AJ274" s="7715"/>
      <c r="AK274" s="7715"/>
      <c r="AL274" s="1421"/>
      <c r="AM274" s="1949"/>
      <c r="AN274" s="1949"/>
      <c r="AO274" s="1421"/>
      <c r="AP274" s="1421"/>
      <c r="AQ274" s="1421"/>
      <c r="AR274" s="1421"/>
      <c r="AS274" s="1949"/>
      <c r="AT274" s="1421"/>
      <c r="AU274" s="1421"/>
      <c r="AV274" s="781"/>
      <c r="AW274" s="1421"/>
      <c r="AX274" s="1421"/>
      <c r="AY274" s="1421"/>
      <c r="AZ274" s="1421"/>
      <c r="BA274" s="1421"/>
      <c r="BB274" s="1945"/>
      <c r="BC274" s="803"/>
      <c r="BD274" s="803"/>
      <c r="BE274" s="803"/>
      <c r="BF274" s="803"/>
    </row>
    <row s="10822" customFormat="1" customHeight="1" ht="11.25">
      <c r="A275" s="1243"/>
      <c r="B275" s="1949"/>
      <c r="C275" s="1949"/>
      <c r="D275" s="572"/>
      <c r="J275" s="7715"/>
      <c r="K275" s="7715"/>
      <c r="L275" s="7715"/>
      <c r="M275" s="7715"/>
      <c r="N275" s="7715"/>
      <c r="O275" s="7715"/>
      <c r="P275" s="7715"/>
      <c r="Q275" s="7715"/>
      <c r="R275" s="7715"/>
      <c r="S275" s="7715"/>
      <c r="T275" s="7715"/>
      <c r="U275" s="7715"/>
      <c r="V275" s="7715"/>
      <c r="W275" s="7715"/>
      <c r="X275" s="7715"/>
      <c r="Y275" s="7715"/>
      <c r="Z275" s="7715"/>
      <c r="AA275" s="7715"/>
      <c r="AB275" s="7715"/>
      <c r="AC275" s="7715"/>
      <c r="AD275" s="7715"/>
      <c r="AE275" s="7715"/>
      <c r="AF275" s="7715"/>
      <c r="AG275" s="7715"/>
      <c r="AH275" s="7715"/>
      <c r="AI275" s="7715"/>
      <c r="AJ275" s="7715"/>
      <c r="AK275" s="7715"/>
      <c r="AL275" s="1421"/>
      <c r="AM275" s="1949"/>
      <c r="AN275" s="1949"/>
      <c r="AO275" s="1421"/>
      <c r="AP275" s="1421"/>
      <c r="AQ275" s="1421"/>
      <c r="AR275" s="1421"/>
      <c r="AS275" s="1949"/>
      <c r="AT275" s="1421"/>
      <c r="AU275" s="1421"/>
      <c r="AV275" s="781"/>
      <c r="AW275" s="1421"/>
      <c r="AX275" s="1421"/>
      <c r="AY275" s="1421"/>
      <c r="AZ275" s="1421"/>
      <c r="BA275" s="1421"/>
      <c r="BB275" s="1945"/>
      <c r="BC275" s="803"/>
      <c r="BD275" s="803"/>
      <c r="BE275" s="803"/>
      <c r="BF275" s="803"/>
    </row>
    <row s="10822" customFormat="1" customHeight="1" ht="11.25">
      <c r="A276" s="1243"/>
      <c r="B276" s="1949"/>
      <c r="C276" s="1949"/>
      <c r="D276" s="572"/>
      <c r="J276" s="7715"/>
      <c r="K276" s="7715"/>
      <c r="L276" s="7715"/>
      <c r="M276" s="7715"/>
      <c r="N276" s="7715"/>
      <c r="O276" s="7715"/>
      <c r="P276" s="7715"/>
      <c r="Q276" s="7715"/>
      <c r="R276" s="7715"/>
      <c r="S276" s="7715"/>
      <c r="T276" s="7715"/>
      <c r="U276" s="7715"/>
      <c r="V276" s="7715"/>
      <c r="W276" s="7715"/>
      <c r="X276" s="7715"/>
      <c r="Y276" s="7715"/>
      <c r="Z276" s="7715"/>
      <c r="AA276" s="7715"/>
      <c r="AB276" s="7715"/>
      <c r="AC276" s="7715"/>
      <c r="AD276" s="7715"/>
      <c r="AE276" s="7715"/>
      <c r="AF276" s="7715"/>
      <c r="AG276" s="7715"/>
      <c r="AH276" s="7715"/>
      <c r="AI276" s="7715"/>
      <c r="AJ276" s="7715"/>
      <c r="AK276" s="7715"/>
      <c r="AL276" s="1421"/>
      <c r="AM276" s="1949"/>
      <c r="AN276" s="1949"/>
      <c r="AO276" s="1421"/>
      <c r="AP276" s="1421"/>
      <c r="AQ276" s="1421"/>
      <c r="AR276" s="1421"/>
      <c r="AS276" s="1949"/>
      <c r="AT276" s="1421"/>
      <c r="AU276" s="1421"/>
      <c r="AV276" s="781"/>
      <c r="AW276" s="1421"/>
      <c r="AX276" s="1421"/>
      <c r="AY276" s="1421"/>
      <c r="AZ276" s="1421"/>
      <c r="BA276" s="1421"/>
      <c r="BB276" s="1945"/>
      <c r="BC276" s="803"/>
      <c r="BD276" s="803"/>
      <c r="BE276" s="803"/>
      <c r="BF276" s="803"/>
    </row>
    <row s="10822" customFormat="1" customHeight="1" ht="11.25">
      <c r="A277" s="1243"/>
      <c r="B277" s="1949"/>
      <c r="C277" s="1949"/>
      <c r="D277" s="572"/>
      <c r="J277" s="7715"/>
      <c r="K277" s="7715"/>
      <c r="L277" s="7715"/>
      <c r="M277" s="7715"/>
      <c r="N277" s="7715"/>
      <c r="O277" s="7715"/>
      <c r="P277" s="7715"/>
      <c r="Q277" s="7715"/>
      <c r="R277" s="7715"/>
      <c r="S277" s="7715"/>
      <c r="T277" s="7715"/>
      <c r="U277" s="7715"/>
      <c r="V277" s="7715"/>
      <c r="W277" s="7715"/>
      <c r="X277" s="7715"/>
      <c r="Y277" s="7715"/>
      <c r="Z277" s="7715"/>
      <c r="AA277" s="7715"/>
      <c r="AB277" s="7715"/>
      <c r="AC277" s="7715"/>
      <c r="AD277" s="7715"/>
      <c r="AE277" s="7715"/>
      <c r="AF277" s="7715"/>
      <c r="AG277" s="7715"/>
      <c r="AH277" s="7715"/>
      <c r="AI277" s="7715"/>
      <c r="AJ277" s="7715"/>
      <c r="AK277" s="7715"/>
      <c r="AL277" s="1421"/>
      <c r="AM277" s="1949"/>
      <c r="AN277" s="1949"/>
      <c r="AO277" s="1421"/>
      <c r="AP277" s="1421"/>
      <c r="AQ277" s="1421"/>
      <c r="AR277" s="1421"/>
      <c r="AS277" s="1949"/>
      <c r="AT277" s="1421"/>
      <c r="AU277" s="1421"/>
      <c r="AV277" s="781"/>
      <c r="AW277" s="1421"/>
      <c r="AX277" s="1421"/>
      <c r="AY277" s="1421"/>
      <c r="AZ277" s="1421"/>
      <c r="BA277" s="1421"/>
      <c r="BB277" s="1945"/>
      <c r="BC277" s="803"/>
      <c r="BD277" s="803"/>
      <c r="BE277" s="803"/>
      <c r="BF277" s="803"/>
    </row>
    <row s="10822" customFormat="1" customHeight="1" ht="11.25">
      <c r="A278" s="1243"/>
      <c r="B278" s="1949"/>
      <c r="C278" s="1949"/>
      <c r="D278" s="572"/>
      <c r="J278" s="7715"/>
      <c r="K278" s="7715"/>
      <c r="L278" s="7715"/>
      <c r="M278" s="7715"/>
      <c r="N278" s="7715"/>
      <c r="O278" s="7715"/>
      <c r="P278" s="7715"/>
      <c r="Q278" s="7715"/>
      <c r="R278" s="7715"/>
      <c r="S278" s="7715"/>
      <c r="T278" s="7715"/>
      <c r="U278" s="7715"/>
      <c r="V278" s="7715"/>
      <c r="W278" s="7715"/>
      <c r="X278" s="7715"/>
      <c r="Y278" s="7715"/>
      <c r="Z278" s="7715"/>
      <c r="AA278" s="7715"/>
      <c r="AB278" s="7715"/>
      <c r="AC278" s="7715"/>
      <c r="AD278" s="7715"/>
      <c r="AE278" s="7715"/>
      <c r="AF278" s="7715"/>
      <c r="AG278" s="7715"/>
      <c r="AH278" s="7715"/>
      <c r="AI278" s="7715"/>
      <c r="AJ278" s="7715"/>
      <c r="AK278" s="7715"/>
      <c r="AL278" s="1421"/>
      <c r="AM278" s="1949"/>
      <c r="AN278" s="1949"/>
      <c r="AO278" s="1421"/>
      <c r="AP278" s="1421"/>
      <c r="AQ278" s="1421"/>
      <c r="AR278" s="1421"/>
      <c r="AS278" s="1949"/>
      <c r="AT278" s="1421"/>
      <c r="AU278" s="1421"/>
      <c r="AV278" s="781"/>
      <c r="AW278" s="1421"/>
      <c r="AX278" s="1421"/>
      <c r="AY278" s="1421"/>
      <c r="AZ278" s="1421"/>
      <c r="BA278" s="1421"/>
      <c r="BB278" s="1945"/>
      <c r="BC278" s="803"/>
      <c r="BD278" s="803"/>
      <c r="BE278" s="803"/>
      <c r="BF278" s="803"/>
    </row>
    <row s="10822" customFormat="1" customHeight="1" ht="11.25">
      <c r="A279" s="1243"/>
      <c r="B279" s="1949"/>
      <c r="C279" s="1949"/>
      <c r="D279" s="572"/>
      <c r="J279" s="7715"/>
      <c r="K279" s="7715"/>
      <c r="L279" s="7715"/>
      <c r="M279" s="7715"/>
      <c r="N279" s="7715"/>
      <c r="O279" s="7715"/>
      <c r="P279" s="7715"/>
      <c r="Q279" s="7715"/>
      <c r="R279" s="7715"/>
      <c r="S279" s="7715"/>
      <c r="T279" s="7715"/>
      <c r="U279" s="7715"/>
      <c r="V279" s="7715"/>
      <c r="W279" s="7715"/>
      <c r="X279" s="7715"/>
      <c r="Y279" s="7715"/>
      <c r="Z279" s="7715"/>
      <c r="AA279" s="7715"/>
      <c r="AB279" s="7715"/>
      <c r="AC279" s="7715"/>
      <c r="AD279" s="7715"/>
      <c r="AE279" s="7715"/>
      <c r="AF279" s="7715"/>
      <c r="AG279" s="7715"/>
      <c r="AH279" s="7715"/>
      <c r="AI279" s="7715"/>
      <c r="AJ279" s="7715"/>
      <c r="AK279" s="7715"/>
      <c r="AL279" s="1421"/>
      <c r="AM279" s="1949"/>
      <c r="AN279" s="1949"/>
      <c r="AO279" s="1421"/>
      <c r="AP279" s="1421"/>
      <c r="AQ279" s="1421"/>
      <c r="AR279" s="1421"/>
      <c r="AS279" s="1949"/>
      <c r="AT279" s="1421"/>
      <c r="AU279" s="1421"/>
      <c r="AV279" s="781"/>
      <c r="AW279" s="1421"/>
      <c r="AX279" s="1421"/>
      <c r="AY279" s="1421"/>
      <c r="AZ279" s="1421"/>
      <c r="BA279" s="1421"/>
      <c r="BB279" s="1945"/>
      <c r="BC279" s="803"/>
      <c r="BD279" s="803"/>
      <c r="BE279" s="803"/>
      <c r="BF279" s="803"/>
    </row>
    <row s="10822" customFormat="1" customHeight="1" ht="11.25">
      <c r="A280" s="1243"/>
      <c r="B280" s="1949"/>
      <c r="C280" s="1949"/>
      <c r="D280" s="572"/>
      <c r="J280" s="7715"/>
      <c r="K280" s="7715"/>
      <c r="L280" s="7715"/>
      <c r="M280" s="7715"/>
      <c r="N280" s="7715"/>
      <c r="O280" s="7715"/>
      <c r="P280" s="7715"/>
      <c r="Q280" s="7715"/>
      <c r="R280" s="7715"/>
      <c r="S280" s="7715"/>
      <c r="T280" s="7715"/>
      <c r="U280" s="7715"/>
      <c r="V280" s="7715"/>
      <c r="W280" s="7715"/>
      <c r="X280" s="7715"/>
      <c r="Y280" s="7715"/>
      <c r="Z280" s="7715"/>
      <c r="AA280" s="7715"/>
      <c r="AB280" s="7715"/>
      <c r="AC280" s="7715"/>
      <c r="AD280" s="7715"/>
      <c r="AE280" s="7715"/>
      <c r="AF280" s="7715"/>
      <c r="AG280" s="7715"/>
      <c r="AH280" s="7715"/>
      <c r="AI280" s="7715"/>
      <c r="AJ280" s="7715"/>
      <c r="AK280" s="7715"/>
      <c r="AL280" s="1421"/>
      <c r="AM280" s="1949"/>
      <c r="AN280" s="1949"/>
      <c r="AO280" s="1421"/>
      <c r="AP280" s="1421"/>
      <c r="AQ280" s="1421"/>
      <c r="AR280" s="1421"/>
      <c r="AS280" s="1949"/>
      <c r="AT280" s="1421"/>
      <c r="AU280" s="1421"/>
      <c r="AV280" s="781"/>
      <c r="AW280" s="1421"/>
      <c r="AX280" s="1421"/>
      <c r="AY280" s="1421"/>
      <c r="AZ280" s="1421"/>
      <c r="BA280" s="1421"/>
      <c r="BB280" s="1945"/>
      <c r="BC280" s="803"/>
      <c r="BD280" s="803"/>
      <c r="BE280" s="803"/>
      <c r="BF280" s="803"/>
    </row>
    <row s="10822" customFormat="1" customHeight="1" ht="11.25">
      <c r="A281" s="1243"/>
      <c r="B281" s="1949"/>
      <c r="C281" s="1949"/>
      <c r="D281" s="572"/>
      <c r="J281" s="7715"/>
      <c r="K281" s="7715"/>
      <c r="L281" s="7715"/>
      <c r="M281" s="7715"/>
      <c r="N281" s="7715"/>
      <c r="O281" s="7715"/>
      <c r="P281" s="7715"/>
      <c r="Q281" s="7715"/>
      <c r="R281" s="7715"/>
      <c r="S281" s="7715"/>
      <c r="T281" s="7715"/>
      <c r="U281" s="7715"/>
      <c r="V281" s="7715"/>
      <c r="W281" s="7715"/>
      <c r="X281" s="7715"/>
      <c r="Y281" s="7715"/>
      <c r="Z281" s="7715"/>
      <c r="AA281" s="7715"/>
      <c r="AB281" s="7715"/>
      <c r="AC281" s="7715"/>
      <c r="AD281" s="7715"/>
      <c r="AE281" s="7715"/>
      <c r="AF281" s="7715"/>
      <c r="AG281" s="7715"/>
      <c r="AH281" s="7715"/>
      <c r="AI281" s="7715"/>
      <c r="AJ281" s="7715"/>
      <c r="AK281" s="7715"/>
      <c r="AL281" s="1421"/>
      <c r="AM281" s="1949"/>
      <c r="AN281" s="1949"/>
      <c r="AO281" s="1421"/>
      <c r="AP281" s="1421"/>
      <c r="AQ281" s="1421"/>
      <c r="AR281" s="1421"/>
      <c r="AS281" s="1949"/>
      <c r="AT281" s="1421"/>
      <c r="AU281" s="1421"/>
      <c r="AV281" s="781"/>
      <c r="AW281" s="1421"/>
      <c r="AX281" s="1421"/>
      <c r="AY281" s="1421"/>
      <c r="AZ281" s="1421"/>
      <c r="BA281" s="1421"/>
      <c r="BB281" s="1945"/>
      <c r="BC281" s="803"/>
      <c r="BD281" s="803"/>
      <c r="BE281" s="803"/>
      <c r="BF281" s="803"/>
    </row>
    <row s="10822" customFormat="1" customHeight="1" ht="11.25">
      <c r="A282" s="1243"/>
      <c r="B282" s="1949"/>
      <c r="C282" s="1949"/>
      <c r="D282" s="572"/>
      <c r="J282" s="7715"/>
      <c r="K282" s="7715"/>
      <c r="L282" s="7715"/>
      <c r="M282" s="7715"/>
      <c r="N282" s="7715"/>
      <c r="O282" s="7715"/>
      <c r="P282" s="7715"/>
      <c r="Q282" s="7715"/>
      <c r="R282" s="7715"/>
      <c r="S282" s="7715"/>
      <c r="T282" s="7715"/>
      <c r="U282" s="7715"/>
      <c r="V282" s="7715"/>
      <c r="W282" s="7715"/>
      <c r="X282" s="7715"/>
      <c r="Y282" s="7715"/>
      <c r="Z282" s="7715"/>
      <c r="AA282" s="7715"/>
      <c r="AB282" s="7715"/>
      <c r="AC282" s="7715"/>
      <c r="AD282" s="7715"/>
      <c r="AE282" s="7715"/>
      <c r="AF282" s="7715"/>
      <c r="AG282" s="7715"/>
      <c r="AH282" s="7715"/>
      <c r="AI282" s="7715"/>
      <c r="AJ282" s="7715"/>
      <c r="AK282" s="7715"/>
      <c r="AL282" s="1421"/>
      <c r="AM282" s="1949"/>
      <c r="AN282" s="1949"/>
      <c r="AO282" s="1421"/>
      <c r="AP282" s="1421"/>
      <c r="AQ282" s="1421"/>
      <c r="AR282" s="1421"/>
      <c r="AS282" s="1949"/>
      <c r="AT282" s="1421"/>
      <c r="AU282" s="1421"/>
      <c r="AV282" s="781"/>
      <c r="AW282" s="1421"/>
      <c r="AX282" s="1421"/>
      <c r="AY282" s="1421"/>
      <c r="AZ282" s="1421"/>
      <c r="BA282" s="1421"/>
      <c r="BB282" s="1945"/>
      <c r="BC282" s="803"/>
      <c r="BD282" s="803"/>
      <c r="BE282" s="803"/>
      <c r="BF282" s="803"/>
    </row>
    <row s="10822" customFormat="1" customHeight="1" ht="11.25">
      <c r="A283" s="1243"/>
      <c r="B283" s="1949"/>
      <c r="C283" s="1949"/>
      <c r="D283" s="572"/>
      <c r="J283" s="7715"/>
      <c r="K283" s="7715"/>
      <c r="L283" s="7715"/>
      <c r="M283" s="7715"/>
      <c r="N283" s="7715"/>
      <c r="O283" s="7715"/>
      <c r="P283" s="7715"/>
      <c r="Q283" s="7715"/>
      <c r="R283" s="7715"/>
      <c r="S283" s="7715"/>
      <c r="T283" s="7715"/>
      <c r="U283" s="7715"/>
      <c r="V283" s="7715"/>
      <c r="W283" s="7715"/>
      <c r="X283" s="7715"/>
      <c r="Y283" s="7715"/>
      <c r="Z283" s="7715"/>
      <c r="AA283" s="7715"/>
      <c r="AB283" s="7715"/>
      <c r="AC283" s="7715"/>
      <c r="AD283" s="7715"/>
      <c r="AE283" s="7715"/>
      <c r="AF283" s="7715"/>
      <c r="AG283" s="7715"/>
      <c r="AH283" s="7715"/>
      <c r="AI283" s="7715"/>
      <c r="AJ283" s="7715"/>
      <c r="AK283" s="7715"/>
      <c r="AL283" s="1421"/>
      <c r="AM283" s="1949"/>
      <c r="AN283" s="1949"/>
      <c r="AO283" s="1421"/>
      <c r="AP283" s="1421"/>
      <c r="AQ283" s="1421"/>
      <c r="AR283" s="1421"/>
      <c r="AS283" s="1949"/>
      <c r="AT283" s="1421"/>
      <c r="AU283" s="1421"/>
      <c r="AV283" s="781"/>
      <c r="AW283" s="1421"/>
      <c r="AX283" s="1421"/>
      <c r="AY283" s="1421"/>
      <c r="AZ283" s="1421"/>
      <c r="BA283" s="1421"/>
      <c r="BB283" s="1945"/>
      <c r="BC283" s="803"/>
      <c r="BD283" s="803"/>
      <c r="BE283" s="803"/>
      <c r="BF283" s="803"/>
    </row>
    <row s="10822" customFormat="1" customHeight="1" ht="11.25">
      <c r="A284" s="1243"/>
      <c r="B284" s="1949"/>
      <c r="C284" s="1949"/>
      <c r="D284" s="572"/>
      <c r="J284" s="7715"/>
      <c r="K284" s="7715"/>
      <c r="L284" s="7715"/>
      <c r="M284" s="7715"/>
      <c r="N284" s="7715"/>
      <c r="O284" s="7715"/>
      <c r="P284" s="7715"/>
      <c r="Q284" s="7715"/>
      <c r="R284" s="7715"/>
      <c r="S284" s="7715"/>
      <c r="T284" s="7715"/>
      <c r="U284" s="7715"/>
      <c r="V284" s="7715"/>
      <c r="W284" s="7715"/>
      <c r="X284" s="7715"/>
      <c r="Y284" s="7715"/>
      <c r="Z284" s="7715"/>
      <c r="AA284" s="7715"/>
      <c r="AB284" s="7715"/>
      <c r="AC284" s="7715"/>
      <c r="AD284" s="7715"/>
      <c r="AE284" s="7715"/>
      <c r="AF284" s="7715"/>
      <c r="AG284" s="7715"/>
      <c r="AH284" s="7715"/>
      <c r="AI284" s="7715"/>
      <c r="AJ284" s="7715"/>
      <c r="AK284" s="7715"/>
      <c r="AL284" s="1421"/>
      <c r="AM284" s="1949"/>
      <c r="AN284" s="1949"/>
      <c r="AO284" s="1421"/>
      <c r="AP284" s="1421"/>
      <c r="AQ284" s="1421"/>
      <c r="AR284" s="1421"/>
      <c r="AS284" s="1949"/>
      <c r="AT284" s="1421"/>
      <c r="AU284" s="1421"/>
      <c r="AV284" s="781"/>
      <c r="AW284" s="1421"/>
      <c r="AX284" s="1421"/>
      <c r="AY284" s="1421"/>
      <c r="AZ284" s="1421"/>
      <c r="BA284" s="1421"/>
      <c r="BB284" s="1945"/>
      <c r="BC284" s="803"/>
      <c r="BD284" s="803"/>
      <c r="BE284" s="803"/>
      <c r="BF284" s="803"/>
    </row>
    <row s="10822" customFormat="1" customHeight="1" ht="11.25">
      <c r="A285" s="1243"/>
      <c r="B285" s="1949"/>
      <c r="C285" s="1949"/>
      <c r="D285" s="572"/>
      <c r="J285" s="7715"/>
      <c r="K285" s="7715"/>
      <c r="L285" s="7715"/>
      <c r="M285" s="7715"/>
      <c r="N285" s="7715"/>
      <c r="O285" s="7715"/>
      <c r="P285" s="7715"/>
      <c r="Q285" s="7715"/>
      <c r="R285" s="7715"/>
      <c r="S285" s="7715"/>
      <c r="T285" s="7715"/>
      <c r="U285" s="7715"/>
      <c r="V285" s="7715"/>
      <c r="W285" s="7715"/>
      <c r="X285" s="7715"/>
      <c r="Y285" s="7715"/>
      <c r="Z285" s="7715"/>
      <c r="AA285" s="7715"/>
      <c r="AB285" s="7715"/>
      <c r="AC285" s="7715"/>
      <c r="AD285" s="7715"/>
      <c r="AE285" s="7715"/>
      <c r="AF285" s="7715"/>
      <c r="AG285" s="7715"/>
      <c r="AH285" s="7715"/>
      <c r="AI285" s="7715"/>
      <c r="AJ285" s="7715"/>
      <c r="AK285" s="7715"/>
      <c r="AL285" s="1421"/>
      <c r="AM285" s="1949"/>
      <c r="AN285" s="1949"/>
      <c r="AO285" s="1421"/>
      <c r="AP285" s="1421"/>
      <c r="AQ285" s="1421"/>
      <c r="AR285" s="1421"/>
      <c r="AS285" s="1949"/>
      <c r="AT285" s="1421"/>
      <c r="AU285" s="1421"/>
      <c r="AV285" s="781"/>
      <c r="AW285" s="1421"/>
      <c r="AX285" s="1421"/>
      <c r="AY285" s="1421"/>
      <c r="AZ285" s="1421"/>
      <c r="BA285" s="1421"/>
      <c r="BB285" s="1945"/>
      <c r="BC285" s="803"/>
      <c r="BD285" s="803"/>
      <c r="BE285" s="803"/>
      <c r="BF285" s="803"/>
    </row>
    <row s="10822" customFormat="1" customHeight="1" ht="11.25">
      <c r="A286" s="1243"/>
      <c r="B286" s="1949"/>
      <c r="C286" s="1949"/>
      <c r="D286" s="572"/>
      <c r="J286" s="7715"/>
      <c r="K286" s="7715"/>
      <c r="L286" s="7715"/>
      <c r="M286" s="7715"/>
      <c r="N286" s="7715"/>
      <c r="O286" s="7715"/>
      <c r="P286" s="7715"/>
      <c r="Q286" s="7715"/>
      <c r="R286" s="7715"/>
      <c r="S286" s="7715"/>
      <c r="T286" s="7715"/>
      <c r="U286" s="7715"/>
      <c r="V286" s="7715"/>
      <c r="W286" s="7715"/>
      <c r="X286" s="7715"/>
      <c r="Y286" s="7715"/>
      <c r="Z286" s="7715"/>
      <c r="AA286" s="7715"/>
      <c r="AB286" s="7715"/>
      <c r="AC286" s="7715"/>
      <c r="AD286" s="7715"/>
      <c r="AE286" s="7715"/>
      <c r="AF286" s="7715"/>
      <c r="AG286" s="7715"/>
      <c r="AH286" s="7715"/>
      <c r="AI286" s="7715"/>
      <c r="AJ286" s="7715"/>
      <c r="AK286" s="7715"/>
      <c r="AL286" s="1421"/>
      <c r="AM286" s="1949"/>
      <c r="AN286" s="1949"/>
      <c r="AO286" s="1421"/>
      <c r="AP286" s="1421"/>
      <c r="AQ286" s="1421"/>
      <c r="AR286" s="1421"/>
      <c r="AS286" s="1949"/>
      <c r="AT286" s="1421"/>
      <c r="AU286" s="1421"/>
      <c r="AV286" s="781"/>
      <c r="AW286" s="1421"/>
      <c r="AX286" s="1421"/>
      <c r="AY286" s="1421"/>
      <c r="AZ286" s="1421"/>
      <c r="BA286" s="1421"/>
      <c r="BB286" s="1945"/>
      <c r="BC286" s="803"/>
      <c r="BD286" s="803"/>
      <c r="BE286" s="803"/>
      <c r="BF286" s="803"/>
    </row>
    <row s="10822" customFormat="1" customHeight="1" ht="11.25">
      <c r="A287" s="1243"/>
      <c r="B287" s="1949"/>
      <c r="C287" s="1949"/>
      <c r="D287" s="572"/>
      <c r="J287" s="7715"/>
      <c r="K287" s="7715"/>
      <c r="L287" s="7715"/>
      <c r="M287" s="7715"/>
      <c r="N287" s="7715"/>
      <c r="O287" s="7715"/>
      <c r="P287" s="7715"/>
      <c r="Q287" s="7715"/>
      <c r="R287" s="7715"/>
      <c r="S287" s="7715"/>
      <c r="T287" s="7715"/>
      <c r="U287" s="7715"/>
      <c r="V287" s="7715"/>
      <c r="W287" s="7715"/>
      <c r="X287" s="7715"/>
      <c r="Y287" s="7715"/>
      <c r="Z287" s="7715"/>
      <c r="AA287" s="7715"/>
      <c r="AB287" s="7715"/>
      <c r="AC287" s="7715"/>
      <c r="AD287" s="7715"/>
      <c r="AE287" s="7715"/>
      <c r="AF287" s="7715"/>
      <c r="AG287" s="7715"/>
      <c r="AH287" s="7715"/>
      <c r="AI287" s="7715"/>
      <c r="AJ287" s="7715"/>
      <c r="AK287" s="7715"/>
      <c r="AL287" s="1421"/>
      <c r="AM287" s="1949"/>
      <c r="AN287" s="1949"/>
      <c r="AO287" s="1421"/>
      <c r="AP287" s="1421"/>
      <c r="AQ287" s="1421"/>
      <c r="AR287" s="1421"/>
      <c r="AS287" s="1949"/>
      <c r="AT287" s="1421"/>
      <c r="AU287" s="1421"/>
      <c r="AV287" s="781"/>
      <c r="AW287" s="1421"/>
      <c r="AX287" s="1421"/>
      <c r="AY287" s="1421"/>
      <c r="AZ287" s="1421"/>
      <c r="BA287" s="1421"/>
      <c r="BB287" s="1945"/>
      <c r="BC287" s="803"/>
      <c r="BD287" s="803"/>
      <c r="BE287" s="803"/>
      <c r="BF287" s="803"/>
    </row>
    <row s="10822" customFormat="1" customHeight="1" ht="11.25">
      <c r="A288" s="1243"/>
      <c r="B288" s="1949"/>
      <c r="C288" s="1949"/>
      <c r="D288" s="572"/>
      <c r="J288" s="7715"/>
      <c r="K288" s="7715"/>
      <c r="L288" s="7715"/>
      <c r="M288" s="7715"/>
      <c r="N288" s="7715"/>
      <c r="O288" s="7715"/>
      <c r="P288" s="7715"/>
      <c r="Q288" s="7715"/>
      <c r="R288" s="7715"/>
      <c r="S288" s="7715"/>
      <c r="T288" s="7715"/>
      <c r="U288" s="7715"/>
      <c r="V288" s="7715"/>
      <c r="W288" s="7715"/>
      <c r="X288" s="7715"/>
      <c r="Y288" s="7715"/>
      <c r="Z288" s="7715"/>
      <c r="AA288" s="7715"/>
      <c r="AB288" s="7715"/>
      <c r="AC288" s="7715"/>
      <c r="AD288" s="7715"/>
      <c r="AE288" s="7715"/>
      <c r="AF288" s="7715"/>
      <c r="AG288" s="7715"/>
      <c r="AH288" s="7715"/>
      <c r="AI288" s="7715"/>
      <c r="AJ288" s="7715"/>
      <c r="AK288" s="7715"/>
      <c r="AL288" s="1421"/>
      <c r="AM288" s="1949"/>
      <c r="AN288" s="1949"/>
      <c r="AO288" s="1421"/>
      <c r="AP288" s="1421"/>
      <c r="AQ288" s="1421"/>
      <c r="AR288" s="1421"/>
      <c r="AS288" s="1949"/>
      <c r="AT288" s="1421"/>
      <c r="AU288" s="1421"/>
      <c r="AV288" s="781"/>
      <c r="AW288" s="1421"/>
      <c r="AX288" s="1421"/>
      <c r="AY288" s="1421"/>
      <c r="AZ288" s="1421"/>
      <c r="BA288" s="1421"/>
      <c r="BB288" s="1945"/>
      <c r="BC288" s="803"/>
      <c r="BD288" s="803"/>
      <c r="BE288" s="803"/>
      <c r="BF288" s="803"/>
    </row>
    <row customHeight="1" ht="11.25">
      <c r="J289" s="6985"/>
      <c r="K289" s="6985"/>
      <c r="L289" s="6985"/>
      <c r="M289" s="6985"/>
      <c r="N289" s="6985"/>
      <c r="O289" s="6985"/>
      <c r="P289" s="6985"/>
      <c r="Q289" s="6985"/>
      <c r="R289" s="6985"/>
      <c r="S289" s="6985"/>
      <c r="T289" s="6985"/>
      <c r="U289" s="6985"/>
      <c r="V289" s="6985"/>
      <c r="W289" s="6985"/>
      <c r="X289" s="6985"/>
      <c r="Y289" s="6985"/>
      <c r="Z289" s="6985"/>
      <c r="AA289" s="6985"/>
      <c r="AB289" s="6985"/>
      <c r="AC289" s="6985"/>
      <c r="AD289" s="6985"/>
      <c r="AE289" s="6985"/>
      <c r="AF289" s="6985"/>
      <c r="AG289" s="6985"/>
      <c r="AH289" s="6985"/>
      <c r="AI289" s="6985"/>
      <c r="AJ289" s="6985"/>
      <c r="AK289" s="6985"/>
    </row>
    <row customHeight="1" ht="11.25">
      <c r="J290" s="6985"/>
      <c r="K290" s="6985"/>
      <c r="L290" s="6985"/>
      <c r="M290" s="6985"/>
      <c r="N290" s="6985"/>
      <c r="O290" s="6985"/>
      <c r="P290" s="6985"/>
      <c r="Q290" s="6985"/>
      <c r="R290" s="6985"/>
      <c r="S290" s="6985"/>
      <c r="T290" s="6985"/>
      <c r="U290" s="6985"/>
      <c r="V290" s="6985"/>
      <c r="W290" s="6985"/>
      <c r="X290" s="6985"/>
      <c r="Y290" s="6985"/>
      <c r="Z290" s="6985"/>
      <c r="AA290" s="6985"/>
      <c r="AB290" s="6985"/>
      <c r="AC290" s="6985"/>
      <c r="AD290" s="6985"/>
      <c r="AE290" s="6985"/>
      <c r="AF290" s="6985"/>
      <c r="AG290" s="6985"/>
      <c r="AH290" s="6985"/>
      <c r="AI290" s="6985"/>
      <c r="AJ290" s="6985"/>
      <c r="AK290" s="6985"/>
    </row>
    <row customHeight="1" ht="11.25">
      <c r="J291" s="6985"/>
      <c r="K291" s="6985"/>
      <c r="L291" s="6985"/>
      <c r="M291" s="6985"/>
      <c r="N291" s="6985"/>
      <c r="O291" s="6985"/>
      <c r="P291" s="6985"/>
      <c r="Q291" s="6985"/>
      <c r="R291" s="6985"/>
      <c r="S291" s="6985"/>
      <c r="T291" s="6985"/>
      <c r="U291" s="6985"/>
      <c r="V291" s="6985"/>
      <c r="W291" s="6985"/>
      <c r="X291" s="6985"/>
      <c r="Y291" s="6985"/>
      <c r="Z291" s="6985"/>
      <c r="AA291" s="6985"/>
      <c r="AB291" s="6985"/>
      <c r="AC291" s="6985"/>
      <c r="AD291" s="6985"/>
      <c r="AE291" s="6985"/>
      <c r="AF291" s="6985"/>
      <c r="AG291" s="6985"/>
      <c r="AH291" s="6985"/>
      <c r="AI291" s="6985"/>
      <c r="AJ291" s="6985"/>
      <c r="AK291" s="6985"/>
    </row>
    <row customHeight="1" ht="11.25">
      <c r="A292" s="1246"/>
      <c r="B292" s="1944"/>
      <c r="D292" s="1944"/>
      <c r="J292" s="6985"/>
      <c r="K292" s="6985"/>
      <c r="L292" s="6985"/>
      <c r="M292" s="6985"/>
      <c r="N292" s="6985"/>
      <c r="O292" s="6985"/>
      <c r="P292" s="6985"/>
      <c r="Q292" s="6985"/>
      <c r="R292" s="6985"/>
      <c r="S292" s="6985"/>
      <c r="T292" s="6985"/>
      <c r="U292" s="6985"/>
      <c r="V292" s="6985"/>
      <c r="W292" s="6985"/>
      <c r="X292" s="6985"/>
      <c r="Y292" s="6985"/>
      <c r="Z292" s="6985"/>
      <c r="AA292" s="6985"/>
      <c r="AB292" s="6985"/>
      <c r="AC292" s="6985"/>
      <c r="AD292" s="6985"/>
      <c r="AE292" s="6985"/>
      <c r="AF292" s="6985"/>
      <c r="AG292" s="6985"/>
      <c r="AH292" s="6985"/>
      <c r="AI292" s="6985"/>
      <c r="AJ292" s="6985"/>
      <c r="AK292" s="6985"/>
      <c r="AL292" s="1944"/>
      <c r="AO292" s="1944"/>
      <c r="AP292" s="1944"/>
      <c r="AQ292" s="1944"/>
      <c r="AR292" s="1944"/>
      <c r="AT292" s="1944"/>
      <c r="AU292" s="1944"/>
      <c r="AV292" s="1944"/>
      <c r="AW292" s="1944"/>
      <c r="AX292" s="1944"/>
      <c r="AY292" s="1944"/>
      <c r="AZ292" s="1944"/>
      <c r="BA292" s="1944"/>
      <c r="BB292" s="1944"/>
      <c r="BC292" s="1944"/>
      <c r="BD292" s="1944"/>
      <c r="BE292" s="1944"/>
      <c r="BF292" s="1944"/>
    </row>
    <row customHeight="1" ht="11.25">
      <c r="A293" s="1246"/>
      <c r="B293" s="1944"/>
      <c r="D293" s="1944"/>
      <c r="J293" s="6985"/>
      <c r="K293" s="6985"/>
      <c r="L293" s="6985"/>
      <c r="M293" s="6985"/>
      <c r="N293" s="6985"/>
      <c r="O293" s="6985"/>
      <c r="P293" s="6985"/>
      <c r="Q293" s="6985"/>
      <c r="R293" s="6985"/>
      <c r="S293" s="6985"/>
      <c r="T293" s="6985"/>
      <c r="U293" s="6985"/>
      <c r="V293" s="6985"/>
      <c r="W293" s="6985"/>
      <c r="X293" s="6985"/>
      <c r="Y293" s="6985"/>
      <c r="Z293" s="6985"/>
      <c r="AA293" s="6985"/>
      <c r="AB293" s="6985"/>
      <c r="AC293" s="6985"/>
      <c r="AD293" s="6985"/>
      <c r="AE293" s="6985"/>
      <c r="AF293" s="6985"/>
      <c r="AG293" s="6985"/>
      <c r="AH293" s="6985"/>
      <c r="AI293" s="6985"/>
      <c r="AJ293" s="6985"/>
      <c r="AK293" s="6985"/>
      <c r="AL293" s="1944"/>
      <c r="AO293" s="1944"/>
      <c r="AP293" s="1944"/>
      <c r="AQ293" s="1944"/>
      <c r="AR293" s="1944"/>
      <c r="AT293" s="1944"/>
      <c r="AU293" s="1944"/>
      <c r="AV293" s="1944"/>
      <c r="AW293" s="1944"/>
      <c r="AX293" s="1944"/>
      <c r="AY293" s="1944"/>
      <c r="AZ293" s="1944"/>
      <c r="BA293" s="1944"/>
      <c r="BB293" s="1944"/>
      <c r="BC293" s="1944"/>
      <c r="BD293" s="1944"/>
      <c r="BE293" s="1944"/>
      <c r="BF293" s="1944"/>
    </row>
    <row customHeight="1" ht="11.25">
      <c r="A294" s="1246"/>
      <c r="B294" s="1944"/>
      <c r="D294" s="1944"/>
      <c r="J294" s="6985"/>
      <c r="K294" s="6985"/>
      <c r="L294" s="6985"/>
      <c r="M294" s="6985"/>
      <c r="N294" s="6985"/>
      <c r="O294" s="6985"/>
      <c r="P294" s="6985"/>
      <c r="Q294" s="6985"/>
      <c r="R294" s="6985"/>
      <c r="S294" s="6985"/>
      <c r="T294" s="6985"/>
      <c r="U294" s="6985"/>
      <c r="V294" s="6985"/>
      <c r="W294" s="6985"/>
      <c r="X294" s="6985"/>
      <c r="Y294" s="6985"/>
      <c r="Z294" s="6985"/>
      <c r="AA294" s="6985"/>
      <c r="AB294" s="6985"/>
      <c r="AC294" s="6985"/>
      <c r="AD294" s="6985"/>
      <c r="AE294" s="6985"/>
      <c r="AF294" s="6985"/>
      <c r="AG294" s="6985"/>
      <c r="AH294" s="6985"/>
      <c r="AI294" s="6985"/>
      <c r="AJ294" s="6985"/>
      <c r="AK294" s="6985"/>
      <c r="AL294" s="1944"/>
      <c r="AO294" s="1944"/>
      <c r="AP294" s="1944"/>
      <c r="AQ294" s="1944"/>
      <c r="AR294" s="1944"/>
      <c r="AT294" s="1944"/>
      <c r="AU294" s="1944"/>
      <c r="AV294" s="1944"/>
      <c r="AW294" s="1944"/>
      <c r="AX294" s="1944"/>
      <c r="AY294" s="1944"/>
      <c r="AZ294" s="1944"/>
      <c r="BA294" s="1944"/>
      <c r="BB294" s="1944"/>
      <c r="BC294" s="1944"/>
      <c r="BD294" s="1944"/>
      <c r="BE294" s="1944"/>
      <c r="BF294" s="1944"/>
    </row>
    <row customHeight="1" ht="11.25">
      <c r="A295" s="1246"/>
      <c r="B295" s="1944"/>
      <c r="D295" s="1944"/>
      <c r="J295" s="6985"/>
      <c r="K295" s="6985"/>
      <c r="L295" s="6985"/>
      <c r="M295" s="6985"/>
      <c r="N295" s="6985"/>
      <c r="O295" s="6985"/>
      <c r="P295" s="6985"/>
      <c r="Q295" s="6985"/>
      <c r="R295" s="6985"/>
      <c r="S295" s="6985"/>
      <c r="T295" s="6985"/>
      <c r="U295" s="6985"/>
      <c r="V295" s="6985"/>
      <c r="W295" s="6985"/>
      <c r="X295" s="6985"/>
      <c r="Y295" s="6985"/>
      <c r="Z295" s="6985"/>
      <c r="AA295" s="6985"/>
      <c r="AB295" s="6985"/>
      <c r="AC295" s="6985"/>
      <c r="AD295" s="6985"/>
      <c r="AE295" s="6985"/>
      <c r="AF295" s="6985"/>
      <c r="AG295" s="6985"/>
      <c r="AH295" s="6985"/>
      <c r="AI295" s="6985"/>
      <c r="AJ295" s="6985"/>
      <c r="AK295" s="6985"/>
      <c r="AL295" s="1944"/>
      <c r="AO295" s="1944"/>
      <c r="AP295" s="1944"/>
      <c r="AQ295" s="1944"/>
      <c r="AR295" s="1944"/>
      <c r="AT295" s="1944"/>
      <c r="AU295" s="1944"/>
      <c r="AV295" s="1944"/>
      <c r="AW295" s="1944"/>
      <c r="AX295" s="1944"/>
      <c r="AY295" s="1944"/>
      <c r="AZ295" s="1944"/>
      <c r="BA295" s="1944"/>
      <c r="BB295" s="1944"/>
      <c r="BC295" s="1944"/>
      <c r="BD295" s="1944"/>
      <c r="BE295" s="1944"/>
      <c r="BF295" s="1944"/>
    </row>
    <row customHeight="1" ht="11.25">
      <c r="A296" s="1246"/>
      <c r="B296" s="1944"/>
      <c r="D296" s="1944"/>
      <c r="J296" s="6985"/>
      <c r="K296" s="6985"/>
      <c r="L296" s="6985"/>
      <c r="M296" s="6985"/>
      <c r="N296" s="6985"/>
      <c r="O296" s="6985"/>
      <c r="P296" s="6985"/>
      <c r="Q296" s="6985"/>
      <c r="R296" s="6985"/>
      <c r="S296" s="6985"/>
      <c r="T296" s="6985"/>
      <c r="U296" s="6985"/>
      <c r="V296" s="6985"/>
      <c r="W296" s="6985"/>
      <c r="X296" s="6985"/>
      <c r="Y296" s="6985"/>
      <c r="Z296" s="6985"/>
      <c r="AA296" s="6985"/>
      <c r="AB296" s="6985"/>
      <c r="AC296" s="6985"/>
      <c r="AD296" s="6985"/>
      <c r="AE296" s="6985"/>
      <c r="AF296" s="6985"/>
      <c r="AG296" s="6985"/>
      <c r="AH296" s="6985"/>
      <c r="AI296" s="6985"/>
      <c r="AJ296" s="6985"/>
      <c r="AK296" s="6985"/>
      <c r="AL296" s="1944"/>
      <c r="AO296" s="1944"/>
      <c r="AP296" s="1944"/>
      <c r="AQ296" s="1944"/>
      <c r="AR296" s="1944"/>
      <c r="AT296" s="1944"/>
      <c r="AU296" s="1944"/>
      <c r="AV296" s="1944"/>
      <c r="AW296" s="1944"/>
      <c r="AX296" s="1944"/>
      <c r="AY296" s="1944"/>
      <c r="AZ296" s="1944"/>
      <c r="BA296" s="1944"/>
      <c r="BB296" s="1944"/>
      <c r="BC296" s="1944"/>
      <c r="BD296" s="1944"/>
      <c r="BE296" s="1944"/>
      <c r="BF296" s="1944"/>
    </row>
    <row customHeight="1" ht="11.25">
      <c r="A297" s="1246"/>
      <c r="B297" s="1944"/>
      <c r="D297" s="1944"/>
      <c r="J297" s="6985"/>
      <c r="K297" s="6985"/>
      <c r="L297" s="6985"/>
      <c r="M297" s="6985"/>
      <c r="N297" s="6985"/>
      <c r="O297" s="6985"/>
      <c r="P297" s="6985"/>
      <c r="Q297" s="6985"/>
      <c r="R297" s="6985"/>
      <c r="S297" s="6985"/>
      <c r="T297" s="6985"/>
      <c r="U297" s="6985"/>
      <c r="V297" s="6985"/>
      <c r="W297" s="6985"/>
      <c r="X297" s="6985"/>
      <c r="Y297" s="6985"/>
      <c r="Z297" s="6985"/>
      <c r="AA297" s="6985"/>
      <c r="AB297" s="6985"/>
      <c r="AC297" s="6985"/>
      <c r="AD297" s="6985"/>
      <c r="AE297" s="6985"/>
      <c r="AF297" s="6985"/>
      <c r="AG297" s="6985"/>
      <c r="AH297" s="6985"/>
      <c r="AI297" s="6985"/>
      <c r="AJ297" s="6985"/>
      <c r="AK297" s="6985"/>
      <c r="AL297" s="1944"/>
      <c r="AO297" s="1944"/>
      <c r="AP297" s="1944"/>
      <c r="AQ297" s="1944"/>
      <c r="AR297" s="1944"/>
      <c r="AT297" s="1944"/>
      <c r="AU297" s="1944"/>
      <c r="AV297" s="1944"/>
      <c r="AW297" s="1944"/>
      <c r="AX297" s="1944"/>
      <c r="AY297" s="1944"/>
      <c r="AZ297" s="1944"/>
      <c r="BA297" s="1944"/>
      <c r="BB297" s="1944"/>
      <c r="BC297" s="1944"/>
      <c r="BD297" s="1944"/>
      <c r="BE297" s="1944"/>
      <c r="BF297" s="1944"/>
    </row>
    <row customHeight="1" ht="11.25">
      <c r="A298" s="1246"/>
      <c r="B298" s="1944"/>
      <c r="D298" s="1944"/>
      <c r="J298" s="6985"/>
      <c r="K298" s="6985"/>
      <c r="L298" s="6985"/>
      <c r="M298" s="6985"/>
      <c r="N298" s="6985"/>
      <c r="O298" s="6985"/>
      <c r="P298" s="6985"/>
      <c r="Q298" s="6985"/>
      <c r="R298" s="6985"/>
      <c r="S298" s="6985"/>
      <c r="T298" s="6985"/>
      <c r="U298" s="6985"/>
      <c r="V298" s="6985"/>
      <c r="W298" s="6985"/>
      <c r="X298" s="6985"/>
      <c r="Y298" s="6985"/>
      <c r="Z298" s="6985"/>
      <c r="AA298" s="6985"/>
      <c r="AB298" s="6985"/>
      <c r="AC298" s="6985"/>
      <c r="AD298" s="6985"/>
      <c r="AE298" s="6985"/>
      <c r="AF298" s="6985"/>
      <c r="AG298" s="6985"/>
      <c r="AH298" s="6985"/>
      <c r="AI298" s="6985"/>
      <c r="AJ298" s="6985"/>
      <c r="AK298" s="6985"/>
      <c r="AL298" s="1944"/>
      <c r="AO298" s="1944"/>
      <c r="AP298" s="1944"/>
      <c r="AQ298" s="1944"/>
      <c r="AR298" s="1944"/>
      <c r="AT298" s="1944"/>
      <c r="AU298" s="1944"/>
      <c r="AV298" s="1944"/>
      <c r="AW298" s="1944"/>
      <c r="AX298" s="1944"/>
      <c r="AY298" s="1944"/>
      <c r="AZ298" s="1944"/>
      <c r="BA298" s="1944"/>
      <c r="BB298" s="1944"/>
      <c r="BC298" s="1944"/>
      <c r="BD298" s="1944"/>
      <c r="BE298" s="1944"/>
      <c r="BF298" s="1944"/>
    </row>
    <row customHeight="1" ht="11.25">
      <c r="A299" s="1246"/>
      <c r="B299" s="1944"/>
      <c r="D299" s="1944"/>
      <c r="J299" s="6985"/>
      <c r="K299" s="6985"/>
      <c r="L299" s="6985"/>
      <c r="M299" s="6985"/>
      <c r="N299" s="6985"/>
      <c r="O299" s="6985"/>
      <c r="P299" s="6985"/>
      <c r="Q299" s="6985"/>
      <c r="R299" s="6985"/>
      <c r="S299" s="6985"/>
      <c r="T299" s="6985"/>
      <c r="U299" s="6985"/>
      <c r="V299" s="6985"/>
      <c r="W299" s="6985"/>
      <c r="X299" s="6985"/>
      <c r="Y299" s="6985"/>
      <c r="Z299" s="6985"/>
      <c r="AA299" s="6985"/>
      <c r="AB299" s="6985"/>
      <c r="AC299" s="6985"/>
      <c r="AD299" s="6985"/>
      <c r="AE299" s="6985"/>
      <c r="AF299" s="6985"/>
      <c r="AG299" s="6985"/>
      <c r="AH299" s="6985"/>
      <c r="AI299" s="6985"/>
      <c r="AJ299" s="6985"/>
      <c r="AK299" s="6985"/>
      <c r="AL299" s="1944"/>
      <c r="AO299" s="1944"/>
      <c r="AP299" s="1944"/>
      <c r="AQ299" s="1944"/>
      <c r="AR299" s="1944"/>
      <c r="AT299" s="1944"/>
      <c r="AU299" s="1944"/>
      <c r="AV299" s="1944"/>
      <c r="AW299" s="1944"/>
      <c r="AX299" s="1944"/>
      <c r="AY299" s="1944"/>
      <c r="AZ299" s="1944"/>
      <c r="BA299" s="1944"/>
      <c r="BB299" s="1944"/>
      <c r="BC299" s="1944"/>
      <c r="BD299" s="1944"/>
      <c r="BE299" s="1944"/>
      <c r="BF299" s="1944"/>
    </row>
    <row customHeight="1" ht="11.25">
      <c r="A300" s="1246"/>
      <c r="B300" s="1944"/>
      <c r="D300" s="1944"/>
      <c r="J300" s="6985"/>
      <c r="K300" s="6985"/>
      <c r="L300" s="6985"/>
      <c r="M300" s="6985"/>
      <c r="N300" s="6985"/>
      <c r="O300" s="6985"/>
      <c r="P300" s="6985"/>
      <c r="Q300" s="6985"/>
      <c r="R300" s="6985"/>
      <c r="S300" s="6985"/>
      <c r="T300" s="6985"/>
      <c r="U300" s="6985"/>
      <c r="V300" s="6985"/>
      <c r="W300" s="6985"/>
      <c r="X300" s="6985"/>
      <c r="Y300" s="6985"/>
      <c r="Z300" s="6985"/>
      <c r="AA300" s="6985"/>
      <c r="AB300" s="6985"/>
      <c r="AC300" s="6985"/>
      <c r="AD300" s="6985"/>
      <c r="AE300" s="6985"/>
      <c r="AF300" s="6985"/>
      <c r="AG300" s="6985"/>
      <c r="AH300" s="6985"/>
      <c r="AI300" s="6985"/>
      <c r="AJ300" s="6985"/>
      <c r="AK300" s="6985"/>
      <c r="AL300" s="1944"/>
      <c r="AO300" s="1944"/>
      <c r="AP300" s="1944"/>
      <c r="AQ300" s="1944"/>
      <c r="AR300" s="1944"/>
      <c r="AT300" s="1944"/>
      <c r="AU300" s="1944"/>
      <c r="AV300" s="1944"/>
      <c r="AW300" s="1944"/>
      <c r="AX300" s="1944"/>
      <c r="AY300" s="1944"/>
      <c r="AZ300" s="1944"/>
      <c r="BA300" s="1944"/>
      <c r="BB300" s="1944"/>
      <c r="BC300" s="1944"/>
      <c r="BD300" s="1944"/>
      <c r="BE300" s="1944"/>
      <c r="BF300" s="1944"/>
    </row>
    <row customHeight="1" ht="11.25">
      <c r="A301" s="1246"/>
      <c r="B301" s="1944"/>
      <c r="D301" s="1944"/>
      <c r="J301" s="6985"/>
      <c r="K301" s="6985"/>
      <c r="L301" s="6985"/>
      <c r="M301" s="6985"/>
      <c r="N301" s="6985"/>
      <c r="O301" s="6985"/>
      <c r="P301" s="6985"/>
      <c r="Q301" s="6985"/>
      <c r="R301" s="6985"/>
      <c r="S301" s="6985"/>
      <c r="T301" s="6985"/>
      <c r="U301" s="6985"/>
      <c r="V301" s="6985"/>
      <c r="W301" s="6985"/>
      <c r="X301" s="6985"/>
      <c r="Y301" s="6985"/>
      <c r="Z301" s="6985"/>
      <c r="AA301" s="6985"/>
      <c r="AB301" s="6985"/>
      <c r="AC301" s="6985"/>
      <c r="AD301" s="6985"/>
      <c r="AE301" s="6985"/>
      <c r="AF301" s="6985"/>
      <c r="AG301" s="6985"/>
      <c r="AH301" s="6985"/>
      <c r="AI301" s="6985"/>
      <c r="AJ301" s="6985"/>
      <c r="AK301" s="6985"/>
      <c r="AL301" s="1944"/>
      <c r="AO301" s="1944"/>
      <c r="AP301" s="1944"/>
      <c r="AQ301" s="1944"/>
      <c r="AR301" s="1944"/>
      <c r="AT301" s="1944"/>
      <c r="AU301" s="1944"/>
      <c r="AV301" s="1944"/>
      <c r="AW301" s="1944"/>
      <c r="AX301" s="1944"/>
      <c r="AY301" s="1944"/>
      <c r="AZ301" s="1944"/>
      <c r="BA301" s="1944"/>
      <c r="BB301" s="1944"/>
      <c r="BC301" s="1944"/>
      <c r="BD301" s="1944"/>
      <c r="BE301" s="1944"/>
      <c r="BF301" s="1944"/>
    </row>
    <row customHeight="1" ht="11.25">
      <c r="A302" s="1246"/>
      <c r="B302" s="1944"/>
      <c r="D302" s="1944"/>
      <c r="J302" s="6985"/>
      <c r="K302" s="6985"/>
      <c r="L302" s="6985"/>
      <c r="M302" s="6985"/>
      <c r="N302" s="6985"/>
      <c r="O302" s="6985"/>
      <c r="P302" s="6985"/>
      <c r="Q302" s="6985"/>
      <c r="R302" s="6985"/>
      <c r="S302" s="6985"/>
      <c r="T302" s="6985"/>
      <c r="U302" s="6985"/>
      <c r="V302" s="6985"/>
      <c r="W302" s="6985"/>
      <c r="X302" s="6985"/>
      <c r="Y302" s="6985"/>
      <c r="Z302" s="6985"/>
      <c r="AA302" s="6985"/>
      <c r="AB302" s="6985"/>
      <c r="AC302" s="6985"/>
      <c r="AD302" s="6985"/>
      <c r="AE302" s="6985"/>
      <c r="AF302" s="6985"/>
      <c r="AG302" s="6985"/>
      <c r="AH302" s="6985"/>
      <c r="AI302" s="6985"/>
      <c r="AJ302" s="6985"/>
      <c r="AK302" s="6985"/>
      <c r="AL302" s="1944"/>
      <c r="AO302" s="1944"/>
      <c r="AP302" s="1944"/>
      <c r="AQ302" s="1944"/>
      <c r="AR302" s="1944"/>
      <c r="AT302" s="1944"/>
      <c r="AU302" s="1944"/>
      <c r="AV302" s="1944"/>
      <c r="AW302" s="1944"/>
      <c r="AX302" s="1944"/>
      <c r="AY302" s="1944"/>
      <c r="AZ302" s="1944"/>
      <c r="BA302" s="1944"/>
      <c r="BB302" s="1944"/>
      <c r="BC302" s="1944"/>
      <c r="BD302" s="1944"/>
      <c r="BE302" s="1944"/>
      <c r="BF302" s="1944"/>
    </row>
  </sheetData>
  <sheetProtection formatColumns="0" formatRows="0" autoFilter="0" sort="0" insertRows="0" insertColumns="1" deleteRows="0" deleteColumns="0"/>
  <mergeCells count="17">
    <mergeCell ref="A120:A130"/>
    <mergeCell ref="E21:I21"/>
    <mergeCell ref="E22:I22"/>
    <mergeCell ref="A33:A40"/>
    <mergeCell ref="B34:B39"/>
    <mergeCell ref="A41:A43"/>
    <mergeCell ref="A67:A68"/>
    <mergeCell ref="A82:A90"/>
    <mergeCell ref="A91:A95"/>
    <mergeCell ref="A96:A98"/>
    <mergeCell ref="A99:A111"/>
    <mergeCell ref="A115:A119"/>
    <mergeCell ref="B2:B7"/>
    <mergeCell ref="F25:G25"/>
    <mergeCell ref="F26:G26"/>
    <mergeCell ref="F27:G27"/>
    <mergeCell ref="E28:G28"/>
  </mergeCells>
  <dataValidations count="12">
    <dataValidation type="list" allowBlank="1" showInputMessage="1" showErrorMessage="1" errorTitle="Ошибка" error="Выберите значение из списка" prompt="Выберите значение из списка" sqref="H7:AJ7 AK7">
      <formula1>kind_of_purchase_method</formula1>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F12 F10 H70:AJ70 AK70">
      <formula1>900</formula1>
    </dataValidation>
    <dataValidation type="textLength" operator="lessThanOrEqual" allowBlank="1" showInputMessage="1" showErrorMessage="1" errorTitle="Ошибка" error="Допускается ввод не более 900 символов!" sqref="G4 H34:AJ34 H39:AJ39 AK34 AK39">
      <formula1>900</formula1>
    </dataValidation>
    <dataValidation type="decimal" allowBlank="1" showErrorMessage="1" errorTitle="Ошибка" error="Допускается ввод только неотрицательных чисел!" sqref="H67:AJ67 H69:AJ69 H91:AJ94 H127:AJ127 H30:AJ30 H32:AJ33 H35:AJ38 H40:AJ65 H82:AJ86 H17:AJ17 H9:AJ13 H15:AJ15 H96:AJ119 H74:AJ74 H88:AJ89 H4:AJ6 AK4 AK5 AK6 AK9 AK10 AK11 AK12 AK13 AK15 AK17 AK30 AK32 AK33 AK35 AK36 AK37 AK38 AK40 AK41 AK42 AK43 AK44 AK45 AK46 AK47 AK48 AK49 AK50 AK51 AK52 AK53 AK54 AK55 AK56 AK57 AK58 AK59 AK60 AK61 AK62 AK63 AK64 AK65 AK67 AK69 AK74 AK82 AK83 AK84 AK85 AK86 AK88 AK89 AK91 AK92 AK93 AK94 AK96 AK97 AK98 AK99 AK100 AK101 AK102 AK103 AK104 AK105 AK106 AK107 AK108 AK109 AK110 AK111 AK112 AK113 AK114 AK115 AK116 AK117 AK118 AK119 AK127">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источник тепловой энергии" sqref="1:1">
      <formula1>900</formula1>
    </dataValidation>
    <dataValidation type="list" allowBlank="1" showInputMessage="1" showErrorMessage="1" errorTitle="Ошибка" error="Выберите значение из списка" prompt="Выберите значение из списка" sqref="F2">
      <formula1>kind_of_fuels</formula1>
    </dataValidation>
    <dataValidation type="list" allowBlank="1" showInputMessage="1" showErrorMessage="1" errorTitle="Ошибка" error="Выберите значение из списка" prompt="Выберите значение из списка" sqref="G93">
      <formula1>kind_of_volume_te_unit</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81:AJ81 H128:AJ130 AK81 AK128 AK129 AK130">
      <formula1>900</formula1>
    </dataValidation>
    <dataValidation type="decimal" allowBlank="1" showErrorMessage="1" errorTitle="Ошибка" error="Допускается ввод только действительных чисел!" sqref="H72:AJ73 AK72 AK73">
      <formula1>-9.99999999999999E+23</formula1>
      <formula2>9.99999999999999E+23</formula2>
    </dataValidation>
    <dataValidation type="decimal" allowBlank="1" showErrorMessage="1" errorTitle="Ошибка" error="Допускается ввод только действительных чисел!" sqref="H123:AJ123 H120:AJ120 H126:AJ126 H75:AJ80 AK75 AK76 AK77 AK78 AK79 AK80 AK120 AK123 AK126">
      <formula1>-9.99999999999999E+37</formula1>
      <formula2>9.99999999999999E+37</formula2>
    </dataValidation>
    <dataValidation type="decimal" allowBlank="1" showErrorMessage="1" errorTitle="Ошибка" error="Введите значение от 0 до 100%" sqref="H90:AJ90 H95:AJ95 AK90 AK95">
      <formula1>0</formula1>
      <formula2>100</formula2>
    </dataValidation>
    <dataValidation allowBlank="1" showInputMessage="1" showErrorMessage="1" prompt="Для выбора выполните двойной щелчок левой клавиши мыши по соответствующей ячейке." sqref="H68:AJ68 H66:AJ66 AK66 AK68"/>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9451B5A-7A87-B2A5-0721-7731C343A3D2}" mc:Ignorable="x14ac xr xr2 xr3">
  <sheetPr>
    <tabColor theme="9" tint="-0.25"/>
  </sheetPr>
  <dimension ref="A1:CE271"/>
  <sheetViews>
    <sheetView topLeftCell="C4" showGridLines="0" zoomScale="90" workbookViewId="0">
      <selection activeCell="A257" sqref="A257:CE265"/>
    </sheetView>
  </sheetViews>
  <sheetFormatPr defaultColWidth="9.140625" customHeight="1" defaultRowHeight="11.25"/>
  <cols>
    <col min="1" max="1" style="11161" width="14.7109375" hidden="1" customWidth="1"/>
    <col min="2" max="2" style="11248" width="17.00390625" hidden="1" customWidth="1"/>
    <col min="3" max="3" style="11126" width="3.7109375" customWidth="1"/>
    <col min="4" max="4" style="11126" width="1.8515625" hidden="1" customWidth="1"/>
    <col min="5" max="6" style="11126" width="7.7109375" customWidth="1"/>
    <col min="7" max="7" style="11126" width="29.7109375" customWidth="1"/>
    <col min="8" max="8" style="11126" width="3.7109375" customWidth="1"/>
    <col min="9" max="9" style="11126" width="5.421875" customWidth="1"/>
    <col min="10" max="10" style="11126" width="24.57421875" customWidth="1"/>
    <col min="11" max="11" style="11126" width="24.421875" customWidth="1"/>
    <col min="12" max="12" style="11126" width="3.7109375" customWidth="1"/>
    <col min="13" max="13" style="11126" width="6.28125" customWidth="1"/>
    <col min="14" max="14" style="11126" width="25.8515625" customWidth="1"/>
    <col min="15" max="18" style="11126" width="18.7109375" customWidth="1"/>
    <col min="19" max="19" style="11126" width="93.421875" customWidth="1"/>
    <col min="20" max="20" style="11126" width="10.57421875" customWidth="1"/>
    <col min="21" max="21" style="10863" width="10.57421875" customWidth="1"/>
    <col min="22" max="22" style="10863" width="11.7109375" customWidth="1"/>
    <col min="23" max="27" style="11248" width="10.57421875" customWidth="1"/>
    <col min="28" max="83" style="11126" width="9.140625"/>
  </cols>
  <sheetData>
    <row customHeight="1" ht="11.25" hidden="1"/>
    <row customHeight="1" ht="11.25" hidden="1"/>
    <row customHeight="1" ht="11.25" hidden="1"/>
    <row customHeight="1" ht="3">
      <c r="C4" s="746"/>
      <c r="D4" s="746"/>
      <c r="E4" s="746"/>
      <c r="F4" s="746"/>
      <c r="G4" s="746"/>
      <c r="H4" s="746"/>
      <c r="I4" s="746"/>
      <c r="J4" s="746"/>
      <c r="K4" s="374"/>
      <c r="L4" s="374"/>
      <c r="M4" s="374"/>
    </row>
    <row customHeight="1" ht="33.75">
      <c r="C5" s="746"/>
      <c r="D5" s="1317"/>
      <c r="E5" s="2598" t="str">
        <f>FHD20_NAME_FORM</f>
        <v>Форма 11. Информация о расходах на капитальный и текущий ремонт основных средств</v>
      </c>
      <c r="F5" s="2598"/>
      <c r="G5" s="2598"/>
      <c r="H5" s="2598"/>
      <c r="I5" s="2598"/>
      <c r="J5" s="2598"/>
      <c r="K5" s="2598"/>
      <c r="L5" s="850"/>
      <c r="M5" s="850"/>
    </row>
    <row s="11126" customFormat="1" customHeight="1" ht="16.5">
      <c r="A6" s="847"/>
      <c r="B6" s="998"/>
      <c r="C6" s="746"/>
      <c r="D6" s="1318"/>
      <c r="E6" s="2599" t="str">
        <f>IF(org=0,"Не определено",org)</f>
        <v>ООО "СамРЭК-Тепло Жигулевск"</v>
      </c>
      <c r="F6" s="2599"/>
      <c r="G6" s="2599"/>
      <c r="H6" s="2599"/>
      <c r="I6" s="2599"/>
      <c r="J6" s="2599"/>
      <c r="K6" s="2599"/>
      <c r="L6" s="850"/>
      <c r="M6" s="850"/>
      <c r="U6" s="848"/>
      <c r="V6" s="848"/>
      <c r="W6" s="849"/>
      <c r="X6" s="998"/>
      <c r="Y6" s="998"/>
      <c r="Z6" s="998"/>
      <c r="AA6" s="998"/>
    </row>
    <row customHeight="1" ht="11.25">
      <c r="C7" s="746"/>
      <c r="D7" s="746"/>
      <c r="E7" s="746"/>
      <c r="F7" s="746"/>
      <c r="G7" s="759"/>
      <c r="H7" s="759"/>
      <c r="I7" s="759"/>
      <c r="J7" s="759"/>
      <c r="K7" s="851"/>
      <c r="L7" s="851"/>
      <c r="M7" s="851"/>
      <c r="R7" s="991"/>
    </row>
    <row s="10822" customFormat="1" customHeight="1" ht="5.25">
      <c r="A8" s="858"/>
      <c r="B8" s="803"/>
      <c r="C8" s="572"/>
      <c r="D8" s="572"/>
      <c r="E8" s="572"/>
      <c r="F8" s="572"/>
      <c r="G8" s="1231"/>
      <c r="H8" s="1231"/>
      <c r="I8" s="1231"/>
      <c r="J8" s="1231"/>
      <c r="K8" s="1274"/>
      <c r="L8" s="1274"/>
      <c r="M8" s="1274"/>
      <c r="R8" s="1275"/>
      <c r="U8" s="848"/>
      <c r="V8" s="848"/>
      <c r="W8" s="859"/>
      <c r="X8" s="803"/>
      <c r="Y8" s="803"/>
      <c r="Z8" s="803"/>
      <c r="AA8" s="803"/>
    </row>
    <row customHeight="1" ht="18.75">
      <c r="D9" s="499"/>
      <c r="E9" s="2136" t="s">
        <v>362</v>
      </c>
      <c r="F9" s="2137"/>
      <c r="G9" s="2137"/>
      <c r="H9" s="2137"/>
      <c r="I9" s="2137"/>
      <c r="J9" s="2137"/>
      <c r="K9" s="2137"/>
      <c r="L9" s="2137"/>
      <c r="M9" s="2137"/>
      <c r="N9" s="2137"/>
      <c r="O9" s="2137"/>
      <c r="P9" s="2137"/>
      <c r="Q9" s="2137"/>
      <c r="R9" s="2138"/>
      <c r="S9" s="2277" t="s">
        <v>363</v>
      </c>
      <c r="T9" s="555"/>
    </row>
    <row customHeight="1" ht="33.75">
      <c r="D10" s="788" t="s">
        <v>88</v>
      </c>
      <c r="E10" s="2277" t="s">
        <v>88</v>
      </c>
      <c r="F10" s="2277"/>
      <c r="G10" s="758" t="s">
        <v>364</v>
      </c>
      <c r="H10" s="2277" t="s">
        <v>88</v>
      </c>
      <c r="I10" s="2277"/>
      <c r="J10" s="758" t="s">
        <v>1804</v>
      </c>
      <c r="K10" s="758" t="s">
        <v>1805</v>
      </c>
      <c r="L10" s="2277" t="s">
        <v>88</v>
      </c>
      <c r="M10" s="2277"/>
      <c r="N10" s="758" t="s">
        <v>1806</v>
      </c>
      <c r="O10" s="758" t="s">
        <v>1807</v>
      </c>
      <c r="P10" s="758" t="s">
        <v>1808</v>
      </c>
      <c r="Q10" s="758" t="s">
        <v>1809</v>
      </c>
      <c r="R10" s="758" t="s">
        <v>1810</v>
      </c>
      <c r="S10" s="2277"/>
      <c r="T10" s="555"/>
    </row>
    <row s="10863" customFormat="1" customHeight="1" ht="15" hidden="1">
      <c r="A11" s="1311"/>
      <c r="D11" s="1283" t="s">
        <v>109</v>
      </c>
      <c r="E11" s="1283"/>
      <c r="F11" s="1283" t="s">
        <v>110</v>
      </c>
      <c r="G11" s="1283" t="s">
        <v>90</v>
      </c>
      <c r="H11" s="1283"/>
      <c r="I11" s="1283" t="s">
        <v>91</v>
      </c>
      <c r="J11" s="1283" t="s">
        <v>111</v>
      </c>
      <c r="K11" s="1283" t="s">
        <v>92</v>
      </c>
      <c r="L11" s="1283"/>
      <c r="M11" s="1283" t="s">
        <v>93</v>
      </c>
      <c r="N11" s="1283" t="s">
        <v>112</v>
      </c>
      <c r="O11" s="1283" t="s">
        <v>136</v>
      </c>
      <c r="P11" s="1283" t="s">
        <v>139</v>
      </c>
      <c r="Q11" s="1283" t="s">
        <v>142</v>
      </c>
      <c r="R11" s="1283" t="s">
        <v>145</v>
      </c>
      <c r="S11" s="1283" t="s">
        <v>148</v>
      </c>
      <c r="U11" s="848"/>
      <c r="V11" s="848"/>
      <c r="W11" s="848"/>
    </row>
    <row s="11126" customFormat="1" customHeight="1" ht="0.75">
      <c r="A12" s="852"/>
      <c r="B12" s="585"/>
      <c r="D12" s="785"/>
      <c r="E12" s="567"/>
      <c r="F12" s="567"/>
      <c r="Q12" s="853"/>
      <c r="R12" s="854"/>
      <c r="T12" s="855"/>
      <c r="U12" s="856"/>
      <c r="V12" s="856"/>
      <c r="W12" s="857"/>
      <c r="X12" s="585"/>
      <c r="Y12" s="585"/>
      <c r="Z12" s="585"/>
      <c r="AA12" s="585"/>
    </row>
    <row s="10822" customFormat="1" customHeight="1" ht="0.75">
      <c r="A13" s="858"/>
      <c r="B13" s="803"/>
      <c r="D13" s="785" t="s">
        <v>440</v>
      </c>
      <c r="E13" s="797"/>
      <c r="F13" s="797"/>
      <c r="G13" s="797"/>
      <c r="H13" s="797"/>
      <c r="I13" s="797"/>
      <c r="J13" s="797"/>
      <c r="K13" s="797"/>
      <c r="L13" s="797"/>
      <c r="M13" s="797"/>
      <c r="N13" s="797"/>
      <c r="O13" s="797"/>
      <c r="P13" s="797"/>
      <c r="Q13" s="797"/>
      <c r="R13" s="797"/>
      <c r="T13" s="555"/>
      <c r="U13" s="848"/>
      <c r="V13" s="848"/>
      <c r="W13" s="859"/>
      <c r="X13" s="803"/>
      <c r="Y13" s="803"/>
      <c r="Z13" s="803"/>
      <c r="AA13" s="803"/>
    </row>
    <row s="11403" customFormat="1" customHeight="1" ht="15" hidden="1">
      <c r="A14" s="860" t="s">
        <v>118</v>
      </c>
      <c r="B14" s="861"/>
      <c r="C14" s="861"/>
      <c r="D14" s="2594" t="s">
        <v>109</v>
      </c>
      <c r="E14" s="2374" t="s">
        <v>105</v>
      </c>
      <c r="F14" s="2375"/>
      <c r="G14" s="2376"/>
      <c r="H14" s="2377" t="str">
        <f>IF(A14="","",INDEX(DIFFERENTIATION_UNMERGE_VD,MATCH(A14,DIFFERENTIATION_ID_DIFF,0)))</f>
        <v>Производство тепловой энергии. Некомбинированная выработка</v>
      </c>
      <c r="I14" s="2377"/>
      <c r="J14" s="2377"/>
      <c r="K14" s="2377"/>
      <c r="L14" s="2377"/>
      <c r="M14" s="2377"/>
      <c r="N14" s="2377"/>
      <c r="O14" s="2377"/>
      <c r="P14" s="2377"/>
      <c r="Q14" s="2377"/>
      <c r="R14" s="2377"/>
      <c r="S14" s="956"/>
      <c r="T14" s="953"/>
      <c r="U14" s="862"/>
      <c r="V14" s="862"/>
      <c r="W14" s="863"/>
      <c r="X14" s="863"/>
      <c r="Y14" s="863"/>
      <c r="Z14" s="863"/>
      <c r="AA14" s="864"/>
      <c r="AB14" s="865"/>
      <c r="AC14" s="2373"/>
      <c r="AD14" s="866"/>
      <c r="AE14" s="867" t="s">
        <v>17</v>
      </c>
      <c r="AF14" s="867"/>
      <c r="AG14" s="868" t="s">
        <v>1475</v>
      </c>
      <c r="AH14" s="869">
        <v>3</v>
      </c>
      <c r="AI14" s="862"/>
      <c r="AJ14" s="862"/>
      <c r="AK14" s="862"/>
      <c r="AL14" s="862"/>
      <c r="AM14" s="862"/>
      <c r="AN14" s="862"/>
      <c r="AO14" s="862"/>
      <c r="AP14" s="862"/>
      <c r="AQ14" s="862"/>
      <c r="AR14" s="862"/>
      <c r="AS14" s="862"/>
      <c r="AT14" s="862"/>
      <c r="AU14" s="862"/>
      <c r="AV14" s="862"/>
      <c r="AW14" s="862"/>
      <c r="AX14" s="862"/>
      <c r="AY14" s="862"/>
      <c r="AZ14" s="862"/>
      <c r="BA14" s="862"/>
      <c r="BB14" s="862"/>
      <c r="BC14" s="862"/>
      <c r="BD14" s="862"/>
      <c r="BE14" s="862"/>
      <c r="BF14" s="862"/>
      <c r="BG14" s="862"/>
      <c r="BH14" s="862"/>
      <c r="BI14" s="862"/>
      <c r="BJ14" s="862"/>
      <c r="BK14" s="862"/>
      <c r="BL14" s="862"/>
      <c r="BM14" s="862"/>
      <c r="BN14" s="862"/>
      <c r="BO14" s="862"/>
      <c r="BP14" s="862"/>
      <c r="BQ14" s="862"/>
      <c r="BR14" s="862"/>
      <c r="BS14" s="862"/>
      <c r="BT14" s="862"/>
      <c r="BU14" s="862"/>
      <c r="BV14" s="863"/>
      <c r="BW14" s="863"/>
      <c r="BX14" s="863"/>
      <c r="BY14" s="863"/>
      <c r="BZ14" s="863"/>
      <c r="CA14" s="863"/>
      <c r="CB14" s="863"/>
      <c r="CC14" s="863"/>
      <c r="CD14" s="863"/>
      <c r="CE14" s="863"/>
    </row>
    <row s="11403" customFormat="1" customHeight="1" ht="15" hidden="1">
      <c r="A15" s="860"/>
      <c r="B15" s="861"/>
      <c r="C15" s="861"/>
      <c r="D15" s="2595"/>
      <c r="E15" s="2374" t="s">
        <v>1476</v>
      </c>
      <c r="F15" s="2375"/>
      <c r="G15" s="2376"/>
      <c r="H15" s="2377" t="str">
        <f>IF(A14="","",INDEX(DIFFERENTIATION_UNMERGE_AREA,MATCH(A14,DIFFERENTIATION_ID_DIFF,0)))</f>
        <v>Территория 1</v>
      </c>
      <c r="I15" s="2377"/>
      <c r="J15" s="2377"/>
      <c r="K15" s="2377"/>
      <c r="L15" s="2377"/>
      <c r="M15" s="2377"/>
      <c r="N15" s="2377"/>
      <c r="O15" s="2377"/>
      <c r="P15" s="2377"/>
      <c r="Q15" s="2377"/>
      <c r="R15" s="2377"/>
      <c r="S15" s="956"/>
      <c r="T15" s="953"/>
      <c r="U15" s="862"/>
      <c r="V15" s="862"/>
      <c r="W15" s="863"/>
      <c r="X15" s="863"/>
      <c r="Y15" s="863"/>
      <c r="Z15" s="863"/>
      <c r="AA15" s="864"/>
      <c r="AB15" s="865"/>
      <c r="AC15" s="2373"/>
      <c r="AD15" s="866"/>
      <c r="AE15" s="867"/>
      <c r="AF15" s="867"/>
      <c r="AG15" s="868"/>
      <c r="AH15" s="869"/>
      <c r="AI15" s="862"/>
      <c r="AJ15" s="862"/>
      <c r="AK15" s="862"/>
      <c r="AL15" s="862"/>
      <c r="AM15" s="862"/>
      <c r="AN15" s="862"/>
      <c r="AO15" s="862"/>
      <c r="AP15" s="862"/>
      <c r="AQ15" s="862"/>
      <c r="AR15" s="862"/>
      <c r="AS15" s="862"/>
      <c r="AT15" s="862"/>
      <c r="AU15" s="862"/>
      <c r="AV15" s="862"/>
      <c r="AW15" s="862"/>
      <c r="AX15" s="862"/>
      <c r="AY15" s="862"/>
      <c r="AZ15" s="862"/>
      <c r="BA15" s="862"/>
      <c r="BB15" s="862"/>
      <c r="BC15" s="862"/>
      <c r="BD15" s="862"/>
      <c r="BE15" s="862"/>
      <c r="BF15" s="862"/>
      <c r="BG15" s="862"/>
      <c r="BH15" s="862"/>
      <c r="BI15" s="862"/>
      <c r="BJ15" s="862"/>
      <c r="BK15" s="862"/>
      <c r="BL15" s="862"/>
      <c r="BM15" s="862"/>
      <c r="BN15" s="862"/>
      <c r="BO15" s="862"/>
      <c r="BP15" s="862"/>
      <c r="BQ15" s="862"/>
      <c r="BR15" s="862"/>
      <c r="BS15" s="862"/>
      <c r="BT15" s="862"/>
      <c r="BU15" s="862"/>
      <c r="BV15" s="863"/>
      <c r="BW15" s="863"/>
      <c r="BX15" s="863"/>
      <c r="BY15" s="863"/>
      <c r="BZ15" s="863"/>
      <c r="CA15" s="863"/>
      <c r="CB15" s="863"/>
      <c r="CC15" s="863"/>
      <c r="CD15" s="863"/>
      <c r="CE15" s="863"/>
    </row>
    <row s="11403" customFormat="1" customHeight="1" ht="15" hidden="1">
      <c r="A16" s="860"/>
      <c r="B16" s="861"/>
      <c r="C16" s="861"/>
      <c r="D16" s="2595"/>
      <c r="E16" s="2374" t="s">
        <v>1477</v>
      </c>
      <c r="F16" s="2375"/>
      <c r="G16" s="2376"/>
      <c r="H16" s="2377" t="str">
        <f>IF(A14="","",INDEX(DIFFERENTIATION_UNMERGE_SYSTEM,MATCH(A14,DIFFERENTIATION_ID_DIFF,0)))</f>
        <v>Котельная №1 по ул.Ново-Самарская, д.12</v>
      </c>
      <c r="I16" s="2377"/>
      <c r="J16" s="2377"/>
      <c r="K16" s="2377"/>
      <c r="L16" s="2377"/>
      <c r="M16" s="2377"/>
      <c r="N16" s="2377"/>
      <c r="O16" s="2377"/>
      <c r="P16" s="2377"/>
      <c r="Q16" s="2377"/>
      <c r="R16" s="2377"/>
      <c r="S16" s="956"/>
      <c r="T16" s="953"/>
      <c r="U16" s="862"/>
      <c r="V16" s="862"/>
      <c r="W16" s="863"/>
      <c r="X16" s="863"/>
      <c r="Y16" s="863"/>
      <c r="Z16" s="863"/>
      <c r="AA16" s="864"/>
      <c r="AB16" s="865"/>
      <c r="AC16" s="2373"/>
      <c r="AD16" s="866"/>
      <c r="AE16" s="867"/>
      <c r="AF16" s="867"/>
      <c r="AG16" s="868"/>
      <c r="AH16" s="869"/>
      <c r="AI16" s="862"/>
      <c r="AJ16" s="862"/>
      <c r="AK16" s="862"/>
      <c r="AL16" s="862"/>
      <c r="AM16" s="862"/>
      <c r="AN16" s="862"/>
      <c r="AO16" s="862"/>
      <c r="AP16" s="862"/>
      <c r="AQ16" s="862"/>
      <c r="AR16" s="862"/>
      <c r="AS16" s="862"/>
      <c r="AT16" s="862"/>
      <c r="AU16" s="862"/>
      <c r="AV16" s="862"/>
      <c r="AW16" s="862"/>
      <c r="AX16" s="862"/>
      <c r="AY16" s="862"/>
      <c r="AZ16" s="862"/>
      <c r="BA16" s="862"/>
      <c r="BB16" s="862"/>
      <c r="BC16" s="862"/>
      <c r="BD16" s="862"/>
      <c r="BE16" s="862"/>
      <c r="BF16" s="862"/>
      <c r="BG16" s="862"/>
      <c r="BH16" s="862"/>
      <c r="BI16" s="862"/>
      <c r="BJ16" s="862"/>
      <c r="BK16" s="862"/>
      <c r="BL16" s="862"/>
      <c r="BM16" s="862"/>
      <c r="BN16" s="862"/>
      <c r="BO16" s="862"/>
      <c r="BP16" s="862"/>
      <c r="BQ16" s="862"/>
      <c r="BR16" s="862"/>
      <c r="BS16" s="862"/>
      <c r="BT16" s="862"/>
      <c r="BU16" s="862"/>
      <c r="BV16" s="863"/>
      <c r="BW16" s="863"/>
      <c r="BX16" s="863"/>
      <c r="BY16" s="863"/>
      <c r="BZ16" s="863"/>
      <c r="CA16" s="863"/>
      <c r="CB16" s="863"/>
      <c r="CC16" s="863"/>
      <c r="CD16" s="863"/>
      <c r="CE16" s="863"/>
    </row>
    <row s="11403" customFormat="1" customHeight="1" ht="22.5" hidden="1">
      <c r="A17" s="870"/>
      <c r="B17" s="653"/>
      <c r="C17" s="648"/>
      <c r="D17" s="2595"/>
      <c r="E17" s="2388" t="s">
        <v>1478</v>
      </c>
      <c r="F17" s="2388"/>
      <c r="G17" s="2388"/>
      <c r="H17" s="2388"/>
      <c r="I17" s="2388"/>
      <c r="J17" s="2388"/>
      <c r="K17" s="2388"/>
      <c r="L17" s="2388"/>
      <c r="M17" s="2388"/>
      <c r="N17" s="2388"/>
      <c r="O17" s="2388"/>
      <c r="P17" s="2388"/>
      <c r="Q17" s="795">
        <f>SUMIF(T18:T19,"i",Q18:Q19)</f>
        <v>0</v>
      </c>
      <c r="R17" s="1273"/>
      <c r="S17" s="1148" t="s">
        <v>1479</v>
      </c>
      <c r="T17" s="954" t="s">
        <v>1480</v>
      </c>
      <c r="U17" s="2389">
        <v>1</v>
      </c>
      <c r="V17" s="2389" t="str">
        <f>INDEX(B_FHD_FLAG_INDEX_1,1,MATCH(A14,B_FHD_FLAG_DIFFERENTIATION,0))</f>
        <v>отсутствует</v>
      </c>
      <c r="W17" s="653"/>
      <c r="X17" s="653"/>
      <c r="Y17" s="653"/>
      <c r="Z17" s="653"/>
      <c r="AA17" s="748"/>
      <c r="AB17" s="653"/>
      <c r="AC17" s="2373"/>
      <c r="AD17" s="866"/>
      <c r="AE17" s="653"/>
      <c r="AF17" s="653"/>
      <c r="AG17" s="748"/>
      <c r="AH17" s="748"/>
      <c r="AI17" s="748"/>
      <c r="AJ17" s="748"/>
      <c r="AK17" s="748"/>
      <c r="AL17" s="748"/>
      <c r="AM17" s="748"/>
      <c r="AN17" s="748"/>
      <c r="AO17" s="748"/>
      <c r="AP17" s="748"/>
      <c r="AQ17" s="748"/>
      <c r="AR17" s="748"/>
      <c r="AS17" s="748"/>
      <c r="AT17" s="748"/>
      <c r="AU17" s="748"/>
      <c r="AV17" s="748"/>
      <c r="AW17" s="748"/>
      <c r="AX17" s="748"/>
      <c r="AY17" s="748"/>
      <c r="AZ17" s="748"/>
      <c r="BA17" s="748"/>
      <c r="BB17" s="748"/>
      <c r="BC17" s="748"/>
      <c r="BD17" s="748"/>
      <c r="BE17" s="748"/>
      <c r="BF17" s="748"/>
      <c r="BG17" s="748"/>
      <c r="BH17" s="748"/>
      <c r="BI17" s="748"/>
      <c r="BJ17" s="748"/>
      <c r="BK17" s="748"/>
      <c r="BL17" s="748"/>
      <c r="BM17" s="748"/>
      <c r="BN17" s="748"/>
      <c r="BO17" s="748"/>
      <c r="BP17" s="748"/>
      <c r="BQ17" s="748"/>
      <c r="BR17" s="748"/>
      <c r="BS17" s="748"/>
      <c r="BT17" s="748"/>
      <c r="BU17" s="748"/>
      <c r="BV17" s="653"/>
      <c r="BW17" s="653"/>
      <c r="BX17" s="653"/>
      <c r="BY17" s="653"/>
      <c r="BZ17" s="653"/>
      <c r="CA17" s="653"/>
      <c r="CB17" s="653"/>
      <c r="CC17" s="653"/>
      <c r="CD17" s="653"/>
      <c r="CE17" s="653"/>
    </row>
    <row s="11403" customFormat="1" customHeight="1" ht="11.25" hidden="1">
      <c r="A18" s="871"/>
      <c r="B18" s="748"/>
      <c r="C18" s="748"/>
      <c r="D18" s="2595"/>
      <c r="E18" s="872"/>
      <c r="F18" s="872">
        <v>0</v>
      </c>
      <c r="G18" s="872"/>
      <c r="H18" s="872"/>
      <c r="I18" s="872"/>
      <c r="J18" s="872"/>
      <c r="K18" s="872"/>
      <c r="L18" s="872"/>
      <c r="M18" s="872"/>
      <c r="N18" s="872"/>
      <c r="O18" s="872"/>
      <c r="P18" s="872"/>
      <c r="Q18" s="872"/>
      <c r="R18" s="872"/>
      <c r="S18" s="873"/>
      <c r="T18" s="955"/>
      <c r="U18" s="2389"/>
      <c r="V18" s="2389"/>
      <c r="W18" s="748"/>
      <c r="X18" s="748"/>
      <c r="Y18" s="748"/>
      <c r="Z18" s="748"/>
      <c r="AA18" s="748"/>
      <c r="AB18" s="653"/>
      <c r="AC18" s="2373"/>
      <c r="AD18" s="866"/>
      <c r="AE18" s="653"/>
      <c r="AF18" s="653"/>
      <c r="AG18" s="748"/>
      <c r="AH18" s="748"/>
      <c r="AI18" s="748"/>
      <c r="AJ18" s="748"/>
      <c r="AK18" s="748"/>
      <c r="AL18" s="748"/>
      <c r="AM18" s="748"/>
      <c r="AN18" s="748"/>
      <c r="AO18" s="748"/>
      <c r="AP18" s="748"/>
      <c r="AQ18" s="748"/>
      <c r="AR18" s="748"/>
      <c r="AS18" s="748"/>
      <c r="AT18" s="748"/>
      <c r="AU18" s="748"/>
      <c r="AV18" s="748"/>
      <c r="AW18" s="748"/>
      <c r="AX18" s="748"/>
      <c r="AY18" s="748"/>
      <c r="AZ18" s="748"/>
      <c r="BA18" s="748"/>
      <c r="BB18" s="748"/>
      <c r="BC18" s="748"/>
      <c r="BD18" s="748"/>
      <c r="BE18" s="748"/>
      <c r="BF18" s="748"/>
      <c r="BG18" s="748"/>
      <c r="BH18" s="748"/>
      <c r="BI18" s="748"/>
      <c r="BJ18" s="748"/>
      <c r="BK18" s="748"/>
      <c r="BL18" s="748"/>
      <c r="BM18" s="748"/>
      <c r="BN18" s="748"/>
      <c r="BO18" s="748"/>
      <c r="BP18" s="748"/>
      <c r="BQ18" s="748"/>
      <c r="BR18" s="748"/>
      <c r="BS18" s="748"/>
      <c r="BT18" s="748"/>
      <c r="BU18" s="748"/>
      <c r="BV18" s="748"/>
      <c r="BW18" s="748"/>
      <c r="BX18" s="748"/>
      <c r="BY18" s="748"/>
      <c r="BZ18" s="748"/>
      <c r="CA18" s="748"/>
      <c r="CB18" s="748"/>
      <c r="CC18" s="748"/>
      <c r="CD18" s="748"/>
      <c r="CE18" s="748"/>
    </row>
    <row s="11403" customFormat="1" customHeight="1" ht="11.25" hidden="1">
      <c r="A19" s="870"/>
      <c r="B19" s="653"/>
      <c r="C19" s="648"/>
      <c r="D19" s="2595"/>
      <c r="E19" s="886" t="s">
        <v>17</v>
      </c>
      <c r="F19" s="887" t="s">
        <v>17</v>
      </c>
      <c r="G19" s="887" t="s">
        <v>17</v>
      </c>
      <c r="H19" s="888" t="s">
        <v>17</v>
      </c>
      <c r="I19" s="888"/>
      <c r="J19" s="888"/>
      <c r="K19" s="888"/>
      <c r="L19" s="888"/>
      <c r="M19" s="888"/>
      <c r="N19" s="888"/>
      <c r="O19" s="888"/>
      <c r="P19" s="888"/>
      <c r="Q19" s="888"/>
      <c r="R19" s="889"/>
      <c r="S19" s="1276"/>
      <c r="T19" s="955"/>
      <c r="U19" s="2389"/>
      <c r="V19" s="2389"/>
      <c r="W19" s="653"/>
      <c r="X19" s="653"/>
      <c r="Y19" s="653"/>
      <c r="Z19" s="653"/>
      <c r="AA19" s="748"/>
      <c r="AB19" s="653"/>
      <c r="AC19" s="2373"/>
      <c r="AD19" s="866"/>
      <c r="AE19" s="653"/>
      <c r="AF19" s="653"/>
      <c r="AG19" s="748"/>
      <c r="AH19" s="748"/>
      <c r="AI19" s="748"/>
      <c r="AJ19" s="748"/>
      <c r="AK19" s="748"/>
      <c r="AL19" s="748"/>
      <c r="AM19" s="748"/>
      <c r="AN19" s="748"/>
      <c r="AO19" s="748"/>
      <c r="AP19" s="748"/>
      <c r="AQ19" s="748"/>
      <c r="AR19" s="748"/>
      <c r="AS19" s="748"/>
      <c r="AT19" s="748"/>
      <c r="AU19" s="748"/>
      <c r="AV19" s="748"/>
      <c r="AW19" s="748"/>
      <c r="AX19" s="748"/>
      <c r="AY19" s="748"/>
      <c r="AZ19" s="748"/>
      <c r="BA19" s="748"/>
      <c r="BB19" s="748"/>
      <c r="BC19" s="748"/>
      <c r="BD19" s="748"/>
      <c r="BE19" s="748"/>
      <c r="BF19" s="748"/>
      <c r="BG19" s="748"/>
      <c r="BH19" s="748"/>
      <c r="BI19" s="748"/>
      <c r="BJ19" s="748"/>
      <c r="BK19" s="748"/>
      <c r="BL19" s="748"/>
      <c r="BM19" s="748"/>
      <c r="BN19" s="748"/>
      <c r="BO19" s="748"/>
      <c r="BP19" s="748"/>
      <c r="BQ19" s="748"/>
      <c r="BR19" s="748"/>
      <c r="BS19" s="748"/>
      <c r="BT19" s="748"/>
      <c r="BU19" s="748"/>
      <c r="BV19" s="653"/>
      <c r="BW19" s="653"/>
      <c r="BX19" s="653"/>
      <c r="BY19" s="653"/>
      <c r="BZ19" s="653"/>
      <c r="CA19" s="653"/>
      <c r="CB19" s="653"/>
      <c r="CC19" s="653"/>
      <c r="CD19" s="653"/>
      <c r="CE19" s="653"/>
    </row>
    <row s="11403" customFormat="1" customHeight="1" ht="22.5" hidden="1">
      <c r="A20" s="870"/>
      <c r="B20" s="653"/>
      <c r="C20" s="648"/>
      <c r="D20" s="2595"/>
      <c r="E20" s="2388" t="s">
        <v>1483</v>
      </c>
      <c r="F20" s="2388"/>
      <c r="G20" s="2388"/>
      <c r="H20" s="2388"/>
      <c r="I20" s="2388"/>
      <c r="J20" s="2388"/>
      <c r="K20" s="2388"/>
      <c r="L20" s="2388"/>
      <c r="M20" s="2388"/>
      <c r="N20" s="2388"/>
      <c r="O20" s="2388"/>
      <c r="P20" s="2388"/>
      <c r="Q20" s="795">
        <f>SUMIF(T21:T22,"i",Q21:Q22)</f>
        <v>0</v>
      </c>
      <c r="R20" s="1273"/>
      <c r="S20" s="946" t="s">
        <v>1484</v>
      </c>
      <c r="T20" s="954" t="s">
        <v>1480</v>
      </c>
      <c r="U20" s="2389">
        <v>2</v>
      </c>
      <c r="V20" s="2389" t="str">
        <f>INDEX(B_FHD_FLAG_INDEX_2,1,MATCH(A14,B_FHD_FLAG_DIFFERENTIATION,0))</f>
        <v>отсутствует</v>
      </c>
      <c r="W20" s="653"/>
      <c r="X20" s="653"/>
      <c r="Y20" s="653"/>
      <c r="Z20" s="653"/>
      <c r="AA20" s="748"/>
      <c r="AB20" s="653"/>
      <c r="AC20" s="943"/>
      <c r="AD20" s="866"/>
      <c r="AE20" s="653"/>
      <c r="AF20" s="653"/>
      <c r="AG20" s="748"/>
      <c r="AH20" s="748"/>
      <c r="AI20" s="748"/>
      <c r="AJ20" s="748"/>
      <c r="AK20" s="748"/>
      <c r="AL20" s="748"/>
      <c r="AM20" s="748"/>
      <c r="AN20" s="748"/>
      <c r="AO20" s="748"/>
      <c r="AP20" s="748"/>
      <c r="AQ20" s="748"/>
      <c r="AR20" s="748"/>
      <c r="AS20" s="748"/>
      <c r="AT20" s="748"/>
      <c r="AU20" s="748"/>
      <c r="AV20" s="748"/>
      <c r="AW20" s="748"/>
      <c r="AX20" s="748"/>
      <c r="AY20" s="748"/>
      <c r="AZ20" s="748"/>
      <c r="BA20" s="748"/>
      <c r="BB20" s="748"/>
      <c r="BC20" s="748"/>
      <c r="BD20" s="748"/>
      <c r="BE20" s="748"/>
      <c r="BF20" s="748"/>
      <c r="BG20" s="748"/>
      <c r="BH20" s="748"/>
      <c r="BI20" s="748"/>
      <c r="BJ20" s="748"/>
      <c r="BK20" s="748"/>
      <c r="BL20" s="748"/>
      <c r="BM20" s="748"/>
      <c r="BN20" s="748"/>
      <c r="BO20" s="748"/>
      <c r="BP20" s="748"/>
      <c r="BQ20" s="748"/>
      <c r="BR20" s="748"/>
      <c r="BS20" s="748"/>
      <c r="BT20" s="748"/>
      <c r="BU20" s="748"/>
      <c r="BV20" s="653"/>
      <c r="BW20" s="653"/>
      <c r="BX20" s="653"/>
      <c r="BY20" s="653"/>
      <c r="BZ20" s="653"/>
      <c r="CA20" s="653"/>
      <c r="CB20" s="653"/>
      <c r="CC20" s="653"/>
      <c r="CD20" s="653"/>
      <c r="CE20" s="653"/>
    </row>
    <row s="11403" customFormat="1" customHeight="1" ht="11.25" hidden="1">
      <c r="A21" s="945"/>
      <c r="B21" s="748"/>
      <c r="C21" s="748"/>
      <c r="D21" s="2595"/>
      <c r="E21" s="872"/>
      <c r="F21" s="872">
        <v>0</v>
      </c>
      <c r="G21" s="872"/>
      <c r="H21" s="872"/>
      <c r="I21" s="872"/>
      <c r="J21" s="872"/>
      <c r="K21" s="872"/>
      <c r="L21" s="872"/>
      <c r="M21" s="872"/>
      <c r="N21" s="872"/>
      <c r="O21" s="872"/>
      <c r="P21" s="872"/>
      <c r="Q21" s="872"/>
      <c r="R21" s="872"/>
      <c r="S21" s="873"/>
      <c r="T21" s="955"/>
      <c r="U21" s="2389"/>
      <c r="V21" s="2389"/>
      <c r="W21" s="748"/>
      <c r="X21" s="748"/>
      <c r="Y21" s="748"/>
      <c r="Z21" s="748"/>
      <c r="AA21" s="748"/>
      <c r="AB21" s="653"/>
      <c r="AC21" s="943"/>
      <c r="AD21" s="866"/>
      <c r="AE21" s="653"/>
      <c r="AF21" s="653"/>
      <c r="AG21" s="748"/>
      <c r="AH21" s="748"/>
      <c r="AI21" s="748"/>
      <c r="AJ21" s="748"/>
      <c r="AK21" s="748"/>
      <c r="AL21" s="748"/>
      <c r="AM21" s="748"/>
      <c r="AN21" s="748"/>
      <c r="AO21" s="748"/>
      <c r="AP21" s="748"/>
      <c r="AQ21" s="748"/>
      <c r="AR21" s="748"/>
      <c r="AS21" s="748"/>
      <c r="AT21" s="748"/>
      <c r="AU21" s="748"/>
      <c r="AV21" s="748"/>
      <c r="AW21" s="748"/>
      <c r="AX21" s="748"/>
      <c r="AY21" s="748"/>
      <c r="AZ21" s="748"/>
      <c r="BA21" s="748"/>
      <c r="BB21" s="748"/>
      <c r="BC21" s="748"/>
      <c r="BD21" s="748"/>
      <c r="BE21" s="748"/>
      <c r="BF21" s="748"/>
      <c r="BG21" s="748"/>
      <c r="BH21" s="748"/>
      <c r="BI21" s="748"/>
      <c r="BJ21" s="748"/>
      <c r="BK21" s="748"/>
      <c r="BL21" s="748"/>
      <c r="BM21" s="748"/>
      <c r="BN21" s="748"/>
      <c r="BO21" s="748"/>
      <c r="BP21" s="748"/>
      <c r="BQ21" s="748"/>
      <c r="BR21" s="748"/>
      <c r="BS21" s="748"/>
      <c r="BT21" s="748"/>
      <c r="BU21" s="748"/>
      <c r="BV21" s="748"/>
      <c r="BW21" s="748"/>
      <c r="BX21" s="748"/>
      <c r="BY21" s="748"/>
      <c r="BZ21" s="748"/>
      <c r="CA21" s="748"/>
      <c r="CB21" s="748"/>
      <c r="CC21" s="748"/>
      <c r="CD21" s="748"/>
      <c r="CE21" s="748"/>
    </row>
    <row s="11403" customFormat="1" customHeight="1" ht="11.25" hidden="1">
      <c r="A22" s="870"/>
      <c r="B22" s="653"/>
      <c r="C22" s="648"/>
      <c r="D22" s="2596"/>
      <c r="E22" s="886" t="s">
        <v>17</v>
      </c>
      <c r="F22" s="887" t="s">
        <v>17</v>
      </c>
      <c r="G22" s="887" t="s">
        <v>17</v>
      </c>
      <c r="H22" s="888" t="s">
        <v>17</v>
      </c>
      <c r="I22" s="888"/>
      <c r="J22" s="888"/>
      <c r="K22" s="888"/>
      <c r="L22" s="888"/>
      <c r="M22" s="888"/>
      <c r="N22" s="888"/>
      <c r="O22" s="888"/>
      <c r="P22" s="888"/>
      <c r="Q22" s="888"/>
      <c r="R22" s="889"/>
      <c r="S22" s="1276"/>
      <c r="T22" s="955"/>
      <c r="U22" s="2389"/>
      <c r="V22" s="2389"/>
      <c r="W22" s="653"/>
      <c r="X22" s="653"/>
      <c r="Y22" s="653"/>
      <c r="Z22" s="653"/>
      <c r="AA22" s="748"/>
      <c r="AB22" s="653"/>
      <c r="AC22" s="943"/>
      <c r="AD22" s="866"/>
      <c r="AE22" s="653"/>
      <c r="AF22" s="653"/>
      <c r="AG22" s="748"/>
      <c r="AH22" s="748"/>
      <c r="AI22" s="748"/>
      <c r="AJ22" s="748"/>
      <c r="AK22" s="748"/>
      <c r="AL22" s="748"/>
      <c r="AM22" s="748"/>
      <c r="AN22" s="748"/>
      <c r="AO22" s="748"/>
      <c r="AP22" s="748"/>
      <c r="AQ22" s="748"/>
      <c r="AR22" s="748"/>
      <c r="AS22" s="748"/>
      <c r="AT22" s="748"/>
      <c r="AU22" s="748"/>
      <c r="AV22" s="748"/>
      <c r="AW22" s="748"/>
      <c r="AX22" s="748"/>
      <c r="AY22" s="748"/>
      <c r="AZ22" s="748"/>
      <c r="BA22" s="748"/>
      <c r="BB22" s="748"/>
      <c r="BC22" s="748"/>
      <c r="BD22" s="748"/>
      <c r="BE22" s="748"/>
      <c r="BF22" s="748"/>
      <c r="BG22" s="748"/>
      <c r="BH22" s="748"/>
      <c r="BI22" s="748"/>
      <c r="BJ22" s="748"/>
      <c r="BK22" s="748"/>
      <c r="BL22" s="748"/>
      <c r="BM22" s="748"/>
      <c r="BN22" s="748"/>
      <c r="BO22" s="748"/>
      <c r="BP22" s="748"/>
      <c r="BQ22" s="748"/>
      <c r="BR22" s="748"/>
      <c r="BS22" s="748"/>
      <c r="BT22" s="748"/>
      <c r="BU22" s="748"/>
      <c r="BV22" s="653"/>
      <c r="BW22" s="653"/>
      <c r="BX22" s="653"/>
      <c r="BY22" s="653"/>
      <c r="BZ22" s="653"/>
      <c r="CA22" s="653"/>
      <c r="CB22" s="653"/>
      <c r="CC22" s="653"/>
      <c r="CD22" s="653"/>
      <c r="CE22" s="653"/>
    </row>
    <row customHeight="1" ht="15" hidden="1">
      <c r="A23" s="860" t="s">
        <v>123</v>
      </c>
      <c r="B23" s="861"/>
      <c r="C23" s="861" t="s">
        <v>17</v>
      </c>
      <c r="D23" s="2390" t="s">
        <v>142</v>
      </c>
      <c r="E23" s="2374" t="s">
        <v>105</v>
      </c>
      <c r="F23" s="2375"/>
      <c r="G23" s="2376"/>
      <c r="H23" s="2377" t="str">
        <f>IF(A23="","",INDEX(DIFFERENTIATION_UNMERGE_VD,MATCH(A23,DIFFERENTIATION_ID_DIFF,0)))</f>
        <v>Производство тепловой энергии. Некомбинированная выработка</v>
      </c>
      <c r="I23" s="2377"/>
      <c r="J23" s="2377"/>
      <c r="K23" s="2377"/>
      <c r="L23" s="2377"/>
      <c r="M23" s="2377"/>
      <c r="N23" s="2377"/>
      <c r="O23" s="2377"/>
      <c r="P23" s="2377"/>
      <c r="Q23" s="2377"/>
      <c r="R23" s="2377"/>
      <c r="S23" s="956"/>
      <c r="T23" s="953"/>
      <c r="U23" s="862"/>
      <c r="V23" s="862"/>
      <c r="W23" s="863"/>
      <c r="X23" s="863"/>
      <c r="Y23" s="863"/>
      <c r="Z23" s="863"/>
      <c r="AA23" s="864"/>
      <c r="AB23" s="865"/>
      <c r="AC23" s="2373"/>
      <c r="AD23" s="866"/>
      <c r="AE23" s="867" t="s">
        <v>17</v>
      </c>
      <c r="AF23" s="867"/>
      <c r="AG23" s="868" t="s">
        <v>1475</v>
      </c>
      <c r="AH23" s="869">
        <v>3</v>
      </c>
      <c r="AI23" s="862"/>
      <c r="AJ23" s="862"/>
      <c r="AK23" s="862"/>
      <c r="AL23" s="862"/>
      <c r="AM23" s="862"/>
      <c r="AN23" s="862"/>
      <c r="AO23" s="862"/>
      <c r="AP23" s="862"/>
      <c r="AQ23" s="862"/>
      <c r="AR23" s="862"/>
      <c r="AS23" s="862"/>
      <c r="AT23" s="862"/>
      <c r="AU23" s="862"/>
      <c r="AV23" s="862"/>
      <c r="AW23" s="862"/>
      <c r="AX23" s="862"/>
      <c r="AY23" s="862"/>
      <c r="AZ23" s="862"/>
      <c r="BA23" s="862"/>
      <c r="BB23" s="862"/>
      <c r="BC23" s="862"/>
      <c r="BD23" s="862"/>
      <c r="BE23" s="862"/>
      <c r="BF23" s="862"/>
      <c r="BG23" s="862"/>
      <c r="BH23" s="862"/>
      <c r="BI23" s="862"/>
      <c r="BJ23" s="862"/>
      <c r="BK23" s="862"/>
      <c r="BL23" s="862"/>
      <c r="BM23" s="862"/>
      <c r="BN23" s="862"/>
      <c r="BO23" s="862"/>
      <c r="BP23" s="862"/>
      <c r="BQ23" s="862"/>
      <c r="BR23" s="862"/>
      <c r="BS23" s="862"/>
      <c r="BT23" s="862"/>
      <c r="BU23" s="862"/>
      <c r="BV23" s="863"/>
      <c r="BW23" s="863"/>
      <c r="BX23" s="863"/>
      <c r="BY23" s="863"/>
      <c r="BZ23" s="863"/>
      <c r="CA23" s="863"/>
      <c r="CB23" s="863"/>
      <c r="CC23" s="863"/>
      <c r="CD23" s="863"/>
      <c r="CE23" s="863"/>
    </row>
    <row customHeight="1" ht="15" hidden="1">
      <c r="A24" s="860"/>
      <c r="B24" s="861"/>
      <c r="C24" s="861"/>
      <c r="D24" s="2391"/>
      <c r="E24" s="2374" t="s">
        <v>1476</v>
      </c>
      <c r="F24" s="2375"/>
      <c r="G24" s="2376"/>
      <c r="H24" s="2377" t="str">
        <f>IF(A23="","",INDEX(DIFFERENTIATION_UNMERGE_AREA,MATCH(A23,DIFFERENTIATION_ID_DIFF,0)))</f>
        <v>Территория 1</v>
      </c>
      <c r="I24" s="2377"/>
      <c r="J24" s="2377"/>
      <c r="K24" s="2377"/>
      <c r="L24" s="2377"/>
      <c r="M24" s="2377"/>
      <c r="N24" s="2377"/>
      <c r="O24" s="2377"/>
      <c r="P24" s="2377"/>
      <c r="Q24" s="2377"/>
      <c r="R24" s="2377"/>
      <c r="S24" s="956"/>
      <c r="T24" s="953"/>
      <c r="U24" s="862"/>
      <c r="V24" s="862"/>
      <c r="W24" s="863"/>
      <c r="X24" s="863"/>
      <c r="Y24" s="863"/>
      <c r="Z24" s="863"/>
      <c r="AA24" s="864"/>
      <c r="AB24" s="865"/>
      <c r="AC24" s="2373"/>
      <c r="AD24" s="866"/>
      <c r="AE24" s="867"/>
      <c r="AF24" s="867"/>
      <c r="AG24" s="868"/>
      <c r="AH24" s="869"/>
      <c r="AI24" s="862"/>
      <c r="AJ24" s="862"/>
      <c r="AK24" s="862"/>
      <c r="AL24" s="862"/>
      <c r="AM24" s="862"/>
      <c r="AN24" s="862"/>
      <c r="AO24" s="862"/>
      <c r="AP24" s="862"/>
      <c r="AQ24" s="862"/>
      <c r="AR24" s="862"/>
      <c r="AS24" s="862"/>
      <c r="AT24" s="862"/>
      <c r="AU24" s="862"/>
      <c r="AV24" s="862"/>
      <c r="AW24" s="862"/>
      <c r="AX24" s="862"/>
      <c r="AY24" s="862"/>
      <c r="AZ24" s="862"/>
      <c r="BA24" s="862"/>
      <c r="BB24" s="862"/>
      <c r="BC24" s="862"/>
      <c r="BD24" s="862"/>
      <c r="BE24" s="862"/>
      <c r="BF24" s="862"/>
      <c r="BG24" s="862"/>
      <c r="BH24" s="862"/>
      <c r="BI24" s="862"/>
      <c r="BJ24" s="862"/>
      <c r="BK24" s="862"/>
      <c r="BL24" s="862"/>
      <c r="BM24" s="862"/>
      <c r="BN24" s="862"/>
      <c r="BO24" s="862"/>
      <c r="BP24" s="862"/>
      <c r="BQ24" s="862"/>
      <c r="BR24" s="862"/>
      <c r="BS24" s="862"/>
      <c r="BT24" s="862"/>
      <c r="BU24" s="862"/>
      <c r="BV24" s="863"/>
      <c r="BW24" s="863"/>
      <c r="BX24" s="863"/>
      <c r="BY24" s="863"/>
      <c r="BZ24" s="863"/>
      <c r="CA24" s="863"/>
      <c r="CB24" s="863"/>
      <c r="CC24" s="863"/>
      <c r="CD24" s="863"/>
      <c r="CE24" s="863"/>
    </row>
    <row customHeight="1" ht="15" hidden="1">
      <c r="A25" s="860"/>
      <c r="B25" s="861"/>
      <c r="C25" s="861"/>
      <c r="D25" s="2391"/>
      <c r="E25" s="2374" t="s">
        <v>1477</v>
      </c>
      <c r="F25" s="2375"/>
      <c r="G25" s="2376"/>
      <c r="H25" s="2377" t="str">
        <f>IF(A23="","",INDEX(DIFFERENTIATION_UNMERGE_SYSTEM,MATCH(A23,DIFFERENTIATION_ID_DIFF,0)))</f>
        <v>Котельная №2,  ул.Пирогова около д.4</v>
      </c>
      <c r="I25" s="2377"/>
      <c r="J25" s="2377"/>
      <c r="K25" s="2377"/>
      <c r="L25" s="2377"/>
      <c r="M25" s="2377"/>
      <c r="N25" s="2377"/>
      <c r="O25" s="2377"/>
      <c r="P25" s="2377"/>
      <c r="Q25" s="2377"/>
      <c r="R25" s="2377"/>
      <c r="S25" s="956"/>
      <c r="T25" s="953"/>
      <c r="U25" s="862"/>
      <c r="V25" s="862"/>
      <c r="W25" s="863"/>
      <c r="X25" s="863"/>
      <c r="Y25" s="863"/>
      <c r="Z25" s="863"/>
      <c r="AA25" s="864"/>
      <c r="AB25" s="865"/>
      <c r="AC25" s="2373"/>
      <c r="AD25" s="866"/>
      <c r="AE25" s="867"/>
      <c r="AF25" s="867"/>
      <c r="AG25" s="868"/>
      <c r="AH25" s="869"/>
      <c r="AI25" s="862"/>
      <c r="AJ25" s="862"/>
      <c r="AK25" s="862"/>
      <c r="AL25" s="862"/>
      <c r="AM25" s="862"/>
      <c r="AN25" s="862"/>
      <c r="AO25" s="862"/>
      <c r="AP25" s="862"/>
      <c r="AQ25" s="862"/>
      <c r="AR25" s="862"/>
      <c r="AS25" s="862"/>
      <c r="AT25" s="862"/>
      <c r="AU25" s="862"/>
      <c r="AV25" s="862"/>
      <c r="AW25" s="862"/>
      <c r="AX25" s="862"/>
      <c r="AY25" s="862"/>
      <c r="AZ25" s="862"/>
      <c r="BA25" s="862"/>
      <c r="BB25" s="862"/>
      <c r="BC25" s="862"/>
      <c r="BD25" s="862"/>
      <c r="BE25" s="862"/>
      <c r="BF25" s="862"/>
      <c r="BG25" s="862"/>
      <c r="BH25" s="862"/>
      <c r="BI25" s="862"/>
      <c r="BJ25" s="862"/>
      <c r="BK25" s="862"/>
      <c r="BL25" s="862"/>
      <c r="BM25" s="862"/>
      <c r="BN25" s="862"/>
      <c r="BO25" s="862"/>
      <c r="BP25" s="862"/>
      <c r="BQ25" s="862"/>
      <c r="BR25" s="862"/>
      <c r="BS25" s="862"/>
      <c r="BT25" s="862"/>
      <c r="BU25" s="862"/>
      <c r="BV25" s="863"/>
      <c r="BW25" s="863"/>
      <c r="BX25" s="863"/>
      <c r="BY25" s="863"/>
      <c r="BZ25" s="863"/>
      <c r="CA25" s="863"/>
      <c r="CB25" s="863"/>
      <c r="CC25" s="863"/>
      <c r="CD25" s="863"/>
      <c r="CE25" s="863"/>
    </row>
    <row customHeight="1" ht="24.75" hidden="1">
      <c r="A26" s="870"/>
      <c r="B26" s="653"/>
      <c r="C26" s="648"/>
      <c r="D26" s="2391"/>
      <c r="E26" s="2388" t="s">
        <v>1478</v>
      </c>
      <c r="F26" s="2388"/>
      <c r="G26" s="2388"/>
      <c r="H26" s="2388"/>
      <c r="I26" s="2388"/>
      <c r="J26" s="2388"/>
      <c r="K26" s="2388"/>
      <c r="L26" s="2388"/>
      <c r="M26" s="2388"/>
      <c r="N26" s="2388"/>
      <c r="O26" s="2388"/>
      <c r="P26" s="2388"/>
      <c r="Q26" s="795">
        <f>SUMIF(T27:T28,"i",Q27:Q28)</f>
        <v>0</v>
      </c>
      <c r="R26" s="1273"/>
      <c r="S26" s="1278" t="s">
        <v>1479</v>
      </c>
      <c r="T26" s="954" t="s">
        <v>1480</v>
      </c>
      <c r="U26" s="2389">
        <v>1</v>
      </c>
      <c r="V26" s="2389" t="s">
        <v>1481</v>
      </c>
      <c r="W26" s="653"/>
      <c r="X26" s="653"/>
      <c r="Y26" s="653"/>
      <c r="Z26" s="653"/>
      <c r="AA26" s="748"/>
      <c r="AB26" s="653"/>
      <c r="AC26" s="2373"/>
      <c r="AD26" s="866"/>
      <c r="AE26" s="653"/>
      <c r="AF26" s="653"/>
      <c r="AG26" s="748"/>
      <c r="AH26" s="748"/>
      <c r="AI26" s="748"/>
      <c r="AJ26" s="748"/>
      <c r="AK26" s="748"/>
      <c r="AL26" s="748"/>
      <c r="AM26" s="748"/>
      <c r="AN26" s="748"/>
      <c r="AO26" s="748"/>
      <c r="AP26" s="748"/>
      <c r="AQ26" s="748"/>
      <c r="AR26" s="748"/>
      <c r="AS26" s="748"/>
      <c r="AT26" s="748"/>
      <c r="AU26" s="748"/>
      <c r="AV26" s="748"/>
      <c r="AW26" s="748"/>
      <c r="AX26" s="748"/>
      <c r="AY26" s="748"/>
      <c r="AZ26" s="748"/>
      <c r="BA26" s="748"/>
      <c r="BB26" s="748"/>
      <c r="BC26" s="748"/>
      <c r="BD26" s="748"/>
      <c r="BE26" s="748"/>
      <c r="BF26" s="748"/>
      <c r="BG26" s="748"/>
      <c r="BH26" s="748"/>
      <c r="BI26" s="748"/>
      <c r="BJ26" s="748"/>
      <c r="BK26" s="748"/>
      <c r="BL26" s="748"/>
      <c r="BM26" s="748"/>
      <c r="BN26" s="748"/>
      <c r="BO26" s="748"/>
      <c r="BP26" s="748"/>
      <c r="BQ26" s="748"/>
      <c r="BR26" s="748"/>
      <c r="BS26" s="748"/>
      <c r="BT26" s="748"/>
      <c r="BU26" s="748"/>
      <c r="BV26" s="653"/>
      <c r="BW26" s="653"/>
      <c r="BX26" s="653"/>
      <c r="BY26" s="653"/>
      <c r="BZ26" s="653"/>
      <c r="CA26" s="653"/>
      <c r="CB26" s="653"/>
      <c r="CC26" s="653"/>
      <c r="CD26" s="653"/>
      <c r="CE26" s="653"/>
    </row>
    <row customHeight="1" ht="11.25" hidden="1">
      <c r="A27" s="1277"/>
      <c r="B27" s="748"/>
      <c r="C27" s="748"/>
      <c r="D27" s="2391"/>
      <c r="E27" s="872"/>
      <c r="F27" s="872">
        <v>0</v>
      </c>
      <c r="G27" s="872"/>
      <c r="H27" s="872"/>
      <c r="I27" s="872"/>
      <c r="J27" s="872"/>
      <c r="K27" s="872"/>
      <c r="L27" s="872"/>
      <c r="M27" s="872"/>
      <c r="N27" s="872"/>
      <c r="O27" s="872"/>
      <c r="P27" s="872"/>
      <c r="Q27" s="872"/>
      <c r="R27" s="872"/>
      <c r="S27" s="873"/>
      <c r="T27" s="955"/>
      <c r="U27" s="2389"/>
      <c r="V27" s="2389"/>
      <c r="W27" s="748"/>
      <c r="X27" s="748"/>
      <c r="Y27" s="748"/>
      <c r="Z27" s="748"/>
      <c r="AA27" s="748"/>
      <c r="AB27" s="653"/>
      <c r="AC27" s="2373"/>
      <c r="AD27" s="866"/>
      <c r="AE27" s="653"/>
      <c r="AF27" s="653"/>
      <c r="AG27" s="748"/>
      <c r="AH27" s="748"/>
      <c r="AI27" s="748"/>
      <c r="AJ27" s="748"/>
      <c r="AK27" s="748"/>
      <c r="AL27" s="748"/>
      <c r="AM27" s="748"/>
      <c r="AN27" s="748"/>
      <c r="AO27" s="748"/>
      <c r="AP27" s="748"/>
      <c r="AQ27" s="748"/>
      <c r="AR27" s="748"/>
      <c r="AS27" s="748"/>
      <c r="AT27" s="748"/>
      <c r="AU27" s="748"/>
      <c r="AV27" s="748"/>
      <c r="AW27" s="748"/>
      <c r="AX27" s="748"/>
      <c r="AY27" s="748"/>
      <c r="AZ27" s="748"/>
      <c r="BA27" s="748"/>
      <c r="BB27" s="748"/>
      <c r="BC27" s="748"/>
      <c r="BD27" s="748"/>
      <c r="BE27" s="748"/>
      <c r="BF27" s="748"/>
      <c r="BG27" s="748"/>
      <c r="BH27" s="748"/>
      <c r="BI27" s="748"/>
      <c r="BJ27" s="748"/>
      <c r="BK27" s="748"/>
      <c r="BL27" s="748"/>
      <c r="BM27" s="748"/>
      <c r="BN27" s="748"/>
      <c r="BO27" s="748"/>
      <c r="BP27" s="748"/>
      <c r="BQ27" s="748"/>
      <c r="BR27" s="748"/>
      <c r="BS27" s="748"/>
      <c r="BT27" s="748"/>
      <c r="BU27" s="748"/>
      <c r="BV27" s="748"/>
      <c r="BW27" s="748"/>
      <c r="BX27" s="748"/>
      <c r="BY27" s="748"/>
      <c r="BZ27" s="748"/>
      <c r="CA27" s="748"/>
      <c r="CB27" s="748"/>
      <c r="CC27" s="748"/>
      <c r="CD27" s="748"/>
      <c r="CE27" s="748"/>
    </row>
    <row customHeight="1" ht="11.25" hidden="1">
      <c r="A28" s="870"/>
      <c r="B28" s="653"/>
      <c r="C28" s="648"/>
      <c r="D28" s="2391"/>
      <c r="E28" s="886" t="s">
        <v>17</v>
      </c>
      <c r="F28" s="887" t="s">
        <v>17</v>
      </c>
      <c r="G28" s="887" t="s">
        <v>1482</v>
      </c>
      <c r="H28" s="888" t="s">
        <v>17</v>
      </c>
      <c r="I28" s="888"/>
      <c r="J28" s="888"/>
      <c r="K28" s="888"/>
      <c r="L28" s="888"/>
      <c r="M28" s="888"/>
      <c r="N28" s="888"/>
      <c r="O28" s="888"/>
      <c r="P28" s="888"/>
      <c r="Q28" s="888"/>
      <c r="R28" s="889"/>
      <c r="S28" s="890"/>
      <c r="T28" s="955"/>
      <c r="U28" s="2389"/>
      <c r="V28" s="2389"/>
      <c r="W28" s="653"/>
      <c r="X28" s="653"/>
      <c r="Y28" s="653"/>
      <c r="Z28" s="653"/>
      <c r="AA28" s="748"/>
      <c r="AB28" s="653"/>
      <c r="AC28" s="2373"/>
      <c r="AD28" s="866"/>
      <c r="AE28" s="653"/>
      <c r="AF28" s="653"/>
      <c r="AG28" s="748"/>
      <c r="AH28" s="748"/>
      <c r="AI28" s="748"/>
      <c r="AJ28" s="748"/>
      <c r="AK28" s="748"/>
      <c r="AL28" s="748"/>
      <c r="AM28" s="748"/>
      <c r="AN28" s="748"/>
      <c r="AO28" s="748"/>
      <c r="AP28" s="748"/>
      <c r="AQ28" s="748"/>
      <c r="AR28" s="748"/>
      <c r="AS28" s="748"/>
      <c r="AT28" s="748"/>
      <c r="AU28" s="748"/>
      <c r="AV28" s="748"/>
      <c r="AW28" s="748"/>
      <c r="AX28" s="748"/>
      <c r="AY28" s="748"/>
      <c r="AZ28" s="748"/>
      <c r="BA28" s="748"/>
      <c r="BB28" s="748"/>
      <c r="BC28" s="748"/>
      <c r="BD28" s="748"/>
      <c r="BE28" s="748"/>
      <c r="BF28" s="748"/>
      <c r="BG28" s="748"/>
      <c r="BH28" s="748"/>
      <c r="BI28" s="748"/>
      <c r="BJ28" s="748"/>
      <c r="BK28" s="748"/>
      <c r="BL28" s="748"/>
      <c r="BM28" s="748"/>
      <c r="BN28" s="748"/>
      <c r="BO28" s="748"/>
      <c r="BP28" s="748"/>
      <c r="BQ28" s="748"/>
      <c r="BR28" s="748"/>
      <c r="BS28" s="748"/>
      <c r="BT28" s="748"/>
      <c r="BU28" s="748"/>
      <c r="BV28" s="653"/>
      <c r="BW28" s="653"/>
      <c r="BX28" s="653"/>
      <c r="BY28" s="653"/>
      <c r="BZ28" s="653"/>
      <c r="CA28" s="653"/>
      <c r="CB28" s="653"/>
      <c r="CC28" s="653"/>
      <c r="CD28" s="653"/>
      <c r="CE28" s="653"/>
    </row>
    <row customHeight="1" ht="5.25" hidden="1">
      <c r="A29" s="1277"/>
      <c r="B29" s="748"/>
      <c r="C29" s="748"/>
      <c r="D29" s="2391"/>
      <c r="E29" s="1297"/>
      <c r="F29" s="1297"/>
      <c r="G29" s="1297"/>
      <c r="H29" s="1297"/>
      <c r="I29" s="1297"/>
      <c r="J29" s="1297"/>
      <c r="K29" s="1297"/>
      <c r="L29" s="1297"/>
      <c r="M29" s="1297"/>
      <c r="N29" s="1297"/>
      <c r="O29" s="1297"/>
      <c r="P29" s="1297"/>
      <c r="Q29" s="1298"/>
      <c r="R29" s="1299"/>
      <c r="S29" s="1300"/>
      <c r="T29" s="954" t="s">
        <v>1480</v>
      </c>
      <c r="U29" s="2389">
        <v>1</v>
      </c>
      <c r="V29" s="2389" t="s">
        <v>1481</v>
      </c>
      <c r="W29" s="748"/>
      <c r="X29" s="748"/>
      <c r="Y29" s="748"/>
      <c r="Z29" s="748"/>
      <c r="AA29" s="748"/>
      <c r="AB29" s="748"/>
      <c r="AC29" s="1295"/>
      <c r="AD29" s="1296"/>
      <c r="AE29" s="748"/>
      <c r="AF29" s="748"/>
      <c r="AG29" s="748"/>
      <c r="AH29" s="748"/>
      <c r="AI29" s="748"/>
      <c r="AJ29" s="748"/>
      <c r="AK29" s="748"/>
      <c r="AL29" s="748"/>
      <c r="AM29" s="748"/>
      <c r="AN29" s="748"/>
      <c r="AO29" s="748"/>
      <c r="AP29" s="748"/>
      <c r="AQ29" s="748"/>
      <c r="AR29" s="748"/>
      <c r="AS29" s="748"/>
      <c r="AT29" s="748"/>
      <c r="AU29" s="748"/>
      <c r="AV29" s="748"/>
      <c r="AW29" s="748"/>
      <c r="AX29" s="748"/>
      <c r="AY29" s="748"/>
      <c r="AZ29" s="748"/>
      <c r="BA29" s="748"/>
      <c r="BB29" s="748"/>
      <c r="BC29" s="748"/>
      <c r="BD29" s="748"/>
      <c r="BE29" s="748"/>
      <c r="BF29" s="748"/>
      <c r="BG29" s="748"/>
      <c r="BH29" s="748"/>
      <c r="BI29" s="748"/>
      <c r="BJ29" s="748"/>
      <c r="BK29" s="748"/>
      <c r="BL29" s="748"/>
      <c r="BM29" s="748"/>
      <c r="BN29" s="748"/>
      <c r="BO29" s="748"/>
      <c r="BP29" s="748"/>
      <c r="BQ29" s="748"/>
      <c r="BR29" s="748"/>
      <c r="BS29" s="748"/>
      <c r="BT29" s="748"/>
      <c r="BU29" s="748"/>
      <c r="BV29" s="748"/>
      <c r="BW29" s="748"/>
      <c r="BX29" s="748"/>
      <c r="BY29" s="748"/>
      <c r="BZ29" s="748"/>
      <c r="CA29" s="748"/>
      <c r="CB29" s="748"/>
      <c r="CC29" s="748"/>
      <c r="CD29" s="748"/>
      <c r="CE29" s="748"/>
    </row>
    <row customHeight="1" ht="5.25" hidden="1">
      <c r="A30" s="1277"/>
      <c r="B30" s="748"/>
      <c r="C30" s="748"/>
      <c r="D30" s="2391"/>
      <c r="E30" s="872"/>
      <c r="F30" s="872"/>
      <c r="G30" s="872"/>
      <c r="H30" s="872"/>
      <c r="I30" s="872"/>
      <c r="J30" s="872"/>
      <c r="K30" s="872"/>
      <c r="L30" s="872"/>
      <c r="M30" s="872"/>
      <c r="N30" s="872"/>
      <c r="O30" s="872"/>
      <c r="P30" s="872"/>
      <c r="Q30" s="872"/>
      <c r="R30" s="872"/>
      <c r="S30" s="873"/>
      <c r="T30" s="955"/>
      <c r="U30" s="2389"/>
      <c r="V30" s="2389"/>
      <c r="W30" s="748"/>
      <c r="X30" s="748"/>
      <c r="Y30" s="748"/>
      <c r="Z30" s="748"/>
      <c r="AA30" s="748"/>
      <c r="AB30" s="748"/>
      <c r="AC30" s="1295"/>
      <c r="AD30" s="1296"/>
      <c r="AE30" s="748"/>
      <c r="AF30" s="748"/>
      <c r="AG30" s="748"/>
      <c r="AH30" s="748"/>
      <c r="AI30" s="748"/>
      <c r="AJ30" s="748"/>
      <c r="AK30" s="748"/>
      <c r="AL30" s="748"/>
      <c r="AM30" s="748"/>
      <c r="AN30" s="748"/>
      <c r="AO30" s="748"/>
      <c r="AP30" s="748"/>
      <c r="AQ30" s="748"/>
      <c r="AR30" s="748"/>
      <c r="AS30" s="748"/>
      <c r="AT30" s="748"/>
      <c r="AU30" s="748"/>
      <c r="AV30" s="748"/>
      <c r="AW30" s="748"/>
      <c r="AX30" s="748"/>
      <c r="AY30" s="748"/>
      <c r="AZ30" s="748"/>
      <c r="BA30" s="748"/>
      <c r="BB30" s="748"/>
      <c r="BC30" s="748"/>
      <c r="BD30" s="748"/>
      <c r="BE30" s="748"/>
      <c r="BF30" s="748"/>
      <c r="BG30" s="748"/>
      <c r="BH30" s="748"/>
      <c r="BI30" s="748"/>
      <c r="BJ30" s="748"/>
      <c r="BK30" s="748"/>
      <c r="BL30" s="748"/>
      <c r="BM30" s="748"/>
      <c r="BN30" s="748"/>
      <c r="BO30" s="748"/>
      <c r="BP30" s="748"/>
      <c r="BQ30" s="748"/>
      <c r="BR30" s="748"/>
      <c r="BS30" s="748"/>
      <c r="BT30" s="748"/>
      <c r="BU30" s="748"/>
      <c r="BV30" s="748"/>
      <c r="BW30" s="748"/>
      <c r="BX30" s="748"/>
      <c r="BY30" s="748"/>
      <c r="BZ30" s="748"/>
      <c r="CA30" s="748"/>
      <c r="CB30" s="748"/>
      <c r="CC30" s="748"/>
      <c r="CD30" s="748"/>
      <c r="CE30" s="748"/>
    </row>
    <row customHeight="1" ht="5.25" hidden="1">
      <c r="A31" s="1277"/>
      <c r="B31" s="748"/>
      <c r="C31" s="748"/>
      <c r="D31" s="2392"/>
      <c r="E31" s="1301"/>
      <c r="F31" s="1302"/>
      <c r="G31" s="1302"/>
      <c r="H31" s="1303"/>
      <c r="I31" s="1303"/>
      <c r="J31" s="1303"/>
      <c r="K31" s="1303"/>
      <c r="L31" s="1303"/>
      <c r="M31" s="1303"/>
      <c r="N31" s="1303"/>
      <c r="O31" s="1303"/>
      <c r="P31" s="1303"/>
      <c r="Q31" s="1303"/>
      <c r="R31" s="1202"/>
      <c r="S31" s="1304"/>
      <c r="T31" s="955"/>
      <c r="U31" s="2389"/>
      <c r="V31" s="2389"/>
      <c r="W31" s="748"/>
      <c r="X31" s="748"/>
      <c r="Y31" s="748"/>
      <c r="Z31" s="748"/>
      <c r="AA31" s="748"/>
      <c r="AB31" s="748"/>
      <c r="AC31" s="1295"/>
      <c r="AD31" s="1296"/>
      <c r="AE31" s="748"/>
      <c r="AF31" s="748"/>
      <c r="AG31" s="748"/>
      <c r="AH31" s="748"/>
      <c r="AI31" s="748"/>
      <c r="AJ31" s="748"/>
      <c r="AK31" s="748"/>
      <c r="AL31" s="748"/>
      <c r="AM31" s="748"/>
      <c r="AN31" s="748"/>
      <c r="AO31" s="748"/>
      <c r="AP31" s="748"/>
      <c r="AQ31" s="748"/>
      <c r="AR31" s="748"/>
      <c r="AS31" s="748"/>
      <c r="AT31" s="748"/>
      <c r="AU31" s="748"/>
      <c r="AV31" s="748"/>
      <c r="AW31" s="748"/>
      <c r="AX31" s="748"/>
      <c r="AY31" s="748"/>
      <c r="AZ31" s="748"/>
      <c r="BA31" s="748"/>
      <c r="BB31" s="748"/>
      <c r="BC31" s="748"/>
      <c r="BD31" s="748"/>
      <c r="BE31" s="748"/>
      <c r="BF31" s="748"/>
      <c r="BG31" s="748"/>
      <c r="BH31" s="748"/>
      <c r="BI31" s="748"/>
      <c r="BJ31" s="748"/>
      <c r="BK31" s="748"/>
      <c r="BL31" s="748"/>
      <c r="BM31" s="748"/>
      <c r="BN31" s="748"/>
      <c r="BO31" s="748"/>
      <c r="BP31" s="748"/>
      <c r="BQ31" s="748"/>
      <c r="BR31" s="748"/>
      <c r="BS31" s="748"/>
      <c r="BT31" s="748"/>
      <c r="BU31" s="748"/>
      <c r="BV31" s="748"/>
      <c r="BW31" s="748"/>
      <c r="BX31" s="748"/>
      <c r="BY31" s="748"/>
      <c r="BZ31" s="748"/>
      <c r="CA31" s="748"/>
      <c r="CB31" s="748"/>
      <c r="CC31" s="748"/>
      <c r="CD31" s="748"/>
      <c r="CE31" s="748"/>
    </row>
    <row customHeight="1" ht="15" hidden="1">
      <c r="A32" s="860" t="s">
        <v>125</v>
      </c>
      <c r="B32" s="861"/>
      <c r="C32" s="861" t="s">
        <v>17</v>
      </c>
      <c r="D32" s="2390" t="s">
        <v>1811</v>
      </c>
      <c r="E32" s="2374" t="s">
        <v>105</v>
      </c>
      <c r="F32" s="2375"/>
      <c r="G32" s="2376"/>
      <c r="H32" s="2377" t="str">
        <f>IF(A32="","",INDEX(DIFFERENTIATION_UNMERGE_VD,MATCH(A32,DIFFERENTIATION_ID_DIFF,0)))</f>
        <v>Производство тепловой энергии. Некомбинированная выработка</v>
      </c>
      <c r="I32" s="2377"/>
      <c r="J32" s="2377"/>
      <c r="K32" s="2377"/>
      <c r="L32" s="2377"/>
      <c r="M32" s="2377"/>
      <c r="N32" s="2377"/>
      <c r="O32" s="2377"/>
      <c r="P32" s="2377"/>
      <c r="Q32" s="2377"/>
      <c r="R32" s="2377"/>
      <c r="S32" s="956"/>
      <c r="T32" s="953"/>
      <c r="U32" s="862"/>
      <c r="V32" s="862"/>
      <c r="W32" s="863"/>
      <c r="X32" s="863"/>
      <c r="Y32" s="863"/>
      <c r="Z32" s="863"/>
      <c r="AA32" s="864"/>
      <c r="AB32" s="865"/>
      <c r="AC32" s="2373"/>
      <c r="AD32" s="866"/>
      <c r="AE32" s="867" t="s">
        <v>17</v>
      </c>
      <c r="AF32" s="867"/>
      <c r="AG32" s="868" t="s">
        <v>1475</v>
      </c>
      <c r="AH32" s="869">
        <v>3</v>
      </c>
      <c r="AI32" s="862"/>
      <c r="AJ32" s="862"/>
      <c r="AK32" s="862"/>
      <c r="AL32" s="862"/>
      <c r="AM32" s="862"/>
      <c r="AN32" s="862"/>
      <c r="AO32" s="862"/>
      <c r="AP32" s="862"/>
      <c r="AQ32" s="862"/>
      <c r="AR32" s="862"/>
      <c r="AS32" s="862"/>
      <c r="AT32" s="862"/>
      <c r="AU32" s="862"/>
      <c r="AV32" s="862"/>
      <c r="AW32" s="862"/>
      <c r="AX32" s="862"/>
      <c r="AY32" s="862"/>
      <c r="AZ32" s="862"/>
      <c r="BA32" s="862"/>
      <c r="BB32" s="862"/>
      <c r="BC32" s="862"/>
      <c r="BD32" s="862"/>
      <c r="BE32" s="862"/>
      <c r="BF32" s="862"/>
      <c r="BG32" s="862"/>
      <c r="BH32" s="862"/>
      <c r="BI32" s="862"/>
      <c r="BJ32" s="862"/>
      <c r="BK32" s="862"/>
      <c r="BL32" s="862"/>
      <c r="BM32" s="862"/>
      <c r="BN32" s="862"/>
      <c r="BO32" s="862"/>
      <c r="BP32" s="862"/>
      <c r="BQ32" s="862"/>
      <c r="BR32" s="862"/>
      <c r="BS32" s="862"/>
      <c r="BT32" s="862"/>
      <c r="BU32" s="862"/>
      <c r="BV32" s="863"/>
      <c r="BW32" s="863"/>
      <c r="BX32" s="863"/>
      <c r="BY32" s="863"/>
      <c r="BZ32" s="863"/>
      <c r="CA32" s="863"/>
      <c r="CB32" s="863"/>
      <c r="CC32" s="863"/>
      <c r="CD32" s="863"/>
      <c r="CE32" s="863"/>
    </row>
    <row customHeight="1" ht="15" hidden="1">
      <c r="A33" s="860"/>
      <c r="B33" s="861"/>
      <c r="C33" s="861"/>
      <c r="D33" s="2391"/>
      <c r="E33" s="2374" t="s">
        <v>1476</v>
      </c>
      <c r="F33" s="2375"/>
      <c r="G33" s="2376"/>
      <c r="H33" s="2377" t="str">
        <f>IF(A32="","",INDEX(DIFFERENTIATION_UNMERGE_AREA,MATCH(A32,DIFFERENTIATION_ID_DIFF,0)))</f>
        <v>Территория 1</v>
      </c>
      <c r="I33" s="2377"/>
      <c r="J33" s="2377"/>
      <c r="K33" s="2377"/>
      <c r="L33" s="2377"/>
      <c r="M33" s="2377"/>
      <c r="N33" s="2377"/>
      <c r="O33" s="2377"/>
      <c r="P33" s="2377"/>
      <c r="Q33" s="2377"/>
      <c r="R33" s="2377"/>
      <c r="S33" s="956"/>
      <c r="T33" s="953"/>
      <c r="U33" s="862"/>
      <c r="V33" s="862"/>
      <c r="W33" s="863"/>
      <c r="X33" s="863"/>
      <c r="Y33" s="863"/>
      <c r="Z33" s="863"/>
      <c r="AA33" s="864"/>
      <c r="AB33" s="865"/>
      <c r="AC33" s="2373"/>
      <c r="AD33" s="866"/>
      <c r="AE33" s="867"/>
      <c r="AF33" s="867"/>
      <c r="AG33" s="868"/>
      <c r="AH33" s="869"/>
      <c r="AI33" s="862"/>
      <c r="AJ33" s="862"/>
      <c r="AK33" s="862"/>
      <c r="AL33" s="862"/>
      <c r="AM33" s="862"/>
      <c r="AN33" s="862"/>
      <c r="AO33" s="862"/>
      <c r="AP33" s="862"/>
      <c r="AQ33" s="862"/>
      <c r="AR33" s="862"/>
      <c r="AS33" s="862"/>
      <c r="AT33" s="862"/>
      <c r="AU33" s="862"/>
      <c r="AV33" s="862"/>
      <c r="AW33" s="862"/>
      <c r="AX33" s="862"/>
      <c r="AY33" s="862"/>
      <c r="AZ33" s="862"/>
      <c r="BA33" s="862"/>
      <c r="BB33" s="862"/>
      <c r="BC33" s="862"/>
      <c r="BD33" s="862"/>
      <c r="BE33" s="862"/>
      <c r="BF33" s="862"/>
      <c r="BG33" s="862"/>
      <c r="BH33" s="862"/>
      <c r="BI33" s="862"/>
      <c r="BJ33" s="862"/>
      <c r="BK33" s="862"/>
      <c r="BL33" s="862"/>
      <c r="BM33" s="862"/>
      <c r="BN33" s="862"/>
      <c r="BO33" s="862"/>
      <c r="BP33" s="862"/>
      <c r="BQ33" s="862"/>
      <c r="BR33" s="862"/>
      <c r="BS33" s="862"/>
      <c r="BT33" s="862"/>
      <c r="BU33" s="862"/>
      <c r="BV33" s="863"/>
      <c r="BW33" s="863"/>
      <c r="BX33" s="863"/>
      <c r="BY33" s="863"/>
      <c r="BZ33" s="863"/>
      <c r="CA33" s="863"/>
      <c r="CB33" s="863"/>
      <c r="CC33" s="863"/>
      <c r="CD33" s="863"/>
      <c r="CE33" s="863"/>
    </row>
    <row customHeight="1" ht="15" hidden="1">
      <c r="A34" s="860"/>
      <c r="B34" s="861"/>
      <c r="C34" s="861"/>
      <c r="D34" s="2391"/>
      <c r="E34" s="2374" t="s">
        <v>1477</v>
      </c>
      <c r="F34" s="2375"/>
      <c r="G34" s="2376"/>
      <c r="H34" s="2377" t="str">
        <f>IF(A32="","",INDEX(DIFFERENTIATION_UNMERGE_SYSTEM,MATCH(A32,DIFFERENTIATION_ID_DIFF,0)))</f>
        <v>Котельная №3, ул.Комсомольская около д.1 по ул.Ленина</v>
      </c>
      <c r="I34" s="2377"/>
      <c r="J34" s="2377"/>
      <c r="K34" s="2377"/>
      <c r="L34" s="2377"/>
      <c r="M34" s="2377"/>
      <c r="N34" s="2377"/>
      <c r="O34" s="2377"/>
      <c r="P34" s="2377"/>
      <c r="Q34" s="2377"/>
      <c r="R34" s="2377"/>
      <c r="S34" s="956"/>
      <c r="T34" s="953"/>
      <c r="U34" s="862"/>
      <c r="V34" s="862"/>
      <c r="W34" s="863"/>
      <c r="X34" s="863"/>
      <c r="Y34" s="863"/>
      <c r="Z34" s="863"/>
      <c r="AA34" s="864"/>
      <c r="AB34" s="865"/>
      <c r="AC34" s="2373"/>
      <c r="AD34" s="866"/>
      <c r="AE34" s="867"/>
      <c r="AF34" s="867"/>
      <c r="AG34" s="868"/>
      <c r="AH34" s="869"/>
      <c r="AI34" s="862"/>
      <c r="AJ34" s="862"/>
      <c r="AK34" s="862"/>
      <c r="AL34" s="862"/>
      <c r="AM34" s="862"/>
      <c r="AN34" s="862"/>
      <c r="AO34" s="862"/>
      <c r="AP34" s="862"/>
      <c r="AQ34" s="862"/>
      <c r="AR34" s="862"/>
      <c r="AS34" s="862"/>
      <c r="AT34" s="862"/>
      <c r="AU34" s="862"/>
      <c r="AV34" s="862"/>
      <c r="AW34" s="862"/>
      <c r="AX34" s="862"/>
      <c r="AY34" s="862"/>
      <c r="AZ34" s="862"/>
      <c r="BA34" s="862"/>
      <c r="BB34" s="862"/>
      <c r="BC34" s="862"/>
      <c r="BD34" s="862"/>
      <c r="BE34" s="862"/>
      <c r="BF34" s="862"/>
      <c r="BG34" s="862"/>
      <c r="BH34" s="862"/>
      <c r="BI34" s="862"/>
      <c r="BJ34" s="862"/>
      <c r="BK34" s="862"/>
      <c r="BL34" s="862"/>
      <c r="BM34" s="862"/>
      <c r="BN34" s="862"/>
      <c r="BO34" s="862"/>
      <c r="BP34" s="862"/>
      <c r="BQ34" s="862"/>
      <c r="BR34" s="862"/>
      <c r="BS34" s="862"/>
      <c r="BT34" s="862"/>
      <c r="BU34" s="862"/>
      <c r="BV34" s="863"/>
      <c r="BW34" s="863"/>
      <c r="BX34" s="863"/>
      <c r="BY34" s="863"/>
      <c r="BZ34" s="863"/>
      <c r="CA34" s="863"/>
      <c r="CB34" s="863"/>
      <c r="CC34" s="863"/>
      <c r="CD34" s="863"/>
      <c r="CE34" s="863"/>
    </row>
    <row customHeight="1" ht="24.75" hidden="1">
      <c r="A35" s="870"/>
      <c r="B35" s="653"/>
      <c r="C35" s="648"/>
      <c r="D35" s="2391"/>
      <c r="E35" s="2388" t="s">
        <v>1478</v>
      </c>
      <c r="F35" s="2388"/>
      <c r="G35" s="2388"/>
      <c r="H35" s="2388"/>
      <c r="I35" s="2388"/>
      <c r="J35" s="2388"/>
      <c r="K35" s="2388"/>
      <c r="L35" s="2388"/>
      <c r="M35" s="2388"/>
      <c r="N35" s="2388"/>
      <c r="O35" s="2388"/>
      <c r="P35" s="2388"/>
      <c r="Q35" s="795">
        <f>SUMIF(T36:T37,"i",Q36:Q37)</f>
        <v>0</v>
      </c>
      <c r="R35" s="1273"/>
      <c r="S35" s="1278" t="s">
        <v>1479</v>
      </c>
      <c r="T35" s="954" t="s">
        <v>1480</v>
      </c>
      <c r="U35" s="2389">
        <v>1</v>
      </c>
      <c r="V35" s="2389" t="s">
        <v>1481</v>
      </c>
      <c r="W35" s="653"/>
      <c r="X35" s="653"/>
      <c r="Y35" s="653"/>
      <c r="Z35" s="653"/>
      <c r="AA35" s="748"/>
      <c r="AB35" s="653"/>
      <c r="AC35" s="2373"/>
      <c r="AD35" s="866"/>
      <c r="AE35" s="653"/>
      <c r="AF35" s="653"/>
      <c r="AG35" s="748"/>
      <c r="AH35" s="748"/>
      <c r="AI35" s="748"/>
      <c r="AJ35" s="748"/>
      <c r="AK35" s="748"/>
      <c r="AL35" s="748"/>
      <c r="AM35" s="748"/>
      <c r="AN35" s="748"/>
      <c r="AO35" s="748"/>
      <c r="AP35" s="748"/>
      <c r="AQ35" s="748"/>
      <c r="AR35" s="748"/>
      <c r="AS35" s="748"/>
      <c r="AT35" s="748"/>
      <c r="AU35" s="748"/>
      <c r="AV35" s="748"/>
      <c r="AW35" s="748"/>
      <c r="AX35" s="748"/>
      <c r="AY35" s="748"/>
      <c r="AZ35" s="748"/>
      <c r="BA35" s="748"/>
      <c r="BB35" s="748"/>
      <c r="BC35" s="748"/>
      <c r="BD35" s="748"/>
      <c r="BE35" s="748"/>
      <c r="BF35" s="748"/>
      <c r="BG35" s="748"/>
      <c r="BH35" s="748"/>
      <c r="BI35" s="748"/>
      <c r="BJ35" s="748"/>
      <c r="BK35" s="748"/>
      <c r="BL35" s="748"/>
      <c r="BM35" s="748"/>
      <c r="BN35" s="748"/>
      <c r="BO35" s="748"/>
      <c r="BP35" s="748"/>
      <c r="BQ35" s="748"/>
      <c r="BR35" s="748"/>
      <c r="BS35" s="748"/>
      <c r="BT35" s="748"/>
      <c r="BU35" s="748"/>
      <c r="BV35" s="653"/>
      <c r="BW35" s="653"/>
      <c r="BX35" s="653"/>
      <c r="BY35" s="653"/>
      <c r="BZ35" s="653"/>
      <c r="CA35" s="653"/>
      <c r="CB35" s="653"/>
      <c r="CC35" s="653"/>
      <c r="CD35" s="653"/>
      <c r="CE35" s="653"/>
    </row>
    <row customHeight="1" ht="11.25" hidden="1">
      <c r="A36" s="1277"/>
      <c r="B36" s="748"/>
      <c r="C36" s="748"/>
      <c r="D36" s="2391"/>
      <c r="E36" s="872"/>
      <c r="F36" s="872">
        <v>0</v>
      </c>
      <c r="G36" s="872"/>
      <c r="H36" s="872"/>
      <c r="I36" s="872"/>
      <c r="J36" s="872"/>
      <c r="K36" s="872"/>
      <c r="L36" s="872"/>
      <c r="M36" s="872"/>
      <c r="N36" s="872"/>
      <c r="O36" s="872"/>
      <c r="P36" s="872"/>
      <c r="Q36" s="872"/>
      <c r="R36" s="872"/>
      <c r="S36" s="873"/>
      <c r="T36" s="955"/>
      <c r="U36" s="2389"/>
      <c r="V36" s="2389"/>
      <c r="W36" s="748"/>
      <c r="X36" s="748"/>
      <c r="Y36" s="748"/>
      <c r="Z36" s="748"/>
      <c r="AA36" s="748"/>
      <c r="AB36" s="653"/>
      <c r="AC36" s="2373"/>
      <c r="AD36" s="866"/>
      <c r="AE36" s="653"/>
      <c r="AF36" s="653"/>
      <c r="AG36" s="748"/>
      <c r="AH36" s="748"/>
      <c r="AI36" s="748"/>
      <c r="AJ36" s="748"/>
      <c r="AK36" s="748"/>
      <c r="AL36" s="748"/>
      <c r="AM36" s="748"/>
      <c r="AN36" s="748"/>
      <c r="AO36" s="748"/>
      <c r="AP36" s="748"/>
      <c r="AQ36" s="748"/>
      <c r="AR36" s="748"/>
      <c r="AS36" s="748"/>
      <c r="AT36" s="748"/>
      <c r="AU36" s="748"/>
      <c r="AV36" s="748"/>
      <c r="AW36" s="748"/>
      <c r="AX36" s="748"/>
      <c r="AY36" s="748"/>
      <c r="AZ36" s="748"/>
      <c r="BA36" s="748"/>
      <c r="BB36" s="748"/>
      <c r="BC36" s="748"/>
      <c r="BD36" s="748"/>
      <c r="BE36" s="748"/>
      <c r="BF36" s="748"/>
      <c r="BG36" s="748"/>
      <c r="BH36" s="748"/>
      <c r="BI36" s="748"/>
      <c r="BJ36" s="748"/>
      <c r="BK36" s="748"/>
      <c r="BL36" s="748"/>
      <c r="BM36" s="748"/>
      <c r="BN36" s="748"/>
      <c r="BO36" s="748"/>
      <c r="BP36" s="748"/>
      <c r="BQ36" s="748"/>
      <c r="BR36" s="748"/>
      <c r="BS36" s="748"/>
      <c r="BT36" s="748"/>
      <c r="BU36" s="748"/>
      <c r="BV36" s="748"/>
      <c r="BW36" s="748"/>
      <c r="BX36" s="748"/>
      <c r="BY36" s="748"/>
      <c r="BZ36" s="748"/>
      <c r="CA36" s="748"/>
      <c r="CB36" s="748"/>
      <c r="CC36" s="748"/>
      <c r="CD36" s="748"/>
      <c r="CE36" s="748"/>
    </row>
    <row customHeight="1" ht="11.25" hidden="1">
      <c r="A37" s="870"/>
      <c r="B37" s="653"/>
      <c r="C37" s="648"/>
      <c r="D37" s="2391"/>
      <c r="E37" s="886" t="s">
        <v>17</v>
      </c>
      <c r="F37" s="887" t="s">
        <v>17</v>
      </c>
      <c r="G37" s="887" t="s">
        <v>1482</v>
      </c>
      <c r="H37" s="888" t="s">
        <v>17</v>
      </c>
      <c r="I37" s="888"/>
      <c r="J37" s="888"/>
      <c r="K37" s="888"/>
      <c r="L37" s="888"/>
      <c r="M37" s="888"/>
      <c r="N37" s="888"/>
      <c r="O37" s="888"/>
      <c r="P37" s="888"/>
      <c r="Q37" s="888"/>
      <c r="R37" s="889"/>
      <c r="S37" s="890"/>
      <c r="T37" s="955"/>
      <c r="U37" s="2389"/>
      <c r="V37" s="2389"/>
      <c r="W37" s="653"/>
      <c r="X37" s="653"/>
      <c r="Y37" s="653"/>
      <c r="Z37" s="653"/>
      <c r="AA37" s="748"/>
      <c r="AB37" s="653"/>
      <c r="AC37" s="2373"/>
      <c r="AD37" s="866"/>
      <c r="AE37" s="653"/>
      <c r="AF37" s="653"/>
      <c r="AG37" s="748"/>
      <c r="AH37" s="748"/>
      <c r="AI37" s="748"/>
      <c r="AJ37" s="748"/>
      <c r="AK37" s="748"/>
      <c r="AL37" s="748"/>
      <c r="AM37" s="748"/>
      <c r="AN37" s="748"/>
      <c r="AO37" s="748"/>
      <c r="AP37" s="748"/>
      <c r="AQ37" s="748"/>
      <c r="AR37" s="748"/>
      <c r="AS37" s="748"/>
      <c r="AT37" s="748"/>
      <c r="AU37" s="748"/>
      <c r="AV37" s="748"/>
      <c r="AW37" s="748"/>
      <c r="AX37" s="748"/>
      <c r="AY37" s="748"/>
      <c r="AZ37" s="748"/>
      <c r="BA37" s="748"/>
      <c r="BB37" s="748"/>
      <c r="BC37" s="748"/>
      <c r="BD37" s="748"/>
      <c r="BE37" s="748"/>
      <c r="BF37" s="748"/>
      <c r="BG37" s="748"/>
      <c r="BH37" s="748"/>
      <c r="BI37" s="748"/>
      <c r="BJ37" s="748"/>
      <c r="BK37" s="748"/>
      <c r="BL37" s="748"/>
      <c r="BM37" s="748"/>
      <c r="BN37" s="748"/>
      <c r="BO37" s="748"/>
      <c r="BP37" s="748"/>
      <c r="BQ37" s="748"/>
      <c r="BR37" s="748"/>
      <c r="BS37" s="748"/>
      <c r="BT37" s="748"/>
      <c r="BU37" s="748"/>
      <c r="BV37" s="653"/>
      <c r="BW37" s="653"/>
      <c r="BX37" s="653"/>
      <c r="BY37" s="653"/>
      <c r="BZ37" s="653"/>
      <c r="CA37" s="653"/>
      <c r="CB37" s="653"/>
      <c r="CC37" s="653"/>
      <c r="CD37" s="653"/>
      <c r="CE37" s="653"/>
    </row>
    <row customHeight="1" ht="5.25" hidden="1">
      <c r="A38" s="1277"/>
      <c r="B38" s="748"/>
      <c r="C38" s="748"/>
      <c r="D38" s="2391"/>
      <c r="E38" s="1297"/>
      <c r="F38" s="1297"/>
      <c r="G38" s="1297"/>
      <c r="H38" s="1297"/>
      <c r="I38" s="1297"/>
      <c r="J38" s="1297"/>
      <c r="K38" s="1297"/>
      <c r="L38" s="1297"/>
      <c r="M38" s="1297"/>
      <c r="N38" s="1297"/>
      <c r="O38" s="1297"/>
      <c r="P38" s="1297"/>
      <c r="Q38" s="1298"/>
      <c r="R38" s="1299"/>
      <c r="S38" s="1300"/>
      <c r="T38" s="954" t="s">
        <v>1480</v>
      </c>
      <c r="U38" s="2389">
        <v>1</v>
      </c>
      <c r="V38" s="2389" t="s">
        <v>1481</v>
      </c>
      <c r="W38" s="748"/>
      <c r="X38" s="748"/>
      <c r="Y38" s="748"/>
      <c r="Z38" s="748"/>
      <c r="AA38" s="748"/>
      <c r="AB38" s="748"/>
      <c r="AC38" s="1295"/>
      <c r="AD38" s="1296"/>
      <c r="AE38" s="748"/>
      <c r="AF38" s="748"/>
      <c r="AG38" s="748"/>
      <c r="AH38" s="748"/>
      <c r="AI38" s="748"/>
      <c r="AJ38" s="748"/>
      <c r="AK38" s="748"/>
      <c r="AL38" s="748"/>
      <c r="AM38" s="748"/>
      <c r="AN38" s="748"/>
      <c r="AO38" s="748"/>
      <c r="AP38" s="748"/>
      <c r="AQ38" s="748"/>
      <c r="AR38" s="748"/>
      <c r="AS38" s="748"/>
      <c r="AT38" s="748"/>
      <c r="AU38" s="748"/>
      <c r="AV38" s="748"/>
      <c r="AW38" s="748"/>
      <c r="AX38" s="748"/>
      <c r="AY38" s="748"/>
      <c r="AZ38" s="748"/>
      <c r="BA38" s="748"/>
      <c r="BB38" s="748"/>
      <c r="BC38" s="748"/>
      <c r="BD38" s="748"/>
      <c r="BE38" s="748"/>
      <c r="BF38" s="748"/>
      <c r="BG38" s="748"/>
      <c r="BH38" s="748"/>
      <c r="BI38" s="748"/>
      <c r="BJ38" s="748"/>
      <c r="BK38" s="748"/>
      <c r="BL38" s="748"/>
      <c r="BM38" s="748"/>
      <c r="BN38" s="748"/>
      <c r="BO38" s="748"/>
      <c r="BP38" s="748"/>
      <c r="BQ38" s="748"/>
      <c r="BR38" s="748"/>
      <c r="BS38" s="748"/>
      <c r="BT38" s="748"/>
      <c r="BU38" s="748"/>
      <c r="BV38" s="748"/>
      <c r="BW38" s="748"/>
      <c r="BX38" s="748"/>
      <c r="BY38" s="748"/>
      <c r="BZ38" s="748"/>
      <c r="CA38" s="748"/>
      <c r="CB38" s="748"/>
      <c r="CC38" s="748"/>
      <c r="CD38" s="748"/>
      <c r="CE38" s="748"/>
    </row>
    <row customHeight="1" ht="5.25" hidden="1">
      <c r="A39" s="1277"/>
      <c r="B39" s="748"/>
      <c r="C39" s="748"/>
      <c r="D39" s="2391"/>
      <c r="E39" s="872"/>
      <c r="F39" s="872"/>
      <c r="G39" s="872"/>
      <c r="H39" s="872"/>
      <c r="I39" s="872"/>
      <c r="J39" s="872"/>
      <c r="K39" s="872"/>
      <c r="L39" s="872"/>
      <c r="M39" s="872"/>
      <c r="N39" s="872"/>
      <c r="O39" s="872"/>
      <c r="P39" s="872"/>
      <c r="Q39" s="872"/>
      <c r="R39" s="872"/>
      <c r="S39" s="873"/>
      <c r="T39" s="955"/>
      <c r="U39" s="2389"/>
      <c r="V39" s="2389"/>
      <c r="W39" s="748"/>
      <c r="X39" s="748"/>
      <c r="Y39" s="748"/>
      <c r="Z39" s="748"/>
      <c r="AA39" s="748"/>
      <c r="AB39" s="748"/>
      <c r="AC39" s="1295"/>
      <c r="AD39" s="1296"/>
      <c r="AE39" s="748"/>
      <c r="AF39" s="748"/>
      <c r="AG39" s="748"/>
      <c r="AH39" s="748"/>
      <c r="AI39" s="748"/>
      <c r="AJ39" s="748"/>
      <c r="AK39" s="748"/>
      <c r="AL39" s="748"/>
      <c r="AM39" s="748"/>
      <c r="AN39" s="748"/>
      <c r="AO39" s="748"/>
      <c r="AP39" s="748"/>
      <c r="AQ39" s="748"/>
      <c r="AR39" s="748"/>
      <c r="AS39" s="748"/>
      <c r="AT39" s="748"/>
      <c r="AU39" s="748"/>
      <c r="AV39" s="748"/>
      <c r="AW39" s="748"/>
      <c r="AX39" s="748"/>
      <c r="AY39" s="748"/>
      <c r="AZ39" s="748"/>
      <c r="BA39" s="748"/>
      <c r="BB39" s="748"/>
      <c r="BC39" s="748"/>
      <c r="BD39" s="748"/>
      <c r="BE39" s="748"/>
      <c r="BF39" s="748"/>
      <c r="BG39" s="748"/>
      <c r="BH39" s="748"/>
      <c r="BI39" s="748"/>
      <c r="BJ39" s="748"/>
      <c r="BK39" s="748"/>
      <c r="BL39" s="748"/>
      <c r="BM39" s="748"/>
      <c r="BN39" s="748"/>
      <c r="BO39" s="748"/>
      <c r="BP39" s="748"/>
      <c r="BQ39" s="748"/>
      <c r="BR39" s="748"/>
      <c r="BS39" s="748"/>
      <c r="BT39" s="748"/>
      <c r="BU39" s="748"/>
      <c r="BV39" s="748"/>
      <c r="BW39" s="748"/>
      <c r="BX39" s="748"/>
      <c r="BY39" s="748"/>
      <c r="BZ39" s="748"/>
      <c r="CA39" s="748"/>
      <c r="CB39" s="748"/>
      <c r="CC39" s="748"/>
      <c r="CD39" s="748"/>
      <c r="CE39" s="748"/>
    </row>
    <row customHeight="1" ht="5.25" hidden="1">
      <c r="A40" s="1277"/>
      <c r="B40" s="748"/>
      <c r="C40" s="748"/>
      <c r="D40" s="2392"/>
      <c r="E40" s="1301"/>
      <c r="F40" s="1302"/>
      <c r="G40" s="1302"/>
      <c r="H40" s="1303"/>
      <c r="I40" s="1303"/>
      <c r="J40" s="1303"/>
      <c r="K40" s="1303"/>
      <c r="L40" s="1303"/>
      <c r="M40" s="1303"/>
      <c r="N40" s="1303"/>
      <c r="O40" s="1303"/>
      <c r="P40" s="1303"/>
      <c r="Q40" s="1303"/>
      <c r="R40" s="1202"/>
      <c r="S40" s="1304"/>
      <c r="T40" s="955"/>
      <c r="U40" s="2389"/>
      <c r="V40" s="2389"/>
      <c r="W40" s="748"/>
      <c r="X40" s="748"/>
      <c r="Y40" s="748"/>
      <c r="Z40" s="748"/>
      <c r="AA40" s="748"/>
      <c r="AB40" s="748"/>
      <c r="AC40" s="1295"/>
      <c r="AD40" s="1296"/>
      <c r="AE40" s="748"/>
      <c r="AF40" s="748"/>
      <c r="AG40" s="748"/>
      <c r="AH40" s="748"/>
      <c r="AI40" s="748"/>
      <c r="AJ40" s="748"/>
      <c r="AK40" s="748"/>
      <c r="AL40" s="748"/>
      <c r="AM40" s="748"/>
      <c r="AN40" s="748"/>
      <c r="AO40" s="748"/>
      <c r="AP40" s="748"/>
      <c r="AQ40" s="748"/>
      <c r="AR40" s="748"/>
      <c r="AS40" s="748"/>
      <c r="AT40" s="748"/>
      <c r="AU40" s="748"/>
      <c r="AV40" s="748"/>
      <c r="AW40" s="748"/>
      <c r="AX40" s="748"/>
      <c r="AY40" s="748"/>
      <c r="AZ40" s="748"/>
      <c r="BA40" s="748"/>
      <c r="BB40" s="748"/>
      <c r="BC40" s="748"/>
      <c r="BD40" s="748"/>
      <c r="BE40" s="748"/>
      <c r="BF40" s="748"/>
      <c r="BG40" s="748"/>
      <c r="BH40" s="748"/>
      <c r="BI40" s="748"/>
      <c r="BJ40" s="748"/>
      <c r="BK40" s="748"/>
      <c r="BL40" s="748"/>
      <c r="BM40" s="748"/>
      <c r="BN40" s="748"/>
      <c r="BO40" s="748"/>
      <c r="BP40" s="748"/>
      <c r="BQ40" s="748"/>
      <c r="BR40" s="748"/>
      <c r="BS40" s="748"/>
      <c r="BT40" s="748"/>
      <c r="BU40" s="748"/>
      <c r="BV40" s="748"/>
      <c r="BW40" s="748"/>
      <c r="BX40" s="748"/>
      <c r="BY40" s="748"/>
      <c r="BZ40" s="748"/>
      <c r="CA40" s="748"/>
      <c r="CB40" s="748"/>
      <c r="CC40" s="748"/>
      <c r="CD40" s="748"/>
      <c r="CE40" s="748"/>
    </row>
    <row customHeight="1" ht="15" hidden="1">
      <c r="A41" s="860" t="s">
        <v>127</v>
      </c>
      <c r="B41" s="861"/>
      <c r="C41" s="861" t="s">
        <v>17</v>
      </c>
      <c r="D41" s="2390" t="s">
        <v>1812</v>
      </c>
      <c r="E41" s="2374" t="s">
        <v>105</v>
      </c>
      <c r="F41" s="2375"/>
      <c r="G41" s="2376"/>
      <c r="H41" s="2377" t="str">
        <f>IF(A41="","",INDEX(DIFFERENTIATION_UNMERGE_VD,MATCH(A41,DIFFERENTIATION_ID_DIFF,0)))</f>
        <v>Производство тепловой энергии. Некомбинированная выработка</v>
      </c>
      <c r="I41" s="2377"/>
      <c r="J41" s="2377"/>
      <c r="K41" s="2377"/>
      <c r="L41" s="2377"/>
      <c r="M41" s="2377"/>
      <c r="N41" s="2377"/>
      <c r="O41" s="2377"/>
      <c r="P41" s="2377"/>
      <c r="Q41" s="2377"/>
      <c r="R41" s="2377"/>
      <c r="S41" s="956"/>
      <c r="T41" s="953"/>
      <c r="U41" s="862"/>
      <c r="V41" s="862"/>
      <c r="W41" s="863"/>
      <c r="X41" s="863"/>
      <c r="Y41" s="863"/>
      <c r="Z41" s="863"/>
      <c r="AA41" s="864"/>
      <c r="AB41" s="865"/>
      <c r="AC41" s="2373"/>
      <c r="AD41" s="866"/>
      <c r="AE41" s="867" t="s">
        <v>17</v>
      </c>
      <c r="AF41" s="867"/>
      <c r="AG41" s="868" t="s">
        <v>1475</v>
      </c>
      <c r="AH41" s="869">
        <v>3</v>
      </c>
      <c r="AI41" s="862"/>
      <c r="AJ41" s="862"/>
      <c r="AK41" s="862"/>
      <c r="AL41" s="862"/>
      <c r="AM41" s="862"/>
      <c r="AN41" s="862"/>
      <c r="AO41" s="862"/>
      <c r="AP41" s="862"/>
      <c r="AQ41" s="862"/>
      <c r="AR41" s="862"/>
      <c r="AS41" s="862"/>
      <c r="AT41" s="862"/>
      <c r="AU41" s="862"/>
      <c r="AV41" s="862"/>
      <c r="AW41" s="862"/>
      <c r="AX41" s="862"/>
      <c r="AY41" s="862"/>
      <c r="AZ41" s="862"/>
      <c r="BA41" s="862"/>
      <c r="BB41" s="862"/>
      <c r="BC41" s="862"/>
      <c r="BD41" s="862"/>
      <c r="BE41" s="862"/>
      <c r="BF41" s="862"/>
      <c r="BG41" s="862"/>
      <c r="BH41" s="862"/>
      <c r="BI41" s="862"/>
      <c r="BJ41" s="862"/>
      <c r="BK41" s="862"/>
      <c r="BL41" s="862"/>
      <c r="BM41" s="862"/>
      <c r="BN41" s="862"/>
      <c r="BO41" s="862"/>
      <c r="BP41" s="862"/>
      <c r="BQ41" s="862"/>
      <c r="BR41" s="862"/>
      <c r="BS41" s="862"/>
      <c r="BT41" s="862"/>
      <c r="BU41" s="862"/>
      <c r="BV41" s="863"/>
      <c r="BW41" s="863"/>
      <c r="BX41" s="863"/>
      <c r="BY41" s="863"/>
      <c r="BZ41" s="863"/>
      <c r="CA41" s="863"/>
      <c r="CB41" s="863"/>
      <c r="CC41" s="863"/>
      <c r="CD41" s="863"/>
      <c r="CE41" s="863"/>
    </row>
    <row customHeight="1" ht="15" hidden="1">
      <c r="A42" s="860"/>
      <c r="B42" s="861"/>
      <c r="C42" s="861"/>
      <c r="D42" s="2391"/>
      <c r="E42" s="2374" t="s">
        <v>1476</v>
      </c>
      <c r="F42" s="2375"/>
      <c r="G42" s="2376"/>
      <c r="H42" s="2377" t="str">
        <f>IF(A41="","",INDEX(DIFFERENTIATION_UNMERGE_AREA,MATCH(A41,DIFFERENTIATION_ID_DIFF,0)))</f>
        <v>Территория 1</v>
      </c>
      <c r="I42" s="2377"/>
      <c r="J42" s="2377"/>
      <c r="K42" s="2377"/>
      <c r="L42" s="2377"/>
      <c r="M42" s="2377"/>
      <c r="N42" s="2377"/>
      <c r="O42" s="2377"/>
      <c r="P42" s="2377"/>
      <c r="Q42" s="2377"/>
      <c r="R42" s="2377"/>
      <c r="S42" s="956"/>
      <c r="T42" s="953"/>
      <c r="U42" s="862"/>
      <c r="V42" s="862"/>
      <c r="W42" s="863"/>
      <c r="X42" s="863"/>
      <c r="Y42" s="863"/>
      <c r="Z42" s="863"/>
      <c r="AA42" s="864"/>
      <c r="AB42" s="865"/>
      <c r="AC42" s="2373"/>
      <c r="AD42" s="866"/>
      <c r="AE42" s="867"/>
      <c r="AF42" s="867"/>
      <c r="AG42" s="868"/>
      <c r="AH42" s="869"/>
      <c r="AI42" s="862"/>
      <c r="AJ42" s="862"/>
      <c r="AK42" s="862"/>
      <c r="AL42" s="862"/>
      <c r="AM42" s="862"/>
      <c r="AN42" s="862"/>
      <c r="AO42" s="862"/>
      <c r="AP42" s="862"/>
      <c r="AQ42" s="862"/>
      <c r="AR42" s="862"/>
      <c r="AS42" s="862"/>
      <c r="AT42" s="862"/>
      <c r="AU42" s="862"/>
      <c r="AV42" s="862"/>
      <c r="AW42" s="862"/>
      <c r="AX42" s="862"/>
      <c r="AY42" s="862"/>
      <c r="AZ42" s="862"/>
      <c r="BA42" s="862"/>
      <c r="BB42" s="862"/>
      <c r="BC42" s="862"/>
      <c r="BD42" s="862"/>
      <c r="BE42" s="862"/>
      <c r="BF42" s="862"/>
      <c r="BG42" s="862"/>
      <c r="BH42" s="862"/>
      <c r="BI42" s="862"/>
      <c r="BJ42" s="862"/>
      <c r="BK42" s="862"/>
      <c r="BL42" s="862"/>
      <c r="BM42" s="862"/>
      <c r="BN42" s="862"/>
      <c r="BO42" s="862"/>
      <c r="BP42" s="862"/>
      <c r="BQ42" s="862"/>
      <c r="BR42" s="862"/>
      <c r="BS42" s="862"/>
      <c r="BT42" s="862"/>
      <c r="BU42" s="862"/>
      <c r="BV42" s="863"/>
      <c r="BW42" s="863"/>
      <c r="BX42" s="863"/>
      <c r="BY42" s="863"/>
      <c r="BZ42" s="863"/>
      <c r="CA42" s="863"/>
      <c r="CB42" s="863"/>
      <c r="CC42" s="863"/>
      <c r="CD42" s="863"/>
      <c r="CE42" s="863"/>
    </row>
    <row customHeight="1" ht="15" hidden="1">
      <c r="A43" s="860"/>
      <c r="B43" s="861"/>
      <c r="C43" s="861"/>
      <c r="D43" s="2391"/>
      <c r="E43" s="2374" t="s">
        <v>1477</v>
      </c>
      <c r="F43" s="2375"/>
      <c r="G43" s="2376"/>
      <c r="H43" s="2377" t="str">
        <f>IF(A41="","",INDEX(DIFFERENTIATION_UNMERGE_SYSTEM,MATCH(A41,DIFFERENTIATION_ID_DIFF,0)))</f>
        <v>Тепловой центр №1 ул.Вокзальная ок д.№8</v>
      </c>
      <c r="I43" s="2377"/>
      <c r="J43" s="2377"/>
      <c r="K43" s="2377"/>
      <c r="L43" s="2377"/>
      <c r="M43" s="2377"/>
      <c r="N43" s="2377"/>
      <c r="O43" s="2377"/>
      <c r="P43" s="2377"/>
      <c r="Q43" s="2377"/>
      <c r="R43" s="2377"/>
      <c r="S43" s="956"/>
      <c r="T43" s="953"/>
      <c r="U43" s="862"/>
      <c r="V43" s="862"/>
      <c r="W43" s="863"/>
      <c r="X43" s="863"/>
      <c r="Y43" s="863"/>
      <c r="Z43" s="863"/>
      <c r="AA43" s="864"/>
      <c r="AB43" s="865"/>
      <c r="AC43" s="2373"/>
      <c r="AD43" s="866"/>
      <c r="AE43" s="867"/>
      <c r="AF43" s="867"/>
      <c r="AG43" s="868"/>
      <c r="AH43" s="869"/>
      <c r="AI43" s="862"/>
      <c r="AJ43" s="862"/>
      <c r="AK43" s="862"/>
      <c r="AL43" s="862"/>
      <c r="AM43" s="862"/>
      <c r="AN43" s="862"/>
      <c r="AO43" s="862"/>
      <c r="AP43" s="862"/>
      <c r="AQ43" s="862"/>
      <c r="AR43" s="862"/>
      <c r="AS43" s="862"/>
      <c r="AT43" s="862"/>
      <c r="AU43" s="862"/>
      <c r="AV43" s="862"/>
      <c r="AW43" s="862"/>
      <c r="AX43" s="862"/>
      <c r="AY43" s="862"/>
      <c r="AZ43" s="862"/>
      <c r="BA43" s="862"/>
      <c r="BB43" s="862"/>
      <c r="BC43" s="862"/>
      <c r="BD43" s="862"/>
      <c r="BE43" s="862"/>
      <c r="BF43" s="862"/>
      <c r="BG43" s="862"/>
      <c r="BH43" s="862"/>
      <c r="BI43" s="862"/>
      <c r="BJ43" s="862"/>
      <c r="BK43" s="862"/>
      <c r="BL43" s="862"/>
      <c r="BM43" s="862"/>
      <c r="BN43" s="862"/>
      <c r="BO43" s="862"/>
      <c r="BP43" s="862"/>
      <c r="BQ43" s="862"/>
      <c r="BR43" s="862"/>
      <c r="BS43" s="862"/>
      <c r="BT43" s="862"/>
      <c r="BU43" s="862"/>
      <c r="BV43" s="863"/>
      <c r="BW43" s="863"/>
      <c r="BX43" s="863"/>
      <c r="BY43" s="863"/>
      <c r="BZ43" s="863"/>
      <c r="CA43" s="863"/>
      <c r="CB43" s="863"/>
      <c r="CC43" s="863"/>
      <c r="CD43" s="863"/>
      <c r="CE43" s="863"/>
    </row>
    <row customHeight="1" ht="24.75" hidden="1">
      <c r="A44" s="870"/>
      <c r="B44" s="653"/>
      <c r="C44" s="648"/>
      <c r="D44" s="2391"/>
      <c r="E44" s="2388" t="s">
        <v>1478</v>
      </c>
      <c r="F44" s="2388"/>
      <c r="G44" s="2388"/>
      <c r="H44" s="2388"/>
      <c r="I44" s="2388"/>
      <c r="J44" s="2388"/>
      <c r="K44" s="2388"/>
      <c r="L44" s="2388"/>
      <c r="M44" s="2388"/>
      <c r="N44" s="2388"/>
      <c r="O44" s="2388"/>
      <c r="P44" s="2388"/>
      <c r="Q44" s="795">
        <f>SUMIF(T45:T46,"i",Q45:Q46)</f>
        <v>0</v>
      </c>
      <c r="R44" s="1273"/>
      <c r="S44" s="1278" t="s">
        <v>1479</v>
      </c>
      <c r="T44" s="954" t="s">
        <v>1480</v>
      </c>
      <c r="U44" s="2389">
        <v>1</v>
      </c>
      <c r="V44" s="2389" t="s">
        <v>1481</v>
      </c>
      <c r="W44" s="653"/>
      <c r="X44" s="653"/>
      <c r="Y44" s="653"/>
      <c r="Z44" s="653"/>
      <c r="AA44" s="748"/>
      <c r="AB44" s="653"/>
      <c r="AC44" s="2373"/>
      <c r="AD44" s="866"/>
      <c r="AE44" s="653"/>
      <c r="AF44" s="653"/>
      <c r="AG44" s="748"/>
      <c r="AH44" s="748"/>
      <c r="AI44" s="748"/>
      <c r="AJ44" s="748"/>
      <c r="AK44" s="748"/>
      <c r="AL44" s="748"/>
      <c r="AM44" s="748"/>
      <c r="AN44" s="748"/>
      <c r="AO44" s="748"/>
      <c r="AP44" s="748"/>
      <c r="AQ44" s="748"/>
      <c r="AR44" s="748"/>
      <c r="AS44" s="748"/>
      <c r="AT44" s="748"/>
      <c r="AU44" s="748"/>
      <c r="AV44" s="748"/>
      <c r="AW44" s="748"/>
      <c r="AX44" s="748"/>
      <c r="AY44" s="748"/>
      <c r="AZ44" s="748"/>
      <c r="BA44" s="748"/>
      <c r="BB44" s="748"/>
      <c r="BC44" s="748"/>
      <c r="BD44" s="748"/>
      <c r="BE44" s="748"/>
      <c r="BF44" s="748"/>
      <c r="BG44" s="748"/>
      <c r="BH44" s="748"/>
      <c r="BI44" s="748"/>
      <c r="BJ44" s="748"/>
      <c r="BK44" s="748"/>
      <c r="BL44" s="748"/>
      <c r="BM44" s="748"/>
      <c r="BN44" s="748"/>
      <c r="BO44" s="748"/>
      <c r="BP44" s="748"/>
      <c r="BQ44" s="748"/>
      <c r="BR44" s="748"/>
      <c r="BS44" s="748"/>
      <c r="BT44" s="748"/>
      <c r="BU44" s="748"/>
      <c r="BV44" s="653"/>
      <c r="BW44" s="653"/>
      <c r="BX44" s="653"/>
      <c r="BY44" s="653"/>
      <c r="BZ44" s="653"/>
      <c r="CA44" s="653"/>
      <c r="CB44" s="653"/>
      <c r="CC44" s="653"/>
      <c r="CD44" s="653"/>
      <c r="CE44" s="653"/>
    </row>
    <row customHeight="1" ht="11.25" hidden="1">
      <c r="A45" s="1277"/>
      <c r="B45" s="748"/>
      <c r="C45" s="748"/>
      <c r="D45" s="2391"/>
      <c r="E45" s="872"/>
      <c r="F45" s="872">
        <v>0</v>
      </c>
      <c r="G45" s="872"/>
      <c r="H45" s="872"/>
      <c r="I45" s="872"/>
      <c r="J45" s="872"/>
      <c r="K45" s="872"/>
      <c r="L45" s="872"/>
      <c r="M45" s="872"/>
      <c r="N45" s="872"/>
      <c r="O45" s="872"/>
      <c r="P45" s="872"/>
      <c r="Q45" s="872"/>
      <c r="R45" s="872"/>
      <c r="S45" s="873"/>
      <c r="T45" s="955"/>
      <c r="U45" s="2389"/>
      <c r="V45" s="2389"/>
      <c r="W45" s="748"/>
      <c r="X45" s="748"/>
      <c r="Y45" s="748"/>
      <c r="Z45" s="748"/>
      <c r="AA45" s="748"/>
      <c r="AB45" s="653"/>
      <c r="AC45" s="2373"/>
      <c r="AD45" s="866"/>
      <c r="AE45" s="653"/>
      <c r="AF45" s="653"/>
      <c r="AG45" s="748"/>
      <c r="AH45" s="748"/>
      <c r="AI45" s="748"/>
      <c r="AJ45" s="748"/>
      <c r="AK45" s="748"/>
      <c r="AL45" s="748"/>
      <c r="AM45" s="748"/>
      <c r="AN45" s="748"/>
      <c r="AO45" s="748"/>
      <c r="AP45" s="748"/>
      <c r="AQ45" s="748"/>
      <c r="AR45" s="748"/>
      <c r="AS45" s="748"/>
      <c r="AT45" s="748"/>
      <c r="AU45" s="748"/>
      <c r="AV45" s="748"/>
      <c r="AW45" s="748"/>
      <c r="AX45" s="748"/>
      <c r="AY45" s="748"/>
      <c r="AZ45" s="748"/>
      <c r="BA45" s="748"/>
      <c r="BB45" s="748"/>
      <c r="BC45" s="748"/>
      <c r="BD45" s="748"/>
      <c r="BE45" s="748"/>
      <c r="BF45" s="748"/>
      <c r="BG45" s="748"/>
      <c r="BH45" s="748"/>
      <c r="BI45" s="748"/>
      <c r="BJ45" s="748"/>
      <c r="BK45" s="748"/>
      <c r="BL45" s="748"/>
      <c r="BM45" s="748"/>
      <c r="BN45" s="748"/>
      <c r="BO45" s="748"/>
      <c r="BP45" s="748"/>
      <c r="BQ45" s="748"/>
      <c r="BR45" s="748"/>
      <c r="BS45" s="748"/>
      <c r="BT45" s="748"/>
      <c r="BU45" s="748"/>
      <c r="BV45" s="748"/>
      <c r="BW45" s="748"/>
      <c r="BX45" s="748"/>
      <c r="BY45" s="748"/>
      <c r="BZ45" s="748"/>
      <c r="CA45" s="748"/>
      <c r="CB45" s="748"/>
      <c r="CC45" s="748"/>
      <c r="CD45" s="748"/>
      <c r="CE45" s="748"/>
    </row>
    <row customHeight="1" ht="11.25" hidden="1">
      <c r="A46" s="870"/>
      <c r="B46" s="653"/>
      <c r="C46" s="648"/>
      <c r="D46" s="2391"/>
      <c r="E46" s="886" t="s">
        <v>17</v>
      </c>
      <c r="F46" s="887" t="s">
        <v>17</v>
      </c>
      <c r="G46" s="887" t="s">
        <v>1482</v>
      </c>
      <c r="H46" s="888" t="s">
        <v>17</v>
      </c>
      <c r="I46" s="888"/>
      <c r="J46" s="888"/>
      <c r="K46" s="888"/>
      <c r="L46" s="888"/>
      <c r="M46" s="888"/>
      <c r="N46" s="888"/>
      <c r="O46" s="888"/>
      <c r="P46" s="888"/>
      <c r="Q46" s="888"/>
      <c r="R46" s="889"/>
      <c r="S46" s="890"/>
      <c r="T46" s="955"/>
      <c r="U46" s="2389"/>
      <c r="V46" s="2389"/>
      <c r="W46" s="653"/>
      <c r="X46" s="653"/>
      <c r="Y46" s="653"/>
      <c r="Z46" s="653"/>
      <c r="AA46" s="748"/>
      <c r="AB46" s="653"/>
      <c r="AC46" s="2373"/>
      <c r="AD46" s="866"/>
      <c r="AE46" s="653"/>
      <c r="AF46" s="653"/>
      <c r="AG46" s="748"/>
      <c r="AH46" s="748"/>
      <c r="AI46" s="748"/>
      <c r="AJ46" s="748"/>
      <c r="AK46" s="748"/>
      <c r="AL46" s="748"/>
      <c r="AM46" s="748"/>
      <c r="AN46" s="748"/>
      <c r="AO46" s="748"/>
      <c r="AP46" s="748"/>
      <c r="AQ46" s="748"/>
      <c r="AR46" s="748"/>
      <c r="AS46" s="748"/>
      <c r="AT46" s="748"/>
      <c r="AU46" s="748"/>
      <c r="AV46" s="748"/>
      <c r="AW46" s="748"/>
      <c r="AX46" s="748"/>
      <c r="AY46" s="748"/>
      <c r="AZ46" s="748"/>
      <c r="BA46" s="748"/>
      <c r="BB46" s="748"/>
      <c r="BC46" s="748"/>
      <c r="BD46" s="748"/>
      <c r="BE46" s="748"/>
      <c r="BF46" s="748"/>
      <c r="BG46" s="748"/>
      <c r="BH46" s="748"/>
      <c r="BI46" s="748"/>
      <c r="BJ46" s="748"/>
      <c r="BK46" s="748"/>
      <c r="BL46" s="748"/>
      <c r="BM46" s="748"/>
      <c r="BN46" s="748"/>
      <c r="BO46" s="748"/>
      <c r="BP46" s="748"/>
      <c r="BQ46" s="748"/>
      <c r="BR46" s="748"/>
      <c r="BS46" s="748"/>
      <c r="BT46" s="748"/>
      <c r="BU46" s="748"/>
      <c r="BV46" s="653"/>
      <c r="BW46" s="653"/>
      <c r="BX46" s="653"/>
      <c r="BY46" s="653"/>
      <c r="BZ46" s="653"/>
      <c r="CA46" s="653"/>
      <c r="CB46" s="653"/>
      <c r="CC46" s="653"/>
      <c r="CD46" s="653"/>
      <c r="CE46" s="653"/>
    </row>
    <row customHeight="1" ht="5.25" hidden="1">
      <c r="A47" s="1277"/>
      <c r="B47" s="748"/>
      <c r="C47" s="748"/>
      <c r="D47" s="2391"/>
      <c r="E47" s="1297"/>
      <c r="F47" s="1297"/>
      <c r="G47" s="1297"/>
      <c r="H47" s="1297"/>
      <c r="I47" s="1297"/>
      <c r="J47" s="1297"/>
      <c r="K47" s="1297"/>
      <c r="L47" s="1297"/>
      <c r="M47" s="1297"/>
      <c r="N47" s="1297"/>
      <c r="O47" s="1297"/>
      <c r="P47" s="1297"/>
      <c r="Q47" s="1298"/>
      <c r="R47" s="1299"/>
      <c r="S47" s="1300"/>
      <c r="T47" s="954" t="s">
        <v>1480</v>
      </c>
      <c r="U47" s="2389">
        <v>1</v>
      </c>
      <c r="V47" s="2389" t="s">
        <v>1481</v>
      </c>
      <c r="W47" s="748"/>
      <c r="X47" s="748"/>
      <c r="Y47" s="748"/>
      <c r="Z47" s="748"/>
      <c r="AA47" s="748"/>
      <c r="AB47" s="748"/>
      <c r="AC47" s="1295"/>
      <c r="AD47" s="1296"/>
      <c r="AE47" s="748"/>
      <c r="AF47" s="748"/>
      <c r="AG47" s="748"/>
      <c r="AH47" s="748"/>
      <c r="AI47" s="748"/>
      <c r="AJ47" s="748"/>
      <c r="AK47" s="748"/>
      <c r="AL47" s="748"/>
      <c r="AM47" s="748"/>
      <c r="AN47" s="748"/>
      <c r="AO47" s="748"/>
      <c r="AP47" s="748"/>
      <c r="AQ47" s="748"/>
      <c r="AR47" s="748"/>
      <c r="AS47" s="748"/>
      <c r="AT47" s="748"/>
      <c r="AU47" s="748"/>
      <c r="AV47" s="748"/>
      <c r="AW47" s="748"/>
      <c r="AX47" s="748"/>
      <c r="AY47" s="748"/>
      <c r="AZ47" s="748"/>
      <c r="BA47" s="748"/>
      <c r="BB47" s="748"/>
      <c r="BC47" s="748"/>
      <c r="BD47" s="748"/>
      <c r="BE47" s="748"/>
      <c r="BF47" s="748"/>
      <c r="BG47" s="748"/>
      <c r="BH47" s="748"/>
      <c r="BI47" s="748"/>
      <c r="BJ47" s="748"/>
      <c r="BK47" s="748"/>
      <c r="BL47" s="748"/>
      <c r="BM47" s="748"/>
      <c r="BN47" s="748"/>
      <c r="BO47" s="748"/>
      <c r="BP47" s="748"/>
      <c r="BQ47" s="748"/>
      <c r="BR47" s="748"/>
      <c r="BS47" s="748"/>
      <c r="BT47" s="748"/>
      <c r="BU47" s="748"/>
      <c r="BV47" s="748"/>
      <c r="BW47" s="748"/>
      <c r="BX47" s="748"/>
      <c r="BY47" s="748"/>
      <c r="BZ47" s="748"/>
      <c r="CA47" s="748"/>
      <c r="CB47" s="748"/>
      <c r="CC47" s="748"/>
      <c r="CD47" s="748"/>
      <c r="CE47" s="748"/>
    </row>
    <row customHeight="1" ht="5.25" hidden="1">
      <c r="A48" s="1277"/>
      <c r="B48" s="748"/>
      <c r="C48" s="748"/>
      <c r="D48" s="2391"/>
      <c r="E48" s="872"/>
      <c r="F48" s="872"/>
      <c r="G48" s="872"/>
      <c r="H48" s="872"/>
      <c r="I48" s="872"/>
      <c r="J48" s="872"/>
      <c r="K48" s="872"/>
      <c r="L48" s="872"/>
      <c r="M48" s="872"/>
      <c r="N48" s="872"/>
      <c r="O48" s="872"/>
      <c r="P48" s="872"/>
      <c r="Q48" s="872"/>
      <c r="R48" s="872"/>
      <c r="S48" s="873"/>
      <c r="T48" s="955"/>
      <c r="U48" s="2389"/>
      <c r="V48" s="2389"/>
      <c r="W48" s="748"/>
      <c r="X48" s="748"/>
      <c r="Y48" s="748"/>
      <c r="Z48" s="748"/>
      <c r="AA48" s="748"/>
      <c r="AB48" s="748"/>
      <c r="AC48" s="1295"/>
      <c r="AD48" s="1296"/>
      <c r="AE48" s="748"/>
      <c r="AF48" s="748"/>
      <c r="AG48" s="748"/>
      <c r="AH48" s="748"/>
      <c r="AI48" s="748"/>
      <c r="AJ48" s="748"/>
      <c r="AK48" s="748"/>
      <c r="AL48" s="748"/>
      <c r="AM48" s="748"/>
      <c r="AN48" s="748"/>
      <c r="AO48" s="748"/>
      <c r="AP48" s="748"/>
      <c r="AQ48" s="748"/>
      <c r="AR48" s="748"/>
      <c r="AS48" s="748"/>
      <c r="AT48" s="748"/>
      <c r="AU48" s="748"/>
      <c r="AV48" s="748"/>
      <c r="AW48" s="748"/>
      <c r="AX48" s="748"/>
      <c r="AY48" s="748"/>
      <c r="AZ48" s="748"/>
      <c r="BA48" s="748"/>
      <c r="BB48" s="748"/>
      <c r="BC48" s="748"/>
      <c r="BD48" s="748"/>
      <c r="BE48" s="748"/>
      <c r="BF48" s="748"/>
      <c r="BG48" s="748"/>
      <c r="BH48" s="748"/>
      <c r="BI48" s="748"/>
      <c r="BJ48" s="748"/>
      <c r="BK48" s="748"/>
      <c r="BL48" s="748"/>
      <c r="BM48" s="748"/>
      <c r="BN48" s="748"/>
      <c r="BO48" s="748"/>
      <c r="BP48" s="748"/>
      <c r="BQ48" s="748"/>
      <c r="BR48" s="748"/>
      <c r="BS48" s="748"/>
      <c r="BT48" s="748"/>
      <c r="BU48" s="748"/>
      <c r="BV48" s="748"/>
      <c r="BW48" s="748"/>
      <c r="BX48" s="748"/>
      <c r="BY48" s="748"/>
      <c r="BZ48" s="748"/>
      <c r="CA48" s="748"/>
      <c r="CB48" s="748"/>
      <c r="CC48" s="748"/>
      <c r="CD48" s="748"/>
      <c r="CE48" s="748"/>
    </row>
    <row customHeight="1" ht="5.25" hidden="1">
      <c r="A49" s="1277"/>
      <c r="B49" s="748"/>
      <c r="C49" s="748"/>
      <c r="D49" s="2392"/>
      <c r="E49" s="1301"/>
      <c r="F49" s="1302"/>
      <c r="G49" s="1302"/>
      <c r="H49" s="1303"/>
      <c r="I49" s="1303"/>
      <c r="J49" s="1303"/>
      <c r="K49" s="1303"/>
      <c r="L49" s="1303"/>
      <c r="M49" s="1303"/>
      <c r="N49" s="1303"/>
      <c r="O49" s="1303"/>
      <c r="P49" s="1303"/>
      <c r="Q49" s="1303"/>
      <c r="R49" s="1202"/>
      <c r="S49" s="1304"/>
      <c r="T49" s="955"/>
      <c r="U49" s="2389"/>
      <c r="V49" s="2389"/>
      <c r="W49" s="748"/>
      <c r="X49" s="748"/>
      <c r="Y49" s="748"/>
      <c r="Z49" s="748"/>
      <c r="AA49" s="748"/>
      <c r="AB49" s="748"/>
      <c r="AC49" s="1295"/>
      <c r="AD49" s="1296"/>
      <c r="AE49" s="748"/>
      <c r="AF49" s="748"/>
      <c r="AG49" s="748"/>
      <c r="AH49" s="748"/>
      <c r="AI49" s="748"/>
      <c r="AJ49" s="748"/>
      <c r="AK49" s="748"/>
      <c r="AL49" s="748"/>
      <c r="AM49" s="748"/>
      <c r="AN49" s="748"/>
      <c r="AO49" s="748"/>
      <c r="AP49" s="748"/>
      <c r="AQ49" s="748"/>
      <c r="AR49" s="748"/>
      <c r="AS49" s="748"/>
      <c r="AT49" s="748"/>
      <c r="AU49" s="748"/>
      <c r="AV49" s="748"/>
      <c r="AW49" s="748"/>
      <c r="AX49" s="748"/>
      <c r="AY49" s="748"/>
      <c r="AZ49" s="748"/>
      <c r="BA49" s="748"/>
      <c r="BB49" s="748"/>
      <c r="BC49" s="748"/>
      <c r="BD49" s="748"/>
      <c r="BE49" s="748"/>
      <c r="BF49" s="748"/>
      <c r="BG49" s="748"/>
      <c r="BH49" s="748"/>
      <c r="BI49" s="748"/>
      <c r="BJ49" s="748"/>
      <c r="BK49" s="748"/>
      <c r="BL49" s="748"/>
      <c r="BM49" s="748"/>
      <c r="BN49" s="748"/>
      <c r="BO49" s="748"/>
      <c r="BP49" s="748"/>
      <c r="BQ49" s="748"/>
      <c r="BR49" s="748"/>
      <c r="BS49" s="748"/>
      <c r="BT49" s="748"/>
      <c r="BU49" s="748"/>
      <c r="BV49" s="748"/>
      <c r="BW49" s="748"/>
      <c r="BX49" s="748"/>
      <c r="BY49" s="748"/>
      <c r="BZ49" s="748"/>
      <c r="CA49" s="748"/>
      <c r="CB49" s="748"/>
      <c r="CC49" s="748"/>
      <c r="CD49" s="748"/>
      <c r="CE49" s="748"/>
    </row>
    <row customHeight="1" ht="15" hidden="1">
      <c r="A50" s="860" t="s">
        <v>129</v>
      </c>
      <c r="B50" s="861"/>
      <c r="C50" s="861" t="s">
        <v>17</v>
      </c>
      <c r="D50" s="2390" t="s">
        <v>1813</v>
      </c>
      <c r="E50" s="2374" t="s">
        <v>105</v>
      </c>
      <c r="F50" s="2375"/>
      <c r="G50" s="2376"/>
      <c r="H50" s="2377" t="str">
        <f>IF(A50="","",INDEX(DIFFERENTIATION_UNMERGE_VD,MATCH(A50,DIFFERENTIATION_ID_DIFF,0)))</f>
        <v>Производство тепловой энергии. Некомбинированная выработка</v>
      </c>
      <c r="I50" s="2377"/>
      <c r="J50" s="2377"/>
      <c r="K50" s="2377"/>
      <c r="L50" s="2377"/>
      <c r="M50" s="2377"/>
      <c r="N50" s="2377"/>
      <c r="O50" s="2377"/>
      <c r="P50" s="2377"/>
      <c r="Q50" s="2377"/>
      <c r="R50" s="2377"/>
      <c r="S50" s="956"/>
      <c r="T50" s="953"/>
      <c r="U50" s="862"/>
      <c r="V50" s="862"/>
      <c r="W50" s="863"/>
      <c r="X50" s="863"/>
      <c r="Y50" s="863"/>
      <c r="Z50" s="863"/>
      <c r="AA50" s="864"/>
      <c r="AB50" s="865"/>
      <c r="AC50" s="2373"/>
      <c r="AD50" s="866"/>
      <c r="AE50" s="867" t="s">
        <v>17</v>
      </c>
      <c r="AF50" s="867"/>
      <c r="AG50" s="868" t="s">
        <v>1475</v>
      </c>
      <c r="AH50" s="869">
        <v>3</v>
      </c>
      <c r="AI50" s="862"/>
      <c r="AJ50" s="862"/>
      <c r="AK50" s="862"/>
      <c r="AL50" s="862"/>
      <c r="AM50" s="862"/>
      <c r="AN50" s="862"/>
      <c r="AO50" s="862"/>
      <c r="AP50" s="862"/>
      <c r="AQ50" s="862"/>
      <c r="AR50" s="862"/>
      <c r="AS50" s="862"/>
      <c r="AT50" s="862"/>
      <c r="AU50" s="862"/>
      <c r="AV50" s="862"/>
      <c r="AW50" s="862"/>
      <c r="AX50" s="862"/>
      <c r="AY50" s="862"/>
      <c r="AZ50" s="862"/>
      <c r="BA50" s="862"/>
      <c r="BB50" s="862"/>
      <c r="BC50" s="862"/>
      <c r="BD50" s="862"/>
      <c r="BE50" s="862"/>
      <c r="BF50" s="862"/>
      <c r="BG50" s="862"/>
      <c r="BH50" s="862"/>
      <c r="BI50" s="862"/>
      <c r="BJ50" s="862"/>
      <c r="BK50" s="862"/>
      <c r="BL50" s="862"/>
      <c r="BM50" s="862"/>
      <c r="BN50" s="862"/>
      <c r="BO50" s="862"/>
      <c r="BP50" s="862"/>
      <c r="BQ50" s="862"/>
      <c r="BR50" s="862"/>
      <c r="BS50" s="862"/>
      <c r="BT50" s="862"/>
      <c r="BU50" s="862"/>
      <c r="BV50" s="863"/>
      <c r="BW50" s="863"/>
      <c r="BX50" s="863"/>
      <c r="BY50" s="863"/>
      <c r="BZ50" s="863"/>
      <c r="CA50" s="863"/>
      <c r="CB50" s="863"/>
      <c r="CC50" s="863"/>
      <c r="CD50" s="863"/>
      <c r="CE50" s="863"/>
    </row>
    <row customHeight="1" ht="15" hidden="1">
      <c r="A51" s="860"/>
      <c r="B51" s="861"/>
      <c r="C51" s="861"/>
      <c r="D51" s="2391"/>
      <c r="E51" s="2374" t="s">
        <v>1476</v>
      </c>
      <c r="F51" s="2375"/>
      <c r="G51" s="2376"/>
      <c r="H51" s="2377" t="str">
        <f>IF(A50="","",INDEX(DIFFERENTIATION_UNMERGE_AREA,MATCH(A50,DIFFERENTIATION_ID_DIFF,0)))</f>
        <v>Территория 1</v>
      </c>
      <c r="I51" s="2377"/>
      <c r="J51" s="2377"/>
      <c r="K51" s="2377"/>
      <c r="L51" s="2377"/>
      <c r="M51" s="2377"/>
      <c r="N51" s="2377"/>
      <c r="O51" s="2377"/>
      <c r="P51" s="2377"/>
      <c r="Q51" s="2377"/>
      <c r="R51" s="2377"/>
      <c r="S51" s="956"/>
      <c r="T51" s="953"/>
      <c r="U51" s="862"/>
      <c r="V51" s="862"/>
      <c r="W51" s="863"/>
      <c r="X51" s="863"/>
      <c r="Y51" s="863"/>
      <c r="Z51" s="863"/>
      <c r="AA51" s="864"/>
      <c r="AB51" s="865"/>
      <c r="AC51" s="2373"/>
      <c r="AD51" s="866"/>
      <c r="AE51" s="867"/>
      <c r="AF51" s="867"/>
      <c r="AG51" s="868"/>
      <c r="AH51" s="869"/>
      <c r="AI51" s="862"/>
      <c r="AJ51" s="862"/>
      <c r="AK51" s="862"/>
      <c r="AL51" s="862"/>
      <c r="AM51" s="862"/>
      <c r="AN51" s="862"/>
      <c r="AO51" s="862"/>
      <c r="AP51" s="862"/>
      <c r="AQ51" s="862"/>
      <c r="AR51" s="862"/>
      <c r="AS51" s="862"/>
      <c r="AT51" s="862"/>
      <c r="AU51" s="862"/>
      <c r="AV51" s="862"/>
      <c r="AW51" s="862"/>
      <c r="AX51" s="862"/>
      <c r="AY51" s="862"/>
      <c r="AZ51" s="862"/>
      <c r="BA51" s="862"/>
      <c r="BB51" s="862"/>
      <c r="BC51" s="862"/>
      <c r="BD51" s="862"/>
      <c r="BE51" s="862"/>
      <c r="BF51" s="862"/>
      <c r="BG51" s="862"/>
      <c r="BH51" s="862"/>
      <c r="BI51" s="862"/>
      <c r="BJ51" s="862"/>
      <c r="BK51" s="862"/>
      <c r="BL51" s="862"/>
      <c r="BM51" s="862"/>
      <c r="BN51" s="862"/>
      <c r="BO51" s="862"/>
      <c r="BP51" s="862"/>
      <c r="BQ51" s="862"/>
      <c r="BR51" s="862"/>
      <c r="BS51" s="862"/>
      <c r="BT51" s="862"/>
      <c r="BU51" s="862"/>
      <c r="BV51" s="863"/>
      <c r="BW51" s="863"/>
      <c r="BX51" s="863"/>
      <c r="BY51" s="863"/>
      <c r="BZ51" s="863"/>
      <c r="CA51" s="863"/>
      <c r="CB51" s="863"/>
      <c r="CC51" s="863"/>
      <c r="CD51" s="863"/>
      <c r="CE51" s="863"/>
    </row>
    <row customHeight="1" ht="15" hidden="1">
      <c r="A52" s="860"/>
      <c r="B52" s="861"/>
      <c r="C52" s="861"/>
      <c r="D52" s="2391"/>
      <c r="E52" s="2374" t="s">
        <v>1477</v>
      </c>
      <c r="F52" s="2375"/>
      <c r="G52" s="2376"/>
      <c r="H52" s="2377" t="str">
        <f>IF(A50="","",INDEX(DIFFERENTIATION_UNMERGE_SYSTEM,MATCH(A50,DIFFERENTIATION_ID_DIFF,0)))</f>
        <v>Котельная №5, Александр. Поле, около д.30 по ул.Советская </v>
      </c>
      <c r="I52" s="2377"/>
      <c r="J52" s="2377"/>
      <c r="K52" s="2377"/>
      <c r="L52" s="2377"/>
      <c r="M52" s="2377"/>
      <c r="N52" s="2377"/>
      <c r="O52" s="2377"/>
      <c r="P52" s="2377"/>
      <c r="Q52" s="2377"/>
      <c r="R52" s="2377"/>
      <c r="S52" s="956"/>
      <c r="T52" s="953"/>
      <c r="U52" s="862"/>
      <c r="V52" s="862"/>
      <c r="W52" s="863"/>
      <c r="X52" s="863"/>
      <c r="Y52" s="863"/>
      <c r="Z52" s="863"/>
      <c r="AA52" s="864"/>
      <c r="AB52" s="865"/>
      <c r="AC52" s="2373"/>
      <c r="AD52" s="866"/>
      <c r="AE52" s="867"/>
      <c r="AF52" s="867"/>
      <c r="AG52" s="868"/>
      <c r="AH52" s="869"/>
      <c r="AI52" s="862"/>
      <c r="AJ52" s="862"/>
      <c r="AK52" s="862"/>
      <c r="AL52" s="862"/>
      <c r="AM52" s="862"/>
      <c r="AN52" s="862"/>
      <c r="AO52" s="862"/>
      <c r="AP52" s="862"/>
      <c r="AQ52" s="862"/>
      <c r="AR52" s="862"/>
      <c r="AS52" s="862"/>
      <c r="AT52" s="862"/>
      <c r="AU52" s="862"/>
      <c r="AV52" s="862"/>
      <c r="AW52" s="862"/>
      <c r="AX52" s="862"/>
      <c r="AY52" s="862"/>
      <c r="AZ52" s="862"/>
      <c r="BA52" s="862"/>
      <c r="BB52" s="862"/>
      <c r="BC52" s="862"/>
      <c r="BD52" s="862"/>
      <c r="BE52" s="862"/>
      <c r="BF52" s="862"/>
      <c r="BG52" s="862"/>
      <c r="BH52" s="862"/>
      <c r="BI52" s="862"/>
      <c r="BJ52" s="862"/>
      <c r="BK52" s="862"/>
      <c r="BL52" s="862"/>
      <c r="BM52" s="862"/>
      <c r="BN52" s="862"/>
      <c r="BO52" s="862"/>
      <c r="BP52" s="862"/>
      <c r="BQ52" s="862"/>
      <c r="BR52" s="862"/>
      <c r="BS52" s="862"/>
      <c r="BT52" s="862"/>
      <c r="BU52" s="862"/>
      <c r="BV52" s="863"/>
      <c r="BW52" s="863"/>
      <c r="BX52" s="863"/>
      <c r="BY52" s="863"/>
      <c r="BZ52" s="863"/>
      <c r="CA52" s="863"/>
      <c r="CB52" s="863"/>
      <c r="CC52" s="863"/>
      <c r="CD52" s="863"/>
      <c r="CE52" s="863"/>
    </row>
    <row customHeight="1" ht="24.75" hidden="1">
      <c r="A53" s="870"/>
      <c r="B53" s="653"/>
      <c r="C53" s="648"/>
      <c r="D53" s="2391"/>
      <c r="E53" s="2388" t="s">
        <v>1478</v>
      </c>
      <c r="F53" s="2388"/>
      <c r="G53" s="2388"/>
      <c r="H53" s="2388"/>
      <c r="I53" s="2388"/>
      <c r="J53" s="2388"/>
      <c r="K53" s="2388"/>
      <c r="L53" s="2388"/>
      <c r="M53" s="2388"/>
      <c r="N53" s="2388"/>
      <c r="O53" s="2388"/>
      <c r="P53" s="2388"/>
      <c r="Q53" s="795">
        <f>SUMIF(T54:T55,"i",Q54:Q55)</f>
        <v>0</v>
      </c>
      <c r="R53" s="1273"/>
      <c r="S53" s="1278" t="s">
        <v>1479</v>
      </c>
      <c r="T53" s="954" t="s">
        <v>1480</v>
      </c>
      <c r="U53" s="2389">
        <v>1</v>
      </c>
      <c r="V53" s="2389" t="s">
        <v>1481</v>
      </c>
      <c r="W53" s="653"/>
      <c r="X53" s="653"/>
      <c r="Y53" s="653"/>
      <c r="Z53" s="653"/>
      <c r="AA53" s="748"/>
      <c r="AB53" s="653"/>
      <c r="AC53" s="2373"/>
      <c r="AD53" s="866"/>
      <c r="AE53" s="653"/>
      <c r="AF53" s="653"/>
      <c r="AG53" s="748"/>
      <c r="AH53" s="748"/>
      <c r="AI53" s="748"/>
      <c r="AJ53" s="748"/>
      <c r="AK53" s="748"/>
      <c r="AL53" s="748"/>
      <c r="AM53" s="748"/>
      <c r="AN53" s="748"/>
      <c r="AO53" s="748"/>
      <c r="AP53" s="748"/>
      <c r="AQ53" s="748"/>
      <c r="AR53" s="748"/>
      <c r="AS53" s="748"/>
      <c r="AT53" s="748"/>
      <c r="AU53" s="748"/>
      <c r="AV53" s="748"/>
      <c r="AW53" s="748"/>
      <c r="AX53" s="748"/>
      <c r="AY53" s="748"/>
      <c r="AZ53" s="748"/>
      <c r="BA53" s="748"/>
      <c r="BB53" s="748"/>
      <c r="BC53" s="748"/>
      <c r="BD53" s="748"/>
      <c r="BE53" s="748"/>
      <c r="BF53" s="748"/>
      <c r="BG53" s="748"/>
      <c r="BH53" s="748"/>
      <c r="BI53" s="748"/>
      <c r="BJ53" s="748"/>
      <c r="BK53" s="748"/>
      <c r="BL53" s="748"/>
      <c r="BM53" s="748"/>
      <c r="BN53" s="748"/>
      <c r="BO53" s="748"/>
      <c r="BP53" s="748"/>
      <c r="BQ53" s="748"/>
      <c r="BR53" s="748"/>
      <c r="BS53" s="748"/>
      <c r="BT53" s="748"/>
      <c r="BU53" s="748"/>
      <c r="BV53" s="653"/>
      <c r="BW53" s="653"/>
      <c r="BX53" s="653"/>
      <c r="BY53" s="653"/>
      <c r="BZ53" s="653"/>
      <c r="CA53" s="653"/>
      <c r="CB53" s="653"/>
      <c r="CC53" s="653"/>
      <c r="CD53" s="653"/>
      <c r="CE53" s="653"/>
    </row>
    <row customHeight="1" ht="11.25" hidden="1">
      <c r="A54" s="1277"/>
      <c r="B54" s="748"/>
      <c r="C54" s="748"/>
      <c r="D54" s="2391"/>
      <c r="E54" s="872"/>
      <c r="F54" s="872">
        <v>0</v>
      </c>
      <c r="G54" s="872"/>
      <c r="H54" s="872"/>
      <c r="I54" s="872"/>
      <c r="J54" s="872"/>
      <c r="K54" s="872"/>
      <c r="L54" s="872"/>
      <c r="M54" s="872"/>
      <c r="N54" s="872"/>
      <c r="O54" s="872"/>
      <c r="P54" s="872"/>
      <c r="Q54" s="872"/>
      <c r="R54" s="872"/>
      <c r="S54" s="873"/>
      <c r="T54" s="955"/>
      <c r="U54" s="2389"/>
      <c r="V54" s="2389"/>
      <c r="W54" s="748"/>
      <c r="X54" s="748"/>
      <c r="Y54" s="748"/>
      <c r="Z54" s="748"/>
      <c r="AA54" s="748"/>
      <c r="AB54" s="653"/>
      <c r="AC54" s="2373"/>
      <c r="AD54" s="866"/>
      <c r="AE54" s="653"/>
      <c r="AF54" s="653"/>
      <c r="AG54" s="748"/>
      <c r="AH54" s="748"/>
      <c r="AI54" s="748"/>
      <c r="AJ54" s="748"/>
      <c r="AK54" s="748"/>
      <c r="AL54" s="748"/>
      <c r="AM54" s="748"/>
      <c r="AN54" s="748"/>
      <c r="AO54" s="748"/>
      <c r="AP54" s="748"/>
      <c r="AQ54" s="748"/>
      <c r="AR54" s="748"/>
      <c r="AS54" s="748"/>
      <c r="AT54" s="748"/>
      <c r="AU54" s="748"/>
      <c r="AV54" s="748"/>
      <c r="AW54" s="748"/>
      <c r="AX54" s="748"/>
      <c r="AY54" s="748"/>
      <c r="AZ54" s="748"/>
      <c r="BA54" s="748"/>
      <c r="BB54" s="748"/>
      <c r="BC54" s="748"/>
      <c r="BD54" s="748"/>
      <c r="BE54" s="748"/>
      <c r="BF54" s="748"/>
      <c r="BG54" s="748"/>
      <c r="BH54" s="748"/>
      <c r="BI54" s="748"/>
      <c r="BJ54" s="748"/>
      <c r="BK54" s="748"/>
      <c r="BL54" s="748"/>
      <c r="BM54" s="748"/>
      <c r="BN54" s="748"/>
      <c r="BO54" s="748"/>
      <c r="BP54" s="748"/>
      <c r="BQ54" s="748"/>
      <c r="BR54" s="748"/>
      <c r="BS54" s="748"/>
      <c r="BT54" s="748"/>
      <c r="BU54" s="748"/>
      <c r="BV54" s="748"/>
      <c r="BW54" s="748"/>
      <c r="BX54" s="748"/>
      <c r="BY54" s="748"/>
      <c r="BZ54" s="748"/>
      <c r="CA54" s="748"/>
      <c r="CB54" s="748"/>
      <c r="CC54" s="748"/>
      <c r="CD54" s="748"/>
      <c r="CE54" s="748"/>
    </row>
    <row customHeight="1" ht="11.25" hidden="1">
      <c r="A55" s="870"/>
      <c r="B55" s="653"/>
      <c r="C55" s="648"/>
      <c r="D55" s="2391"/>
      <c r="E55" s="886" t="s">
        <v>17</v>
      </c>
      <c r="F55" s="887" t="s">
        <v>17</v>
      </c>
      <c r="G55" s="887" t="s">
        <v>1482</v>
      </c>
      <c r="H55" s="888" t="s">
        <v>17</v>
      </c>
      <c r="I55" s="888"/>
      <c r="J55" s="888"/>
      <c r="K55" s="888"/>
      <c r="L55" s="888"/>
      <c r="M55" s="888"/>
      <c r="N55" s="888"/>
      <c r="O55" s="888"/>
      <c r="P55" s="888"/>
      <c r="Q55" s="888"/>
      <c r="R55" s="889"/>
      <c r="S55" s="890"/>
      <c r="T55" s="955"/>
      <c r="U55" s="2389"/>
      <c r="V55" s="2389"/>
      <c r="W55" s="653"/>
      <c r="X55" s="653"/>
      <c r="Y55" s="653"/>
      <c r="Z55" s="653"/>
      <c r="AA55" s="748"/>
      <c r="AB55" s="653"/>
      <c r="AC55" s="2373"/>
      <c r="AD55" s="866"/>
      <c r="AE55" s="653"/>
      <c r="AF55" s="653"/>
      <c r="AG55" s="748"/>
      <c r="AH55" s="748"/>
      <c r="AI55" s="748"/>
      <c r="AJ55" s="748"/>
      <c r="AK55" s="748"/>
      <c r="AL55" s="748"/>
      <c r="AM55" s="748"/>
      <c r="AN55" s="748"/>
      <c r="AO55" s="748"/>
      <c r="AP55" s="748"/>
      <c r="AQ55" s="748"/>
      <c r="AR55" s="748"/>
      <c r="AS55" s="748"/>
      <c r="AT55" s="748"/>
      <c r="AU55" s="748"/>
      <c r="AV55" s="748"/>
      <c r="AW55" s="748"/>
      <c r="AX55" s="748"/>
      <c r="AY55" s="748"/>
      <c r="AZ55" s="748"/>
      <c r="BA55" s="748"/>
      <c r="BB55" s="748"/>
      <c r="BC55" s="748"/>
      <c r="BD55" s="748"/>
      <c r="BE55" s="748"/>
      <c r="BF55" s="748"/>
      <c r="BG55" s="748"/>
      <c r="BH55" s="748"/>
      <c r="BI55" s="748"/>
      <c r="BJ55" s="748"/>
      <c r="BK55" s="748"/>
      <c r="BL55" s="748"/>
      <c r="BM55" s="748"/>
      <c r="BN55" s="748"/>
      <c r="BO55" s="748"/>
      <c r="BP55" s="748"/>
      <c r="BQ55" s="748"/>
      <c r="BR55" s="748"/>
      <c r="BS55" s="748"/>
      <c r="BT55" s="748"/>
      <c r="BU55" s="748"/>
      <c r="BV55" s="653"/>
      <c r="BW55" s="653"/>
      <c r="BX55" s="653"/>
      <c r="BY55" s="653"/>
      <c r="BZ55" s="653"/>
      <c r="CA55" s="653"/>
      <c r="CB55" s="653"/>
      <c r="CC55" s="653"/>
      <c r="CD55" s="653"/>
      <c r="CE55" s="653"/>
    </row>
    <row customHeight="1" ht="5.25" hidden="1">
      <c r="A56" s="1277"/>
      <c r="B56" s="748"/>
      <c r="C56" s="748"/>
      <c r="D56" s="2391"/>
      <c r="E56" s="1297"/>
      <c r="F56" s="1297"/>
      <c r="G56" s="1297"/>
      <c r="H56" s="1297"/>
      <c r="I56" s="1297"/>
      <c r="J56" s="1297"/>
      <c r="K56" s="1297"/>
      <c r="L56" s="1297"/>
      <c r="M56" s="1297"/>
      <c r="N56" s="1297"/>
      <c r="O56" s="1297"/>
      <c r="P56" s="1297"/>
      <c r="Q56" s="1298"/>
      <c r="R56" s="1299"/>
      <c r="S56" s="1300"/>
      <c r="T56" s="954" t="s">
        <v>1480</v>
      </c>
      <c r="U56" s="2389">
        <v>1</v>
      </c>
      <c r="V56" s="2389" t="s">
        <v>1481</v>
      </c>
      <c r="W56" s="748"/>
      <c r="X56" s="748"/>
      <c r="Y56" s="748"/>
      <c r="Z56" s="748"/>
      <c r="AA56" s="748"/>
      <c r="AB56" s="748"/>
      <c r="AC56" s="1295"/>
      <c r="AD56" s="1296"/>
      <c r="AE56" s="748"/>
      <c r="AF56" s="748"/>
      <c r="AG56" s="748"/>
      <c r="AH56" s="748"/>
      <c r="AI56" s="748"/>
      <c r="AJ56" s="748"/>
      <c r="AK56" s="748"/>
      <c r="AL56" s="748"/>
      <c r="AM56" s="748"/>
      <c r="AN56" s="748"/>
      <c r="AO56" s="748"/>
      <c r="AP56" s="748"/>
      <c r="AQ56" s="748"/>
      <c r="AR56" s="748"/>
      <c r="AS56" s="748"/>
      <c r="AT56" s="748"/>
      <c r="AU56" s="748"/>
      <c r="AV56" s="748"/>
      <c r="AW56" s="748"/>
      <c r="AX56" s="748"/>
      <c r="AY56" s="748"/>
      <c r="AZ56" s="748"/>
      <c r="BA56" s="748"/>
      <c r="BB56" s="748"/>
      <c r="BC56" s="748"/>
      <c r="BD56" s="748"/>
      <c r="BE56" s="748"/>
      <c r="BF56" s="748"/>
      <c r="BG56" s="748"/>
      <c r="BH56" s="748"/>
      <c r="BI56" s="748"/>
      <c r="BJ56" s="748"/>
      <c r="BK56" s="748"/>
      <c r="BL56" s="748"/>
      <c r="BM56" s="748"/>
      <c r="BN56" s="748"/>
      <c r="BO56" s="748"/>
      <c r="BP56" s="748"/>
      <c r="BQ56" s="748"/>
      <c r="BR56" s="748"/>
      <c r="BS56" s="748"/>
      <c r="BT56" s="748"/>
      <c r="BU56" s="748"/>
      <c r="BV56" s="748"/>
      <c r="BW56" s="748"/>
      <c r="BX56" s="748"/>
      <c r="BY56" s="748"/>
      <c r="BZ56" s="748"/>
      <c r="CA56" s="748"/>
      <c r="CB56" s="748"/>
      <c r="CC56" s="748"/>
      <c r="CD56" s="748"/>
      <c r="CE56" s="748"/>
    </row>
    <row customHeight="1" ht="5.25" hidden="1">
      <c r="A57" s="1277"/>
      <c r="B57" s="748"/>
      <c r="C57" s="748"/>
      <c r="D57" s="2391"/>
      <c r="E57" s="872"/>
      <c r="F57" s="872"/>
      <c r="G57" s="872"/>
      <c r="H57" s="872"/>
      <c r="I57" s="872"/>
      <c r="J57" s="872"/>
      <c r="K57" s="872"/>
      <c r="L57" s="872"/>
      <c r="M57" s="872"/>
      <c r="N57" s="872"/>
      <c r="O57" s="872"/>
      <c r="P57" s="872"/>
      <c r="Q57" s="872"/>
      <c r="R57" s="872"/>
      <c r="S57" s="873"/>
      <c r="T57" s="955"/>
      <c r="U57" s="2389"/>
      <c r="V57" s="2389"/>
      <c r="W57" s="748"/>
      <c r="X57" s="748"/>
      <c r="Y57" s="748"/>
      <c r="Z57" s="748"/>
      <c r="AA57" s="748"/>
      <c r="AB57" s="748"/>
      <c r="AC57" s="1295"/>
      <c r="AD57" s="1296"/>
      <c r="AE57" s="748"/>
      <c r="AF57" s="748"/>
      <c r="AG57" s="748"/>
      <c r="AH57" s="748"/>
      <c r="AI57" s="748"/>
      <c r="AJ57" s="748"/>
      <c r="AK57" s="748"/>
      <c r="AL57" s="748"/>
      <c r="AM57" s="748"/>
      <c r="AN57" s="748"/>
      <c r="AO57" s="748"/>
      <c r="AP57" s="748"/>
      <c r="AQ57" s="748"/>
      <c r="AR57" s="748"/>
      <c r="AS57" s="748"/>
      <c r="AT57" s="748"/>
      <c r="AU57" s="748"/>
      <c r="AV57" s="748"/>
      <c r="AW57" s="748"/>
      <c r="AX57" s="748"/>
      <c r="AY57" s="748"/>
      <c r="AZ57" s="748"/>
      <c r="BA57" s="748"/>
      <c r="BB57" s="748"/>
      <c r="BC57" s="748"/>
      <c r="BD57" s="748"/>
      <c r="BE57" s="748"/>
      <c r="BF57" s="748"/>
      <c r="BG57" s="748"/>
      <c r="BH57" s="748"/>
      <c r="BI57" s="748"/>
      <c r="BJ57" s="748"/>
      <c r="BK57" s="748"/>
      <c r="BL57" s="748"/>
      <c r="BM57" s="748"/>
      <c r="BN57" s="748"/>
      <c r="BO57" s="748"/>
      <c r="BP57" s="748"/>
      <c r="BQ57" s="748"/>
      <c r="BR57" s="748"/>
      <c r="BS57" s="748"/>
      <c r="BT57" s="748"/>
      <c r="BU57" s="748"/>
      <c r="BV57" s="748"/>
      <c r="BW57" s="748"/>
      <c r="BX57" s="748"/>
      <c r="BY57" s="748"/>
      <c r="BZ57" s="748"/>
      <c r="CA57" s="748"/>
      <c r="CB57" s="748"/>
      <c r="CC57" s="748"/>
      <c r="CD57" s="748"/>
      <c r="CE57" s="748"/>
    </row>
    <row customHeight="1" ht="5.25" hidden="1">
      <c r="A58" s="1277"/>
      <c r="B58" s="748"/>
      <c r="C58" s="748"/>
      <c r="D58" s="2392"/>
      <c r="E58" s="1301"/>
      <c r="F58" s="1302"/>
      <c r="G58" s="1302"/>
      <c r="H58" s="1303"/>
      <c r="I58" s="1303"/>
      <c r="J58" s="1303"/>
      <c r="K58" s="1303"/>
      <c r="L58" s="1303"/>
      <c r="M58" s="1303"/>
      <c r="N58" s="1303"/>
      <c r="O58" s="1303"/>
      <c r="P58" s="1303"/>
      <c r="Q58" s="1303"/>
      <c r="R58" s="1202"/>
      <c r="S58" s="1304"/>
      <c r="T58" s="955"/>
      <c r="U58" s="2389"/>
      <c r="V58" s="2389"/>
      <c r="W58" s="748"/>
      <c r="X58" s="748"/>
      <c r="Y58" s="748"/>
      <c r="Z58" s="748"/>
      <c r="AA58" s="748"/>
      <c r="AB58" s="748"/>
      <c r="AC58" s="1295"/>
      <c r="AD58" s="1296"/>
      <c r="AE58" s="748"/>
      <c r="AF58" s="748"/>
      <c r="AG58" s="748"/>
      <c r="AH58" s="748"/>
      <c r="AI58" s="748"/>
      <c r="AJ58" s="748"/>
      <c r="AK58" s="748"/>
      <c r="AL58" s="748"/>
      <c r="AM58" s="748"/>
      <c r="AN58" s="748"/>
      <c r="AO58" s="748"/>
      <c r="AP58" s="748"/>
      <c r="AQ58" s="748"/>
      <c r="AR58" s="748"/>
      <c r="AS58" s="748"/>
      <c r="AT58" s="748"/>
      <c r="AU58" s="748"/>
      <c r="AV58" s="748"/>
      <c r="AW58" s="748"/>
      <c r="AX58" s="748"/>
      <c r="AY58" s="748"/>
      <c r="AZ58" s="748"/>
      <c r="BA58" s="748"/>
      <c r="BB58" s="748"/>
      <c r="BC58" s="748"/>
      <c r="BD58" s="748"/>
      <c r="BE58" s="748"/>
      <c r="BF58" s="748"/>
      <c r="BG58" s="748"/>
      <c r="BH58" s="748"/>
      <c r="BI58" s="748"/>
      <c r="BJ58" s="748"/>
      <c r="BK58" s="748"/>
      <c r="BL58" s="748"/>
      <c r="BM58" s="748"/>
      <c r="BN58" s="748"/>
      <c r="BO58" s="748"/>
      <c r="BP58" s="748"/>
      <c r="BQ58" s="748"/>
      <c r="BR58" s="748"/>
      <c r="BS58" s="748"/>
      <c r="BT58" s="748"/>
      <c r="BU58" s="748"/>
      <c r="BV58" s="748"/>
      <c r="BW58" s="748"/>
      <c r="BX58" s="748"/>
      <c r="BY58" s="748"/>
      <c r="BZ58" s="748"/>
      <c r="CA58" s="748"/>
      <c r="CB58" s="748"/>
      <c r="CC58" s="748"/>
      <c r="CD58" s="748"/>
      <c r="CE58" s="748"/>
    </row>
    <row customHeight="1" ht="15" hidden="1">
      <c r="A59" s="860" t="s">
        <v>131</v>
      </c>
      <c r="B59" s="861"/>
      <c r="C59" s="861" t="s">
        <v>17</v>
      </c>
      <c r="D59" s="2390" t="s">
        <v>1814</v>
      </c>
      <c r="E59" s="2374" t="s">
        <v>105</v>
      </c>
      <c r="F59" s="2375"/>
      <c r="G59" s="2376"/>
      <c r="H59" s="2377" t="str">
        <f>IF(A59="","",INDEX(DIFFERENTIATION_UNMERGE_VD,MATCH(A59,DIFFERENTIATION_ID_DIFF,0)))</f>
        <v>Производство тепловой энергии. Некомбинированная выработка</v>
      </c>
      <c r="I59" s="2377"/>
      <c r="J59" s="2377"/>
      <c r="K59" s="2377"/>
      <c r="L59" s="2377"/>
      <c r="M59" s="2377"/>
      <c r="N59" s="2377"/>
      <c r="O59" s="2377"/>
      <c r="P59" s="2377"/>
      <c r="Q59" s="2377"/>
      <c r="R59" s="2377"/>
      <c r="S59" s="956"/>
      <c r="T59" s="953"/>
      <c r="U59" s="862"/>
      <c r="V59" s="862"/>
      <c r="W59" s="863"/>
      <c r="X59" s="863"/>
      <c r="Y59" s="863"/>
      <c r="Z59" s="863"/>
      <c r="AA59" s="864"/>
      <c r="AB59" s="865"/>
      <c r="AC59" s="2373"/>
      <c r="AD59" s="866"/>
      <c r="AE59" s="867" t="s">
        <v>17</v>
      </c>
      <c r="AF59" s="867"/>
      <c r="AG59" s="868" t="s">
        <v>1475</v>
      </c>
      <c r="AH59" s="869">
        <v>3</v>
      </c>
      <c r="AI59" s="862"/>
      <c r="AJ59" s="862"/>
      <c r="AK59" s="862"/>
      <c r="AL59" s="862"/>
      <c r="AM59" s="862"/>
      <c r="AN59" s="862"/>
      <c r="AO59" s="862"/>
      <c r="AP59" s="862"/>
      <c r="AQ59" s="862"/>
      <c r="AR59" s="862"/>
      <c r="AS59" s="862"/>
      <c r="AT59" s="862"/>
      <c r="AU59" s="862"/>
      <c r="AV59" s="862"/>
      <c r="AW59" s="862"/>
      <c r="AX59" s="862"/>
      <c r="AY59" s="862"/>
      <c r="AZ59" s="862"/>
      <c r="BA59" s="862"/>
      <c r="BB59" s="862"/>
      <c r="BC59" s="862"/>
      <c r="BD59" s="862"/>
      <c r="BE59" s="862"/>
      <c r="BF59" s="862"/>
      <c r="BG59" s="862"/>
      <c r="BH59" s="862"/>
      <c r="BI59" s="862"/>
      <c r="BJ59" s="862"/>
      <c r="BK59" s="862"/>
      <c r="BL59" s="862"/>
      <c r="BM59" s="862"/>
      <c r="BN59" s="862"/>
      <c r="BO59" s="862"/>
      <c r="BP59" s="862"/>
      <c r="BQ59" s="862"/>
      <c r="BR59" s="862"/>
      <c r="BS59" s="862"/>
      <c r="BT59" s="862"/>
      <c r="BU59" s="862"/>
      <c r="BV59" s="863"/>
      <c r="BW59" s="863"/>
      <c r="BX59" s="863"/>
      <c r="BY59" s="863"/>
      <c r="BZ59" s="863"/>
      <c r="CA59" s="863"/>
      <c r="CB59" s="863"/>
      <c r="CC59" s="863"/>
      <c r="CD59" s="863"/>
      <c r="CE59" s="863"/>
    </row>
    <row customHeight="1" ht="15" hidden="1">
      <c r="A60" s="860"/>
      <c r="B60" s="861"/>
      <c r="C60" s="861"/>
      <c r="D60" s="2391"/>
      <c r="E60" s="2374" t="s">
        <v>1476</v>
      </c>
      <c r="F60" s="2375"/>
      <c r="G60" s="2376"/>
      <c r="H60" s="2377" t="str">
        <f>IF(A59="","",INDEX(DIFFERENTIATION_UNMERGE_AREA,MATCH(A59,DIFFERENTIATION_ID_DIFF,0)))</f>
        <v>Территория 1</v>
      </c>
      <c r="I60" s="2377"/>
      <c r="J60" s="2377"/>
      <c r="K60" s="2377"/>
      <c r="L60" s="2377"/>
      <c r="M60" s="2377"/>
      <c r="N60" s="2377"/>
      <c r="O60" s="2377"/>
      <c r="P60" s="2377"/>
      <c r="Q60" s="2377"/>
      <c r="R60" s="2377"/>
      <c r="S60" s="956"/>
      <c r="T60" s="953"/>
      <c r="U60" s="862"/>
      <c r="V60" s="862"/>
      <c r="W60" s="863"/>
      <c r="X60" s="863"/>
      <c r="Y60" s="863"/>
      <c r="Z60" s="863"/>
      <c r="AA60" s="864"/>
      <c r="AB60" s="865"/>
      <c r="AC60" s="2373"/>
      <c r="AD60" s="866"/>
      <c r="AE60" s="867"/>
      <c r="AF60" s="867"/>
      <c r="AG60" s="868"/>
      <c r="AH60" s="869"/>
      <c r="AI60" s="862"/>
      <c r="AJ60" s="862"/>
      <c r="AK60" s="862"/>
      <c r="AL60" s="862"/>
      <c r="AM60" s="862"/>
      <c r="AN60" s="862"/>
      <c r="AO60" s="862"/>
      <c r="AP60" s="862"/>
      <c r="AQ60" s="862"/>
      <c r="AR60" s="862"/>
      <c r="AS60" s="862"/>
      <c r="AT60" s="862"/>
      <c r="AU60" s="862"/>
      <c r="AV60" s="862"/>
      <c r="AW60" s="862"/>
      <c r="AX60" s="862"/>
      <c r="AY60" s="862"/>
      <c r="AZ60" s="862"/>
      <c r="BA60" s="862"/>
      <c r="BB60" s="862"/>
      <c r="BC60" s="862"/>
      <c r="BD60" s="862"/>
      <c r="BE60" s="862"/>
      <c r="BF60" s="862"/>
      <c r="BG60" s="862"/>
      <c r="BH60" s="862"/>
      <c r="BI60" s="862"/>
      <c r="BJ60" s="862"/>
      <c r="BK60" s="862"/>
      <c r="BL60" s="862"/>
      <c r="BM60" s="862"/>
      <c r="BN60" s="862"/>
      <c r="BO60" s="862"/>
      <c r="BP60" s="862"/>
      <c r="BQ60" s="862"/>
      <c r="BR60" s="862"/>
      <c r="BS60" s="862"/>
      <c r="BT60" s="862"/>
      <c r="BU60" s="862"/>
      <c r="BV60" s="863"/>
      <c r="BW60" s="863"/>
      <c r="BX60" s="863"/>
      <c r="BY60" s="863"/>
      <c r="BZ60" s="863"/>
      <c r="CA60" s="863"/>
      <c r="CB60" s="863"/>
      <c r="CC60" s="863"/>
      <c r="CD60" s="863"/>
      <c r="CE60" s="863"/>
    </row>
    <row customHeight="1" ht="15" hidden="1">
      <c r="A61" s="860"/>
      <c r="B61" s="861"/>
      <c r="C61" s="861"/>
      <c r="D61" s="2391"/>
      <c r="E61" s="2374" t="s">
        <v>1477</v>
      </c>
      <c r="F61" s="2375"/>
      <c r="G61" s="2376"/>
      <c r="H61" s="2377" t="str">
        <f>IF(A59="","",INDEX(DIFFERENTIATION_UNMERGE_SYSTEM,MATCH(A59,DIFFERENTIATION_ID_DIFF,0)))</f>
        <v>Котельная №6, ул.Пушкина </v>
      </c>
      <c r="I61" s="2377"/>
      <c r="J61" s="2377"/>
      <c r="K61" s="2377"/>
      <c r="L61" s="2377"/>
      <c r="M61" s="2377"/>
      <c r="N61" s="2377"/>
      <c r="O61" s="2377"/>
      <c r="P61" s="2377"/>
      <c r="Q61" s="2377"/>
      <c r="R61" s="2377"/>
      <c r="S61" s="956"/>
      <c r="T61" s="953"/>
      <c r="U61" s="862"/>
      <c r="V61" s="862"/>
      <c r="W61" s="863"/>
      <c r="X61" s="863"/>
      <c r="Y61" s="863"/>
      <c r="Z61" s="863"/>
      <c r="AA61" s="864"/>
      <c r="AB61" s="865"/>
      <c r="AC61" s="2373"/>
      <c r="AD61" s="866"/>
      <c r="AE61" s="867"/>
      <c r="AF61" s="867"/>
      <c r="AG61" s="868"/>
      <c r="AH61" s="869"/>
      <c r="AI61" s="862"/>
      <c r="AJ61" s="862"/>
      <c r="AK61" s="862"/>
      <c r="AL61" s="862"/>
      <c r="AM61" s="862"/>
      <c r="AN61" s="862"/>
      <c r="AO61" s="862"/>
      <c r="AP61" s="862"/>
      <c r="AQ61" s="862"/>
      <c r="AR61" s="862"/>
      <c r="AS61" s="862"/>
      <c r="AT61" s="862"/>
      <c r="AU61" s="862"/>
      <c r="AV61" s="862"/>
      <c r="AW61" s="862"/>
      <c r="AX61" s="862"/>
      <c r="AY61" s="862"/>
      <c r="AZ61" s="862"/>
      <c r="BA61" s="862"/>
      <c r="BB61" s="862"/>
      <c r="BC61" s="862"/>
      <c r="BD61" s="862"/>
      <c r="BE61" s="862"/>
      <c r="BF61" s="862"/>
      <c r="BG61" s="862"/>
      <c r="BH61" s="862"/>
      <c r="BI61" s="862"/>
      <c r="BJ61" s="862"/>
      <c r="BK61" s="862"/>
      <c r="BL61" s="862"/>
      <c r="BM61" s="862"/>
      <c r="BN61" s="862"/>
      <c r="BO61" s="862"/>
      <c r="BP61" s="862"/>
      <c r="BQ61" s="862"/>
      <c r="BR61" s="862"/>
      <c r="BS61" s="862"/>
      <c r="BT61" s="862"/>
      <c r="BU61" s="862"/>
      <c r="BV61" s="863"/>
      <c r="BW61" s="863"/>
      <c r="BX61" s="863"/>
      <c r="BY61" s="863"/>
      <c r="BZ61" s="863"/>
      <c r="CA61" s="863"/>
      <c r="CB61" s="863"/>
      <c r="CC61" s="863"/>
      <c r="CD61" s="863"/>
      <c r="CE61" s="863"/>
    </row>
    <row customHeight="1" ht="24.75" hidden="1">
      <c r="A62" s="870"/>
      <c r="B62" s="653"/>
      <c r="C62" s="648"/>
      <c r="D62" s="2391"/>
      <c r="E62" s="2388" t="s">
        <v>1478</v>
      </c>
      <c r="F62" s="2388"/>
      <c r="G62" s="2388"/>
      <c r="H62" s="2388"/>
      <c r="I62" s="2388"/>
      <c r="J62" s="2388"/>
      <c r="K62" s="2388"/>
      <c r="L62" s="2388"/>
      <c r="M62" s="2388"/>
      <c r="N62" s="2388"/>
      <c r="O62" s="2388"/>
      <c r="P62" s="2388"/>
      <c r="Q62" s="795">
        <f>SUMIF(T63:T64,"i",Q63:Q64)</f>
        <v>0</v>
      </c>
      <c r="R62" s="1273"/>
      <c r="S62" s="1278" t="s">
        <v>1479</v>
      </c>
      <c r="T62" s="954" t="s">
        <v>1480</v>
      </c>
      <c r="U62" s="2389">
        <v>1</v>
      </c>
      <c r="V62" s="2389" t="s">
        <v>1481</v>
      </c>
      <c r="W62" s="653"/>
      <c r="X62" s="653"/>
      <c r="Y62" s="653"/>
      <c r="Z62" s="653"/>
      <c r="AA62" s="748"/>
      <c r="AB62" s="653"/>
      <c r="AC62" s="2373"/>
      <c r="AD62" s="866"/>
      <c r="AE62" s="653"/>
      <c r="AF62" s="653"/>
      <c r="AG62" s="748"/>
      <c r="AH62" s="748"/>
      <c r="AI62" s="748"/>
      <c r="AJ62" s="748"/>
      <c r="AK62" s="748"/>
      <c r="AL62" s="748"/>
      <c r="AM62" s="748"/>
      <c r="AN62" s="748"/>
      <c r="AO62" s="748"/>
      <c r="AP62" s="748"/>
      <c r="AQ62" s="748"/>
      <c r="AR62" s="748"/>
      <c r="AS62" s="748"/>
      <c r="AT62" s="748"/>
      <c r="AU62" s="748"/>
      <c r="AV62" s="748"/>
      <c r="AW62" s="748"/>
      <c r="AX62" s="748"/>
      <c r="AY62" s="748"/>
      <c r="AZ62" s="748"/>
      <c r="BA62" s="748"/>
      <c r="BB62" s="748"/>
      <c r="BC62" s="748"/>
      <c r="BD62" s="748"/>
      <c r="BE62" s="748"/>
      <c r="BF62" s="748"/>
      <c r="BG62" s="748"/>
      <c r="BH62" s="748"/>
      <c r="BI62" s="748"/>
      <c r="BJ62" s="748"/>
      <c r="BK62" s="748"/>
      <c r="BL62" s="748"/>
      <c r="BM62" s="748"/>
      <c r="BN62" s="748"/>
      <c r="BO62" s="748"/>
      <c r="BP62" s="748"/>
      <c r="BQ62" s="748"/>
      <c r="BR62" s="748"/>
      <c r="BS62" s="748"/>
      <c r="BT62" s="748"/>
      <c r="BU62" s="748"/>
      <c r="BV62" s="653"/>
      <c r="BW62" s="653"/>
      <c r="BX62" s="653"/>
      <c r="BY62" s="653"/>
      <c r="BZ62" s="653"/>
      <c r="CA62" s="653"/>
      <c r="CB62" s="653"/>
      <c r="CC62" s="653"/>
      <c r="CD62" s="653"/>
      <c r="CE62" s="653"/>
    </row>
    <row customHeight="1" ht="11.25" hidden="1">
      <c r="A63" s="1277"/>
      <c r="B63" s="748"/>
      <c r="C63" s="748"/>
      <c r="D63" s="2391"/>
      <c r="E63" s="872"/>
      <c r="F63" s="872">
        <v>0</v>
      </c>
      <c r="G63" s="872"/>
      <c r="H63" s="872"/>
      <c r="I63" s="872"/>
      <c r="J63" s="872"/>
      <c r="K63" s="872"/>
      <c r="L63" s="872"/>
      <c r="M63" s="872"/>
      <c r="N63" s="872"/>
      <c r="O63" s="872"/>
      <c r="P63" s="872"/>
      <c r="Q63" s="872"/>
      <c r="R63" s="872"/>
      <c r="S63" s="873"/>
      <c r="T63" s="955"/>
      <c r="U63" s="2389"/>
      <c r="V63" s="2389"/>
      <c r="W63" s="748"/>
      <c r="X63" s="748"/>
      <c r="Y63" s="748"/>
      <c r="Z63" s="748"/>
      <c r="AA63" s="748"/>
      <c r="AB63" s="653"/>
      <c r="AC63" s="2373"/>
      <c r="AD63" s="866"/>
      <c r="AE63" s="653"/>
      <c r="AF63" s="653"/>
      <c r="AG63" s="748"/>
      <c r="AH63" s="748"/>
      <c r="AI63" s="748"/>
      <c r="AJ63" s="748"/>
      <c r="AK63" s="748"/>
      <c r="AL63" s="748"/>
      <c r="AM63" s="748"/>
      <c r="AN63" s="748"/>
      <c r="AO63" s="748"/>
      <c r="AP63" s="748"/>
      <c r="AQ63" s="748"/>
      <c r="AR63" s="748"/>
      <c r="AS63" s="748"/>
      <c r="AT63" s="748"/>
      <c r="AU63" s="748"/>
      <c r="AV63" s="748"/>
      <c r="AW63" s="748"/>
      <c r="AX63" s="748"/>
      <c r="AY63" s="748"/>
      <c r="AZ63" s="748"/>
      <c r="BA63" s="748"/>
      <c r="BB63" s="748"/>
      <c r="BC63" s="748"/>
      <c r="BD63" s="748"/>
      <c r="BE63" s="748"/>
      <c r="BF63" s="748"/>
      <c r="BG63" s="748"/>
      <c r="BH63" s="748"/>
      <c r="BI63" s="748"/>
      <c r="BJ63" s="748"/>
      <c r="BK63" s="748"/>
      <c r="BL63" s="748"/>
      <c r="BM63" s="748"/>
      <c r="BN63" s="748"/>
      <c r="BO63" s="748"/>
      <c r="BP63" s="748"/>
      <c r="BQ63" s="748"/>
      <c r="BR63" s="748"/>
      <c r="BS63" s="748"/>
      <c r="BT63" s="748"/>
      <c r="BU63" s="748"/>
      <c r="BV63" s="748"/>
      <c r="BW63" s="748"/>
      <c r="BX63" s="748"/>
      <c r="BY63" s="748"/>
      <c r="BZ63" s="748"/>
      <c r="CA63" s="748"/>
      <c r="CB63" s="748"/>
      <c r="CC63" s="748"/>
      <c r="CD63" s="748"/>
      <c r="CE63" s="748"/>
    </row>
    <row customHeight="1" ht="11.25" hidden="1">
      <c r="A64" s="870"/>
      <c r="B64" s="653"/>
      <c r="C64" s="648"/>
      <c r="D64" s="2391"/>
      <c r="E64" s="886" t="s">
        <v>17</v>
      </c>
      <c r="F64" s="887" t="s">
        <v>17</v>
      </c>
      <c r="G64" s="887" t="s">
        <v>1482</v>
      </c>
      <c r="H64" s="888" t="s">
        <v>17</v>
      </c>
      <c r="I64" s="888"/>
      <c r="J64" s="888"/>
      <c r="K64" s="888"/>
      <c r="L64" s="888"/>
      <c r="M64" s="888"/>
      <c r="N64" s="888"/>
      <c r="O64" s="888"/>
      <c r="P64" s="888"/>
      <c r="Q64" s="888"/>
      <c r="R64" s="889"/>
      <c r="S64" s="890"/>
      <c r="T64" s="955"/>
      <c r="U64" s="2389"/>
      <c r="V64" s="2389"/>
      <c r="W64" s="653"/>
      <c r="X64" s="653"/>
      <c r="Y64" s="653"/>
      <c r="Z64" s="653"/>
      <c r="AA64" s="748"/>
      <c r="AB64" s="653"/>
      <c r="AC64" s="2373"/>
      <c r="AD64" s="866"/>
      <c r="AE64" s="653"/>
      <c r="AF64" s="653"/>
      <c r="AG64" s="748"/>
      <c r="AH64" s="748"/>
      <c r="AI64" s="748"/>
      <c r="AJ64" s="748"/>
      <c r="AK64" s="748"/>
      <c r="AL64" s="748"/>
      <c r="AM64" s="748"/>
      <c r="AN64" s="748"/>
      <c r="AO64" s="748"/>
      <c r="AP64" s="748"/>
      <c r="AQ64" s="748"/>
      <c r="AR64" s="748"/>
      <c r="AS64" s="748"/>
      <c r="AT64" s="748"/>
      <c r="AU64" s="748"/>
      <c r="AV64" s="748"/>
      <c r="AW64" s="748"/>
      <c r="AX64" s="748"/>
      <c r="AY64" s="748"/>
      <c r="AZ64" s="748"/>
      <c r="BA64" s="748"/>
      <c r="BB64" s="748"/>
      <c r="BC64" s="748"/>
      <c r="BD64" s="748"/>
      <c r="BE64" s="748"/>
      <c r="BF64" s="748"/>
      <c r="BG64" s="748"/>
      <c r="BH64" s="748"/>
      <c r="BI64" s="748"/>
      <c r="BJ64" s="748"/>
      <c r="BK64" s="748"/>
      <c r="BL64" s="748"/>
      <c r="BM64" s="748"/>
      <c r="BN64" s="748"/>
      <c r="BO64" s="748"/>
      <c r="BP64" s="748"/>
      <c r="BQ64" s="748"/>
      <c r="BR64" s="748"/>
      <c r="BS64" s="748"/>
      <c r="BT64" s="748"/>
      <c r="BU64" s="748"/>
      <c r="BV64" s="653"/>
      <c r="BW64" s="653"/>
      <c r="BX64" s="653"/>
      <c r="BY64" s="653"/>
      <c r="BZ64" s="653"/>
      <c r="CA64" s="653"/>
      <c r="CB64" s="653"/>
      <c r="CC64" s="653"/>
      <c r="CD64" s="653"/>
      <c r="CE64" s="653"/>
    </row>
    <row customHeight="1" ht="5.25" hidden="1">
      <c r="A65" s="1277"/>
      <c r="B65" s="748"/>
      <c r="C65" s="748"/>
      <c r="D65" s="2391"/>
      <c r="E65" s="1297"/>
      <c r="F65" s="1297"/>
      <c r="G65" s="1297"/>
      <c r="H65" s="1297"/>
      <c r="I65" s="1297"/>
      <c r="J65" s="1297"/>
      <c r="K65" s="1297"/>
      <c r="L65" s="1297"/>
      <c r="M65" s="1297"/>
      <c r="N65" s="1297"/>
      <c r="O65" s="1297"/>
      <c r="P65" s="1297"/>
      <c r="Q65" s="1298"/>
      <c r="R65" s="1299"/>
      <c r="S65" s="1300"/>
      <c r="T65" s="954" t="s">
        <v>1480</v>
      </c>
      <c r="U65" s="2389">
        <v>1</v>
      </c>
      <c r="V65" s="2389" t="s">
        <v>1481</v>
      </c>
      <c r="W65" s="748"/>
      <c r="X65" s="748"/>
      <c r="Y65" s="748"/>
      <c r="Z65" s="748"/>
      <c r="AA65" s="748"/>
      <c r="AB65" s="748"/>
      <c r="AC65" s="1295"/>
      <c r="AD65" s="1296"/>
      <c r="AE65" s="748"/>
      <c r="AF65" s="748"/>
      <c r="AG65" s="748"/>
      <c r="AH65" s="748"/>
      <c r="AI65" s="748"/>
      <c r="AJ65" s="748"/>
      <c r="AK65" s="748"/>
      <c r="AL65" s="748"/>
      <c r="AM65" s="748"/>
      <c r="AN65" s="748"/>
      <c r="AO65" s="748"/>
      <c r="AP65" s="748"/>
      <c r="AQ65" s="748"/>
      <c r="AR65" s="748"/>
      <c r="AS65" s="748"/>
      <c r="AT65" s="748"/>
      <c r="AU65" s="748"/>
      <c r="AV65" s="748"/>
      <c r="AW65" s="748"/>
      <c r="AX65" s="748"/>
      <c r="AY65" s="748"/>
      <c r="AZ65" s="748"/>
      <c r="BA65" s="748"/>
      <c r="BB65" s="748"/>
      <c r="BC65" s="748"/>
      <c r="BD65" s="748"/>
      <c r="BE65" s="748"/>
      <c r="BF65" s="748"/>
      <c r="BG65" s="748"/>
      <c r="BH65" s="748"/>
      <c r="BI65" s="748"/>
      <c r="BJ65" s="748"/>
      <c r="BK65" s="748"/>
      <c r="BL65" s="748"/>
      <c r="BM65" s="748"/>
      <c r="BN65" s="748"/>
      <c r="BO65" s="748"/>
      <c r="BP65" s="748"/>
      <c r="BQ65" s="748"/>
      <c r="BR65" s="748"/>
      <c r="BS65" s="748"/>
      <c r="BT65" s="748"/>
      <c r="BU65" s="748"/>
      <c r="BV65" s="748"/>
      <c r="BW65" s="748"/>
      <c r="BX65" s="748"/>
      <c r="BY65" s="748"/>
      <c r="BZ65" s="748"/>
      <c r="CA65" s="748"/>
      <c r="CB65" s="748"/>
      <c r="CC65" s="748"/>
      <c r="CD65" s="748"/>
      <c r="CE65" s="748"/>
    </row>
    <row customHeight="1" ht="5.25" hidden="1">
      <c r="A66" s="1277"/>
      <c r="B66" s="748"/>
      <c r="C66" s="748"/>
      <c r="D66" s="2391"/>
      <c r="E66" s="872"/>
      <c r="F66" s="872"/>
      <c r="G66" s="872"/>
      <c r="H66" s="872"/>
      <c r="I66" s="872"/>
      <c r="J66" s="872"/>
      <c r="K66" s="872"/>
      <c r="L66" s="872"/>
      <c r="M66" s="872"/>
      <c r="N66" s="872"/>
      <c r="O66" s="872"/>
      <c r="P66" s="872"/>
      <c r="Q66" s="872"/>
      <c r="R66" s="872"/>
      <c r="S66" s="873"/>
      <c r="T66" s="955"/>
      <c r="U66" s="2389"/>
      <c r="V66" s="2389"/>
      <c r="W66" s="748"/>
      <c r="X66" s="748"/>
      <c r="Y66" s="748"/>
      <c r="Z66" s="748"/>
      <c r="AA66" s="748"/>
      <c r="AB66" s="748"/>
      <c r="AC66" s="1295"/>
      <c r="AD66" s="1296"/>
      <c r="AE66" s="748"/>
      <c r="AF66" s="748"/>
      <c r="AG66" s="748"/>
      <c r="AH66" s="748"/>
      <c r="AI66" s="748"/>
      <c r="AJ66" s="748"/>
      <c r="AK66" s="748"/>
      <c r="AL66" s="748"/>
      <c r="AM66" s="748"/>
      <c r="AN66" s="748"/>
      <c r="AO66" s="748"/>
      <c r="AP66" s="748"/>
      <c r="AQ66" s="748"/>
      <c r="AR66" s="748"/>
      <c r="AS66" s="748"/>
      <c r="AT66" s="748"/>
      <c r="AU66" s="748"/>
      <c r="AV66" s="748"/>
      <c r="AW66" s="748"/>
      <c r="AX66" s="748"/>
      <c r="AY66" s="748"/>
      <c r="AZ66" s="748"/>
      <c r="BA66" s="748"/>
      <c r="BB66" s="748"/>
      <c r="BC66" s="748"/>
      <c r="BD66" s="748"/>
      <c r="BE66" s="748"/>
      <c r="BF66" s="748"/>
      <c r="BG66" s="748"/>
      <c r="BH66" s="748"/>
      <c r="BI66" s="748"/>
      <c r="BJ66" s="748"/>
      <c r="BK66" s="748"/>
      <c r="BL66" s="748"/>
      <c r="BM66" s="748"/>
      <c r="BN66" s="748"/>
      <c r="BO66" s="748"/>
      <c r="BP66" s="748"/>
      <c r="BQ66" s="748"/>
      <c r="BR66" s="748"/>
      <c r="BS66" s="748"/>
      <c r="BT66" s="748"/>
      <c r="BU66" s="748"/>
      <c r="BV66" s="748"/>
      <c r="BW66" s="748"/>
      <c r="BX66" s="748"/>
      <c r="BY66" s="748"/>
      <c r="BZ66" s="748"/>
      <c r="CA66" s="748"/>
      <c r="CB66" s="748"/>
      <c r="CC66" s="748"/>
      <c r="CD66" s="748"/>
      <c r="CE66" s="748"/>
    </row>
    <row customHeight="1" ht="5.25" hidden="1">
      <c r="A67" s="1277"/>
      <c r="B67" s="748"/>
      <c r="C67" s="748"/>
      <c r="D67" s="2392"/>
      <c r="E67" s="1301"/>
      <c r="F67" s="1302"/>
      <c r="G67" s="1302"/>
      <c r="H67" s="1303"/>
      <c r="I67" s="1303"/>
      <c r="J67" s="1303"/>
      <c r="K67" s="1303"/>
      <c r="L67" s="1303"/>
      <c r="M67" s="1303"/>
      <c r="N67" s="1303"/>
      <c r="O67" s="1303"/>
      <c r="P67" s="1303"/>
      <c r="Q67" s="1303"/>
      <c r="R67" s="1202"/>
      <c r="S67" s="1304"/>
      <c r="T67" s="955"/>
      <c r="U67" s="2389"/>
      <c r="V67" s="2389"/>
      <c r="W67" s="748"/>
      <c r="X67" s="748"/>
      <c r="Y67" s="748"/>
      <c r="Z67" s="748"/>
      <c r="AA67" s="748"/>
      <c r="AB67" s="748"/>
      <c r="AC67" s="1295"/>
      <c r="AD67" s="1296"/>
      <c r="AE67" s="748"/>
      <c r="AF67" s="748"/>
      <c r="AG67" s="748"/>
      <c r="AH67" s="748"/>
      <c r="AI67" s="748"/>
      <c r="AJ67" s="748"/>
      <c r="AK67" s="748"/>
      <c r="AL67" s="748"/>
      <c r="AM67" s="748"/>
      <c r="AN67" s="748"/>
      <c r="AO67" s="748"/>
      <c r="AP67" s="748"/>
      <c r="AQ67" s="748"/>
      <c r="AR67" s="748"/>
      <c r="AS67" s="748"/>
      <c r="AT67" s="748"/>
      <c r="AU67" s="748"/>
      <c r="AV67" s="748"/>
      <c r="AW67" s="748"/>
      <c r="AX67" s="748"/>
      <c r="AY67" s="748"/>
      <c r="AZ67" s="748"/>
      <c r="BA67" s="748"/>
      <c r="BB67" s="748"/>
      <c r="BC67" s="748"/>
      <c r="BD67" s="748"/>
      <c r="BE67" s="748"/>
      <c r="BF67" s="748"/>
      <c r="BG67" s="748"/>
      <c r="BH67" s="748"/>
      <c r="BI67" s="748"/>
      <c r="BJ67" s="748"/>
      <c r="BK67" s="748"/>
      <c r="BL67" s="748"/>
      <c r="BM67" s="748"/>
      <c r="BN67" s="748"/>
      <c r="BO67" s="748"/>
      <c r="BP67" s="748"/>
      <c r="BQ67" s="748"/>
      <c r="BR67" s="748"/>
      <c r="BS67" s="748"/>
      <c r="BT67" s="748"/>
      <c r="BU67" s="748"/>
      <c r="BV67" s="748"/>
      <c r="BW67" s="748"/>
      <c r="BX67" s="748"/>
      <c r="BY67" s="748"/>
      <c r="BZ67" s="748"/>
      <c r="CA67" s="748"/>
      <c r="CB67" s="748"/>
      <c r="CC67" s="748"/>
      <c r="CD67" s="748"/>
      <c r="CE67" s="748"/>
    </row>
    <row customHeight="1" ht="15" hidden="1">
      <c r="A68" s="860" t="s">
        <v>133</v>
      </c>
      <c r="B68" s="861"/>
      <c r="C68" s="861" t="s">
        <v>17</v>
      </c>
      <c r="D68" s="2390" t="s">
        <v>1815</v>
      </c>
      <c r="E68" s="2374" t="s">
        <v>105</v>
      </c>
      <c r="F68" s="2375"/>
      <c r="G68" s="2376"/>
      <c r="H68" s="2377" t="str">
        <f>IF(A68="","",INDEX(DIFFERENTIATION_UNMERGE_VD,MATCH(A68,DIFFERENTIATION_ID_DIFF,0)))</f>
        <v>Производство тепловой энергии. Некомбинированная выработка</v>
      </c>
      <c r="I68" s="2377"/>
      <c r="J68" s="2377"/>
      <c r="K68" s="2377"/>
      <c r="L68" s="2377"/>
      <c r="M68" s="2377"/>
      <c r="N68" s="2377"/>
      <c r="O68" s="2377"/>
      <c r="P68" s="2377"/>
      <c r="Q68" s="2377"/>
      <c r="R68" s="2377"/>
      <c r="S68" s="956"/>
      <c r="T68" s="953"/>
      <c r="U68" s="862"/>
      <c r="V68" s="862"/>
      <c r="W68" s="863"/>
      <c r="X68" s="863"/>
      <c r="Y68" s="863"/>
      <c r="Z68" s="863"/>
      <c r="AA68" s="864"/>
      <c r="AB68" s="865"/>
      <c r="AC68" s="2373"/>
      <c r="AD68" s="866"/>
      <c r="AE68" s="867" t="s">
        <v>17</v>
      </c>
      <c r="AF68" s="867"/>
      <c r="AG68" s="868" t="s">
        <v>1475</v>
      </c>
      <c r="AH68" s="869">
        <v>3</v>
      </c>
      <c r="AI68" s="862"/>
      <c r="AJ68" s="862"/>
      <c r="AK68" s="862"/>
      <c r="AL68" s="862"/>
      <c r="AM68" s="862"/>
      <c r="AN68" s="862"/>
      <c r="AO68" s="862"/>
      <c r="AP68" s="862"/>
      <c r="AQ68" s="862"/>
      <c r="AR68" s="862"/>
      <c r="AS68" s="862"/>
      <c r="AT68" s="862"/>
      <c r="AU68" s="862"/>
      <c r="AV68" s="862"/>
      <c r="AW68" s="862"/>
      <c r="AX68" s="862"/>
      <c r="AY68" s="862"/>
      <c r="AZ68" s="862"/>
      <c r="BA68" s="862"/>
      <c r="BB68" s="862"/>
      <c r="BC68" s="862"/>
      <c r="BD68" s="862"/>
      <c r="BE68" s="862"/>
      <c r="BF68" s="862"/>
      <c r="BG68" s="862"/>
      <c r="BH68" s="862"/>
      <c r="BI68" s="862"/>
      <c r="BJ68" s="862"/>
      <c r="BK68" s="862"/>
      <c r="BL68" s="862"/>
      <c r="BM68" s="862"/>
      <c r="BN68" s="862"/>
      <c r="BO68" s="862"/>
      <c r="BP68" s="862"/>
      <c r="BQ68" s="862"/>
      <c r="BR68" s="862"/>
      <c r="BS68" s="862"/>
      <c r="BT68" s="862"/>
      <c r="BU68" s="862"/>
      <c r="BV68" s="863"/>
      <c r="BW68" s="863"/>
      <c r="BX68" s="863"/>
      <c r="BY68" s="863"/>
      <c r="BZ68" s="863"/>
      <c r="CA68" s="863"/>
      <c r="CB68" s="863"/>
      <c r="CC68" s="863"/>
      <c r="CD68" s="863"/>
      <c r="CE68" s="863"/>
    </row>
    <row customHeight="1" ht="15" hidden="1">
      <c r="A69" s="860"/>
      <c r="B69" s="861"/>
      <c r="C69" s="861"/>
      <c r="D69" s="2391"/>
      <c r="E69" s="2374" t="s">
        <v>1476</v>
      </c>
      <c r="F69" s="2375"/>
      <c r="G69" s="2376"/>
      <c r="H69" s="2377" t="str">
        <f>IF(A68="","",INDEX(DIFFERENTIATION_UNMERGE_AREA,MATCH(A68,DIFFERENTIATION_ID_DIFF,0)))</f>
        <v>Территория 1</v>
      </c>
      <c r="I69" s="2377"/>
      <c r="J69" s="2377"/>
      <c r="K69" s="2377"/>
      <c r="L69" s="2377"/>
      <c r="M69" s="2377"/>
      <c r="N69" s="2377"/>
      <c r="O69" s="2377"/>
      <c r="P69" s="2377"/>
      <c r="Q69" s="2377"/>
      <c r="R69" s="2377"/>
      <c r="S69" s="956"/>
      <c r="T69" s="953"/>
      <c r="U69" s="862"/>
      <c r="V69" s="862"/>
      <c r="W69" s="863"/>
      <c r="X69" s="863"/>
      <c r="Y69" s="863"/>
      <c r="Z69" s="863"/>
      <c r="AA69" s="864"/>
      <c r="AB69" s="865"/>
      <c r="AC69" s="2373"/>
      <c r="AD69" s="866"/>
      <c r="AE69" s="867"/>
      <c r="AF69" s="867"/>
      <c r="AG69" s="868"/>
      <c r="AH69" s="869"/>
      <c r="AI69" s="862"/>
      <c r="AJ69" s="862"/>
      <c r="AK69" s="862"/>
      <c r="AL69" s="862"/>
      <c r="AM69" s="862"/>
      <c r="AN69" s="862"/>
      <c r="AO69" s="862"/>
      <c r="AP69" s="862"/>
      <c r="AQ69" s="862"/>
      <c r="AR69" s="862"/>
      <c r="AS69" s="862"/>
      <c r="AT69" s="862"/>
      <c r="AU69" s="862"/>
      <c r="AV69" s="862"/>
      <c r="AW69" s="862"/>
      <c r="AX69" s="862"/>
      <c r="AY69" s="862"/>
      <c r="AZ69" s="862"/>
      <c r="BA69" s="862"/>
      <c r="BB69" s="862"/>
      <c r="BC69" s="862"/>
      <c r="BD69" s="862"/>
      <c r="BE69" s="862"/>
      <c r="BF69" s="862"/>
      <c r="BG69" s="862"/>
      <c r="BH69" s="862"/>
      <c r="BI69" s="862"/>
      <c r="BJ69" s="862"/>
      <c r="BK69" s="862"/>
      <c r="BL69" s="862"/>
      <c r="BM69" s="862"/>
      <c r="BN69" s="862"/>
      <c r="BO69" s="862"/>
      <c r="BP69" s="862"/>
      <c r="BQ69" s="862"/>
      <c r="BR69" s="862"/>
      <c r="BS69" s="862"/>
      <c r="BT69" s="862"/>
      <c r="BU69" s="862"/>
      <c r="BV69" s="863"/>
      <c r="BW69" s="863"/>
      <c r="BX69" s="863"/>
      <c r="BY69" s="863"/>
      <c r="BZ69" s="863"/>
      <c r="CA69" s="863"/>
      <c r="CB69" s="863"/>
      <c r="CC69" s="863"/>
      <c r="CD69" s="863"/>
      <c r="CE69" s="863"/>
    </row>
    <row customHeight="1" ht="15" hidden="1">
      <c r="A70" s="860"/>
      <c r="B70" s="861"/>
      <c r="C70" s="861"/>
      <c r="D70" s="2391"/>
      <c r="E70" s="2374" t="s">
        <v>1477</v>
      </c>
      <c r="F70" s="2375"/>
      <c r="G70" s="2376"/>
      <c r="H70" s="2377" t="str">
        <f>IF(A68="","",INDEX(DIFFERENTIATION_UNMERGE_SYSTEM,MATCH(A68,DIFFERENTIATION_ID_DIFF,0)))</f>
        <v>Тепловой центр №2 ул.Вокзальная ок д.№20</v>
      </c>
      <c r="I70" s="2377"/>
      <c r="J70" s="2377"/>
      <c r="K70" s="2377"/>
      <c r="L70" s="2377"/>
      <c r="M70" s="2377"/>
      <c r="N70" s="2377"/>
      <c r="O70" s="2377"/>
      <c r="P70" s="2377"/>
      <c r="Q70" s="2377"/>
      <c r="R70" s="2377"/>
      <c r="S70" s="956"/>
      <c r="T70" s="953"/>
      <c r="U70" s="862"/>
      <c r="V70" s="862"/>
      <c r="W70" s="863"/>
      <c r="X70" s="863"/>
      <c r="Y70" s="863"/>
      <c r="Z70" s="863"/>
      <c r="AA70" s="864"/>
      <c r="AB70" s="865"/>
      <c r="AC70" s="2373"/>
      <c r="AD70" s="866"/>
      <c r="AE70" s="867"/>
      <c r="AF70" s="867"/>
      <c r="AG70" s="868"/>
      <c r="AH70" s="869"/>
      <c r="AI70" s="862"/>
      <c r="AJ70" s="862"/>
      <c r="AK70" s="862"/>
      <c r="AL70" s="862"/>
      <c r="AM70" s="862"/>
      <c r="AN70" s="862"/>
      <c r="AO70" s="862"/>
      <c r="AP70" s="862"/>
      <c r="AQ70" s="862"/>
      <c r="AR70" s="862"/>
      <c r="AS70" s="862"/>
      <c r="AT70" s="862"/>
      <c r="AU70" s="862"/>
      <c r="AV70" s="862"/>
      <c r="AW70" s="862"/>
      <c r="AX70" s="862"/>
      <c r="AY70" s="862"/>
      <c r="AZ70" s="862"/>
      <c r="BA70" s="862"/>
      <c r="BB70" s="862"/>
      <c r="BC70" s="862"/>
      <c r="BD70" s="862"/>
      <c r="BE70" s="862"/>
      <c r="BF70" s="862"/>
      <c r="BG70" s="862"/>
      <c r="BH70" s="862"/>
      <c r="BI70" s="862"/>
      <c r="BJ70" s="862"/>
      <c r="BK70" s="862"/>
      <c r="BL70" s="862"/>
      <c r="BM70" s="862"/>
      <c r="BN70" s="862"/>
      <c r="BO70" s="862"/>
      <c r="BP70" s="862"/>
      <c r="BQ70" s="862"/>
      <c r="BR70" s="862"/>
      <c r="BS70" s="862"/>
      <c r="BT70" s="862"/>
      <c r="BU70" s="862"/>
      <c r="BV70" s="863"/>
      <c r="BW70" s="863"/>
      <c r="BX70" s="863"/>
      <c r="BY70" s="863"/>
      <c r="BZ70" s="863"/>
      <c r="CA70" s="863"/>
      <c r="CB70" s="863"/>
      <c r="CC70" s="863"/>
      <c r="CD70" s="863"/>
      <c r="CE70" s="863"/>
    </row>
    <row customHeight="1" ht="24.75" hidden="1">
      <c r="A71" s="870"/>
      <c r="B71" s="653"/>
      <c r="C71" s="648"/>
      <c r="D71" s="2391"/>
      <c r="E71" s="2388" t="s">
        <v>1478</v>
      </c>
      <c r="F71" s="2388"/>
      <c r="G71" s="2388"/>
      <c r="H71" s="2388"/>
      <c r="I71" s="2388"/>
      <c r="J71" s="2388"/>
      <c r="K71" s="2388"/>
      <c r="L71" s="2388"/>
      <c r="M71" s="2388"/>
      <c r="N71" s="2388"/>
      <c r="O71" s="2388"/>
      <c r="P71" s="2388"/>
      <c r="Q71" s="795">
        <f>SUMIF(T72:T73,"i",Q72:Q73)</f>
        <v>0</v>
      </c>
      <c r="R71" s="1273"/>
      <c r="S71" s="1278" t="s">
        <v>1479</v>
      </c>
      <c r="T71" s="954" t="s">
        <v>1480</v>
      </c>
      <c r="U71" s="2389">
        <v>1</v>
      </c>
      <c r="V71" s="2389" t="s">
        <v>1481</v>
      </c>
      <c r="W71" s="653"/>
      <c r="X71" s="653"/>
      <c r="Y71" s="653"/>
      <c r="Z71" s="653"/>
      <c r="AA71" s="748"/>
      <c r="AB71" s="653"/>
      <c r="AC71" s="2373"/>
      <c r="AD71" s="866"/>
      <c r="AE71" s="653"/>
      <c r="AF71" s="653"/>
      <c r="AG71" s="748"/>
      <c r="AH71" s="748"/>
      <c r="AI71" s="748"/>
      <c r="AJ71" s="748"/>
      <c r="AK71" s="748"/>
      <c r="AL71" s="748"/>
      <c r="AM71" s="748"/>
      <c r="AN71" s="748"/>
      <c r="AO71" s="748"/>
      <c r="AP71" s="748"/>
      <c r="AQ71" s="748"/>
      <c r="AR71" s="748"/>
      <c r="AS71" s="748"/>
      <c r="AT71" s="748"/>
      <c r="AU71" s="748"/>
      <c r="AV71" s="748"/>
      <c r="AW71" s="748"/>
      <c r="AX71" s="748"/>
      <c r="AY71" s="748"/>
      <c r="AZ71" s="748"/>
      <c r="BA71" s="748"/>
      <c r="BB71" s="748"/>
      <c r="BC71" s="748"/>
      <c r="BD71" s="748"/>
      <c r="BE71" s="748"/>
      <c r="BF71" s="748"/>
      <c r="BG71" s="748"/>
      <c r="BH71" s="748"/>
      <c r="BI71" s="748"/>
      <c r="BJ71" s="748"/>
      <c r="BK71" s="748"/>
      <c r="BL71" s="748"/>
      <c r="BM71" s="748"/>
      <c r="BN71" s="748"/>
      <c r="BO71" s="748"/>
      <c r="BP71" s="748"/>
      <c r="BQ71" s="748"/>
      <c r="BR71" s="748"/>
      <c r="BS71" s="748"/>
      <c r="BT71" s="748"/>
      <c r="BU71" s="748"/>
      <c r="BV71" s="653"/>
      <c r="BW71" s="653"/>
      <c r="BX71" s="653"/>
      <c r="BY71" s="653"/>
      <c r="BZ71" s="653"/>
      <c r="CA71" s="653"/>
      <c r="CB71" s="653"/>
      <c r="CC71" s="653"/>
      <c r="CD71" s="653"/>
      <c r="CE71" s="653"/>
    </row>
    <row customHeight="1" ht="11.25" hidden="1">
      <c r="A72" s="1277"/>
      <c r="B72" s="748"/>
      <c r="C72" s="748"/>
      <c r="D72" s="2391"/>
      <c r="E72" s="872"/>
      <c r="F72" s="872">
        <v>0</v>
      </c>
      <c r="G72" s="872"/>
      <c r="H72" s="872"/>
      <c r="I72" s="872"/>
      <c r="J72" s="872"/>
      <c r="K72" s="872"/>
      <c r="L72" s="872"/>
      <c r="M72" s="872"/>
      <c r="N72" s="872"/>
      <c r="O72" s="872"/>
      <c r="P72" s="872"/>
      <c r="Q72" s="872"/>
      <c r="R72" s="872"/>
      <c r="S72" s="873"/>
      <c r="T72" s="955"/>
      <c r="U72" s="2389"/>
      <c r="V72" s="2389"/>
      <c r="W72" s="748"/>
      <c r="X72" s="748"/>
      <c r="Y72" s="748"/>
      <c r="Z72" s="748"/>
      <c r="AA72" s="748"/>
      <c r="AB72" s="653"/>
      <c r="AC72" s="2373"/>
      <c r="AD72" s="866"/>
      <c r="AE72" s="653"/>
      <c r="AF72" s="653"/>
      <c r="AG72" s="748"/>
      <c r="AH72" s="748"/>
      <c r="AI72" s="748"/>
      <c r="AJ72" s="748"/>
      <c r="AK72" s="748"/>
      <c r="AL72" s="748"/>
      <c r="AM72" s="748"/>
      <c r="AN72" s="748"/>
      <c r="AO72" s="748"/>
      <c r="AP72" s="748"/>
      <c r="AQ72" s="748"/>
      <c r="AR72" s="748"/>
      <c r="AS72" s="748"/>
      <c r="AT72" s="748"/>
      <c r="AU72" s="748"/>
      <c r="AV72" s="748"/>
      <c r="AW72" s="748"/>
      <c r="AX72" s="748"/>
      <c r="AY72" s="748"/>
      <c r="AZ72" s="748"/>
      <c r="BA72" s="748"/>
      <c r="BB72" s="748"/>
      <c r="BC72" s="748"/>
      <c r="BD72" s="748"/>
      <c r="BE72" s="748"/>
      <c r="BF72" s="748"/>
      <c r="BG72" s="748"/>
      <c r="BH72" s="748"/>
      <c r="BI72" s="748"/>
      <c r="BJ72" s="748"/>
      <c r="BK72" s="748"/>
      <c r="BL72" s="748"/>
      <c r="BM72" s="748"/>
      <c r="BN72" s="748"/>
      <c r="BO72" s="748"/>
      <c r="BP72" s="748"/>
      <c r="BQ72" s="748"/>
      <c r="BR72" s="748"/>
      <c r="BS72" s="748"/>
      <c r="BT72" s="748"/>
      <c r="BU72" s="748"/>
      <c r="BV72" s="748"/>
      <c r="BW72" s="748"/>
      <c r="BX72" s="748"/>
      <c r="BY72" s="748"/>
      <c r="BZ72" s="748"/>
      <c r="CA72" s="748"/>
      <c r="CB72" s="748"/>
      <c r="CC72" s="748"/>
      <c r="CD72" s="748"/>
      <c r="CE72" s="748"/>
    </row>
    <row customHeight="1" ht="11.25" hidden="1">
      <c r="A73" s="870"/>
      <c r="B73" s="653"/>
      <c r="C73" s="648"/>
      <c r="D73" s="2391"/>
      <c r="E73" s="886" t="s">
        <v>17</v>
      </c>
      <c r="F73" s="887" t="s">
        <v>17</v>
      </c>
      <c r="G73" s="887" t="s">
        <v>1482</v>
      </c>
      <c r="H73" s="888" t="s">
        <v>17</v>
      </c>
      <c r="I73" s="888"/>
      <c r="J73" s="888"/>
      <c r="K73" s="888"/>
      <c r="L73" s="888"/>
      <c r="M73" s="888"/>
      <c r="N73" s="888"/>
      <c r="O73" s="888"/>
      <c r="P73" s="888"/>
      <c r="Q73" s="888"/>
      <c r="R73" s="889"/>
      <c r="S73" s="890"/>
      <c r="T73" s="955"/>
      <c r="U73" s="2389"/>
      <c r="V73" s="2389"/>
      <c r="W73" s="653"/>
      <c r="X73" s="653"/>
      <c r="Y73" s="653"/>
      <c r="Z73" s="653"/>
      <c r="AA73" s="748"/>
      <c r="AB73" s="653"/>
      <c r="AC73" s="2373"/>
      <c r="AD73" s="866"/>
      <c r="AE73" s="653"/>
      <c r="AF73" s="653"/>
      <c r="AG73" s="748"/>
      <c r="AH73" s="748"/>
      <c r="AI73" s="748"/>
      <c r="AJ73" s="748"/>
      <c r="AK73" s="748"/>
      <c r="AL73" s="748"/>
      <c r="AM73" s="748"/>
      <c r="AN73" s="748"/>
      <c r="AO73" s="748"/>
      <c r="AP73" s="748"/>
      <c r="AQ73" s="748"/>
      <c r="AR73" s="748"/>
      <c r="AS73" s="748"/>
      <c r="AT73" s="748"/>
      <c r="AU73" s="748"/>
      <c r="AV73" s="748"/>
      <c r="AW73" s="748"/>
      <c r="AX73" s="748"/>
      <c r="AY73" s="748"/>
      <c r="AZ73" s="748"/>
      <c r="BA73" s="748"/>
      <c r="BB73" s="748"/>
      <c r="BC73" s="748"/>
      <c r="BD73" s="748"/>
      <c r="BE73" s="748"/>
      <c r="BF73" s="748"/>
      <c r="BG73" s="748"/>
      <c r="BH73" s="748"/>
      <c r="BI73" s="748"/>
      <c r="BJ73" s="748"/>
      <c r="BK73" s="748"/>
      <c r="BL73" s="748"/>
      <c r="BM73" s="748"/>
      <c r="BN73" s="748"/>
      <c r="BO73" s="748"/>
      <c r="BP73" s="748"/>
      <c r="BQ73" s="748"/>
      <c r="BR73" s="748"/>
      <c r="BS73" s="748"/>
      <c r="BT73" s="748"/>
      <c r="BU73" s="748"/>
      <c r="BV73" s="653"/>
      <c r="BW73" s="653"/>
      <c r="BX73" s="653"/>
      <c r="BY73" s="653"/>
      <c r="BZ73" s="653"/>
      <c r="CA73" s="653"/>
      <c r="CB73" s="653"/>
      <c r="CC73" s="653"/>
      <c r="CD73" s="653"/>
      <c r="CE73" s="653"/>
    </row>
    <row customHeight="1" ht="5.25" hidden="1">
      <c r="A74" s="1277"/>
      <c r="B74" s="748"/>
      <c r="C74" s="748"/>
      <c r="D74" s="2391"/>
      <c r="E74" s="1297"/>
      <c r="F74" s="1297"/>
      <c r="G74" s="1297"/>
      <c r="H74" s="1297"/>
      <c r="I74" s="1297"/>
      <c r="J74" s="1297"/>
      <c r="K74" s="1297"/>
      <c r="L74" s="1297"/>
      <c r="M74" s="1297"/>
      <c r="N74" s="1297"/>
      <c r="O74" s="1297"/>
      <c r="P74" s="1297"/>
      <c r="Q74" s="1298"/>
      <c r="R74" s="1299"/>
      <c r="S74" s="1300"/>
      <c r="T74" s="954" t="s">
        <v>1480</v>
      </c>
      <c r="U74" s="2389">
        <v>1</v>
      </c>
      <c r="V74" s="2389" t="s">
        <v>1481</v>
      </c>
      <c r="W74" s="748"/>
      <c r="X74" s="748"/>
      <c r="Y74" s="748"/>
      <c r="Z74" s="748"/>
      <c r="AA74" s="748"/>
      <c r="AB74" s="748"/>
      <c r="AC74" s="1295"/>
      <c r="AD74" s="1296"/>
      <c r="AE74" s="748"/>
      <c r="AF74" s="748"/>
      <c r="AG74" s="748"/>
      <c r="AH74" s="748"/>
      <c r="AI74" s="748"/>
      <c r="AJ74" s="748"/>
      <c r="AK74" s="748"/>
      <c r="AL74" s="748"/>
      <c r="AM74" s="748"/>
      <c r="AN74" s="748"/>
      <c r="AO74" s="748"/>
      <c r="AP74" s="748"/>
      <c r="AQ74" s="748"/>
      <c r="AR74" s="748"/>
      <c r="AS74" s="748"/>
      <c r="AT74" s="748"/>
      <c r="AU74" s="748"/>
      <c r="AV74" s="748"/>
      <c r="AW74" s="748"/>
      <c r="AX74" s="748"/>
      <c r="AY74" s="748"/>
      <c r="AZ74" s="748"/>
      <c r="BA74" s="748"/>
      <c r="BB74" s="748"/>
      <c r="BC74" s="748"/>
      <c r="BD74" s="748"/>
      <c r="BE74" s="748"/>
      <c r="BF74" s="748"/>
      <c r="BG74" s="748"/>
      <c r="BH74" s="748"/>
      <c r="BI74" s="748"/>
      <c r="BJ74" s="748"/>
      <c r="BK74" s="748"/>
      <c r="BL74" s="748"/>
      <c r="BM74" s="748"/>
      <c r="BN74" s="748"/>
      <c r="BO74" s="748"/>
      <c r="BP74" s="748"/>
      <c r="BQ74" s="748"/>
      <c r="BR74" s="748"/>
      <c r="BS74" s="748"/>
      <c r="BT74" s="748"/>
      <c r="BU74" s="748"/>
      <c r="BV74" s="748"/>
      <c r="BW74" s="748"/>
      <c r="BX74" s="748"/>
      <c r="BY74" s="748"/>
      <c r="BZ74" s="748"/>
      <c r="CA74" s="748"/>
      <c r="CB74" s="748"/>
      <c r="CC74" s="748"/>
      <c r="CD74" s="748"/>
      <c r="CE74" s="748"/>
    </row>
    <row customHeight="1" ht="5.25" hidden="1">
      <c r="A75" s="1277"/>
      <c r="B75" s="748"/>
      <c r="C75" s="748"/>
      <c r="D75" s="2391"/>
      <c r="E75" s="872"/>
      <c r="F75" s="872"/>
      <c r="G75" s="872"/>
      <c r="H75" s="872"/>
      <c r="I75" s="872"/>
      <c r="J75" s="872"/>
      <c r="K75" s="872"/>
      <c r="L75" s="872"/>
      <c r="M75" s="872"/>
      <c r="N75" s="872"/>
      <c r="O75" s="872"/>
      <c r="P75" s="872"/>
      <c r="Q75" s="872"/>
      <c r="R75" s="872"/>
      <c r="S75" s="873"/>
      <c r="T75" s="955"/>
      <c r="U75" s="2389"/>
      <c r="V75" s="2389"/>
      <c r="W75" s="748"/>
      <c r="X75" s="748"/>
      <c r="Y75" s="748"/>
      <c r="Z75" s="748"/>
      <c r="AA75" s="748"/>
      <c r="AB75" s="748"/>
      <c r="AC75" s="1295"/>
      <c r="AD75" s="1296"/>
      <c r="AE75" s="748"/>
      <c r="AF75" s="748"/>
      <c r="AG75" s="748"/>
      <c r="AH75" s="748"/>
      <c r="AI75" s="748"/>
      <c r="AJ75" s="748"/>
      <c r="AK75" s="748"/>
      <c r="AL75" s="748"/>
      <c r="AM75" s="748"/>
      <c r="AN75" s="748"/>
      <c r="AO75" s="748"/>
      <c r="AP75" s="748"/>
      <c r="AQ75" s="748"/>
      <c r="AR75" s="748"/>
      <c r="AS75" s="748"/>
      <c r="AT75" s="748"/>
      <c r="AU75" s="748"/>
      <c r="AV75" s="748"/>
      <c r="AW75" s="748"/>
      <c r="AX75" s="748"/>
      <c r="AY75" s="748"/>
      <c r="AZ75" s="748"/>
      <c r="BA75" s="748"/>
      <c r="BB75" s="748"/>
      <c r="BC75" s="748"/>
      <c r="BD75" s="748"/>
      <c r="BE75" s="748"/>
      <c r="BF75" s="748"/>
      <c r="BG75" s="748"/>
      <c r="BH75" s="748"/>
      <c r="BI75" s="748"/>
      <c r="BJ75" s="748"/>
      <c r="BK75" s="748"/>
      <c r="BL75" s="748"/>
      <c r="BM75" s="748"/>
      <c r="BN75" s="748"/>
      <c r="BO75" s="748"/>
      <c r="BP75" s="748"/>
      <c r="BQ75" s="748"/>
      <c r="BR75" s="748"/>
      <c r="BS75" s="748"/>
      <c r="BT75" s="748"/>
      <c r="BU75" s="748"/>
      <c r="BV75" s="748"/>
      <c r="BW75" s="748"/>
      <c r="BX75" s="748"/>
      <c r="BY75" s="748"/>
      <c r="BZ75" s="748"/>
      <c r="CA75" s="748"/>
      <c r="CB75" s="748"/>
      <c r="CC75" s="748"/>
      <c r="CD75" s="748"/>
      <c r="CE75" s="748"/>
    </row>
    <row customHeight="1" ht="5.25" hidden="1">
      <c r="A76" s="1277"/>
      <c r="B76" s="748"/>
      <c r="C76" s="748"/>
      <c r="D76" s="2392"/>
      <c r="E76" s="1301"/>
      <c r="F76" s="1302"/>
      <c r="G76" s="1302"/>
      <c r="H76" s="1303"/>
      <c r="I76" s="1303"/>
      <c r="J76" s="1303"/>
      <c r="K76" s="1303"/>
      <c r="L76" s="1303"/>
      <c r="M76" s="1303"/>
      <c r="N76" s="1303"/>
      <c r="O76" s="1303"/>
      <c r="P76" s="1303"/>
      <c r="Q76" s="1303"/>
      <c r="R76" s="1202"/>
      <c r="S76" s="1304"/>
      <c r="T76" s="955"/>
      <c r="U76" s="2389"/>
      <c r="V76" s="2389"/>
      <c r="W76" s="748"/>
      <c r="X76" s="748"/>
      <c r="Y76" s="748"/>
      <c r="Z76" s="748"/>
      <c r="AA76" s="748"/>
      <c r="AB76" s="748"/>
      <c r="AC76" s="1295"/>
      <c r="AD76" s="1296"/>
      <c r="AE76" s="748"/>
      <c r="AF76" s="748"/>
      <c r="AG76" s="748"/>
      <c r="AH76" s="748"/>
      <c r="AI76" s="748"/>
      <c r="AJ76" s="748"/>
      <c r="AK76" s="748"/>
      <c r="AL76" s="748"/>
      <c r="AM76" s="748"/>
      <c r="AN76" s="748"/>
      <c r="AO76" s="748"/>
      <c r="AP76" s="748"/>
      <c r="AQ76" s="748"/>
      <c r="AR76" s="748"/>
      <c r="AS76" s="748"/>
      <c r="AT76" s="748"/>
      <c r="AU76" s="748"/>
      <c r="AV76" s="748"/>
      <c r="AW76" s="748"/>
      <c r="AX76" s="748"/>
      <c r="AY76" s="748"/>
      <c r="AZ76" s="748"/>
      <c r="BA76" s="748"/>
      <c r="BB76" s="748"/>
      <c r="BC76" s="748"/>
      <c r="BD76" s="748"/>
      <c r="BE76" s="748"/>
      <c r="BF76" s="748"/>
      <c r="BG76" s="748"/>
      <c r="BH76" s="748"/>
      <c r="BI76" s="748"/>
      <c r="BJ76" s="748"/>
      <c r="BK76" s="748"/>
      <c r="BL76" s="748"/>
      <c r="BM76" s="748"/>
      <c r="BN76" s="748"/>
      <c r="BO76" s="748"/>
      <c r="BP76" s="748"/>
      <c r="BQ76" s="748"/>
      <c r="BR76" s="748"/>
      <c r="BS76" s="748"/>
      <c r="BT76" s="748"/>
      <c r="BU76" s="748"/>
      <c r="BV76" s="748"/>
      <c r="BW76" s="748"/>
      <c r="BX76" s="748"/>
      <c r="BY76" s="748"/>
      <c r="BZ76" s="748"/>
      <c r="CA76" s="748"/>
      <c r="CB76" s="748"/>
      <c r="CC76" s="748"/>
      <c r="CD76" s="748"/>
      <c r="CE76" s="748"/>
    </row>
    <row customHeight="1" ht="15" hidden="1">
      <c r="A77" s="860" t="s">
        <v>135</v>
      </c>
      <c r="B77" s="861"/>
      <c r="C77" s="861" t="s">
        <v>17</v>
      </c>
      <c r="D77" s="2390" t="s">
        <v>1816</v>
      </c>
      <c r="E77" s="2374" t="s">
        <v>105</v>
      </c>
      <c r="F77" s="2375"/>
      <c r="G77" s="2376"/>
      <c r="H77" s="2377" t="str">
        <f>IF(A77="","",INDEX(DIFFERENTIATION_UNMERGE_VD,MATCH(A77,DIFFERENTIATION_ID_DIFF,0)))</f>
        <v>Производство тепловой энергии. Некомбинированная выработка</v>
      </c>
      <c r="I77" s="2377"/>
      <c r="J77" s="2377"/>
      <c r="K77" s="2377"/>
      <c r="L77" s="2377"/>
      <c r="M77" s="2377"/>
      <c r="N77" s="2377"/>
      <c r="O77" s="2377"/>
      <c r="P77" s="2377"/>
      <c r="Q77" s="2377"/>
      <c r="R77" s="2377"/>
      <c r="S77" s="956"/>
      <c r="T77" s="953"/>
      <c r="U77" s="862"/>
      <c r="V77" s="862"/>
      <c r="W77" s="863"/>
      <c r="X77" s="863"/>
      <c r="Y77" s="863"/>
      <c r="Z77" s="863"/>
      <c r="AA77" s="864"/>
      <c r="AB77" s="865"/>
      <c r="AC77" s="2373"/>
      <c r="AD77" s="866"/>
      <c r="AE77" s="867" t="s">
        <v>17</v>
      </c>
      <c r="AF77" s="867"/>
      <c r="AG77" s="868" t="s">
        <v>1475</v>
      </c>
      <c r="AH77" s="869">
        <v>3</v>
      </c>
      <c r="AI77" s="862"/>
      <c r="AJ77" s="862"/>
      <c r="AK77" s="862"/>
      <c r="AL77" s="862"/>
      <c r="AM77" s="862"/>
      <c r="AN77" s="862"/>
      <c r="AO77" s="862"/>
      <c r="AP77" s="862"/>
      <c r="AQ77" s="862"/>
      <c r="AR77" s="862"/>
      <c r="AS77" s="862"/>
      <c r="AT77" s="862"/>
      <c r="AU77" s="862"/>
      <c r="AV77" s="862"/>
      <c r="AW77" s="862"/>
      <c r="AX77" s="862"/>
      <c r="AY77" s="862"/>
      <c r="AZ77" s="862"/>
      <c r="BA77" s="862"/>
      <c r="BB77" s="862"/>
      <c r="BC77" s="862"/>
      <c r="BD77" s="862"/>
      <c r="BE77" s="862"/>
      <c r="BF77" s="862"/>
      <c r="BG77" s="862"/>
      <c r="BH77" s="862"/>
      <c r="BI77" s="862"/>
      <c r="BJ77" s="862"/>
      <c r="BK77" s="862"/>
      <c r="BL77" s="862"/>
      <c r="BM77" s="862"/>
      <c r="BN77" s="862"/>
      <c r="BO77" s="862"/>
      <c r="BP77" s="862"/>
      <c r="BQ77" s="862"/>
      <c r="BR77" s="862"/>
      <c r="BS77" s="862"/>
      <c r="BT77" s="862"/>
      <c r="BU77" s="862"/>
      <c r="BV77" s="863"/>
      <c r="BW77" s="863"/>
      <c r="BX77" s="863"/>
      <c r="BY77" s="863"/>
      <c r="BZ77" s="863"/>
      <c r="CA77" s="863"/>
      <c r="CB77" s="863"/>
      <c r="CC77" s="863"/>
      <c r="CD77" s="863"/>
      <c r="CE77" s="863"/>
    </row>
    <row customHeight="1" ht="15" hidden="1">
      <c r="A78" s="860"/>
      <c r="B78" s="861"/>
      <c r="C78" s="861"/>
      <c r="D78" s="2391"/>
      <c r="E78" s="2374" t="s">
        <v>1476</v>
      </c>
      <c r="F78" s="2375"/>
      <c r="G78" s="2376"/>
      <c r="H78" s="2377" t="str">
        <f>IF(A77="","",INDEX(DIFFERENTIATION_UNMERGE_AREA,MATCH(A77,DIFFERENTIATION_ID_DIFF,0)))</f>
        <v>Территория 1</v>
      </c>
      <c r="I78" s="2377"/>
      <c r="J78" s="2377"/>
      <c r="K78" s="2377"/>
      <c r="L78" s="2377"/>
      <c r="M78" s="2377"/>
      <c r="N78" s="2377"/>
      <c r="O78" s="2377"/>
      <c r="P78" s="2377"/>
      <c r="Q78" s="2377"/>
      <c r="R78" s="2377"/>
      <c r="S78" s="956"/>
      <c r="T78" s="953"/>
      <c r="U78" s="862"/>
      <c r="V78" s="862"/>
      <c r="W78" s="863"/>
      <c r="X78" s="863"/>
      <c r="Y78" s="863"/>
      <c r="Z78" s="863"/>
      <c r="AA78" s="864"/>
      <c r="AB78" s="865"/>
      <c r="AC78" s="2373"/>
      <c r="AD78" s="866"/>
      <c r="AE78" s="867"/>
      <c r="AF78" s="867"/>
      <c r="AG78" s="868"/>
      <c r="AH78" s="869"/>
      <c r="AI78" s="862"/>
      <c r="AJ78" s="862"/>
      <c r="AK78" s="862"/>
      <c r="AL78" s="862"/>
      <c r="AM78" s="862"/>
      <c r="AN78" s="862"/>
      <c r="AO78" s="862"/>
      <c r="AP78" s="862"/>
      <c r="AQ78" s="862"/>
      <c r="AR78" s="862"/>
      <c r="AS78" s="862"/>
      <c r="AT78" s="862"/>
      <c r="AU78" s="862"/>
      <c r="AV78" s="862"/>
      <c r="AW78" s="862"/>
      <c r="AX78" s="862"/>
      <c r="AY78" s="862"/>
      <c r="AZ78" s="862"/>
      <c r="BA78" s="862"/>
      <c r="BB78" s="862"/>
      <c r="BC78" s="862"/>
      <c r="BD78" s="862"/>
      <c r="BE78" s="862"/>
      <c r="BF78" s="862"/>
      <c r="BG78" s="862"/>
      <c r="BH78" s="862"/>
      <c r="BI78" s="862"/>
      <c r="BJ78" s="862"/>
      <c r="BK78" s="862"/>
      <c r="BL78" s="862"/>
      <c r="BM78" s="862"/>
      <c r="BN78" s="862"/>
      <c r="BO78" s="862"/>
      <c r="BP78" s="862"/>
      <c r="BQ78" s="862"/>
      <c r="BR78" s="862"/>
      <c r="BS78" s="862"/>
      <c r="BT78" s="862"/>
      <c r="BU78" s="862"/>
      <c r="BV78" s="863"/>
      <c r="BW78" s="863"/>
      <c r="BX78" s="863"/>
      <c r="BY78" s="863"/>
      <c r="BZ78" s="863"/>
      <c r="CA78" s="863"/>
      <c r="CB78" s="863"/>
      <c r="CC78" s="863"/>
      <c r="CD78" s="863"/>
      <c r="CE78" s="863"/>
    </row>
    <row customHeight="1" ht="15" hidden="1">
      <c r="A79" s="860"/>
      <c r="B79" s="861"/>
      <c r="C79" s="861"/>
      <c r="D79" s="2391"/>
      <c r="E79" s="2374" t="s">
        <v>1477</v>
      </c>
      <c r="F79" s="2375"/>
      <c r="G79" s="2376"/>
      <c r="H79" s="2377" t="str">
        <f>IF(A77="","",INDEX(DIFFERENTIATION_UNMERGE_SYSTEM,MATCH(A77,DIFFERENTIATION_ID_DIFF,0)))</f>
        <v>Котельная №8, ул.Мира</v>
      </c>
      <c r="I79" s="2377"/>
      <c r="J79" s="2377"/>
      <c r="K79" s="2377"/>
      <c r="L79" s="2377"/>
      <c r="M79" s="2377"/>
      <c r="N79" s="2377"/>
      <c r="O79" s="2377"/>
      <c r="P79" s="2377"/>
      <c r="Q79" s="2377"/>
      <c r="R79" s="2377"/>
      <c r="S79" s="956"/>
      <c r="T79" s="953"/>
      <c r="U79" s="862"/>
      <c r="V79" s="862"/>
      <c r="W79" s="863"/>
      <c r="X79" s="863"/>
      <c r="Y79" s="863"/>
      <c r="Z79" s="863"/>
      <c r="AA79" s="864"/>
      <c r="AB79" s="865"/>
      <c r="AC79" s="2373"/>
      <c r="AD79" s="866"/>
      <c r="AE79" s="867"/>
      <c r="AF79" s="867"/>
      <c r="AG79" s="868"/>
      <c r="AH79" s="869"/>
      <c r="AI79" s="862"/>
      <c r="AJ79" s="862"/>
      <c r="AK79" s="862"/>
      <c r="AL79" s="862"/>
      <c r="AM79" s="862"/>
      <c r="AN79" s="862"/>
      <c r="AO79" s="862"/>
      <c r="AP79" s="862"/>
      <c r="AQ79" s="862"/>
      <c r="AR79" s="862"/>
      <c r="AS79" s="862"/>
      <c r="AT79" s="862"/>
      <c r="AU79" s="862"/>
      <c r="AV79" s="862"/>
      <c r="AW79" s="862"/>
      <c r="AX79" s="862"/>
      <c r="AY79" s="862"/>
      <c r="AZ79" s="862"/>
      <c r="BA79" s="862"/>
      <c r="BB79" s="862"/>
      <c r="BC79" s="862"/>
      <c r="BD79" s="862"/>
      <c r="BE79" s="862"/>
      <c r="BF79" s="862"/>
      <c r="BG79" s="862"/>
      <c r="BH79" s="862"/>
      <c r="BI79" s="862"/>
      <c r="BJ79" s="862"/>
      <c r="BK79" s="862"/>
      <c r="BL79" s="862"/>
      <c r="BM79" s="862"/>
      <c r="BN79" s="862"/>
      <c r="BO79" s="862"/>
      <c r="BP79" s="862"/>
      <c r="BQ79" s="862"/>
      <c r="BR79" s="862"/>
      <c r="BS79" s="862"/>
      <c r="BT79" s="862"/>
      <c r="BU79" s="862"/>
      <c r="BV79" s="863"/>
      <c r="BW79" s="863"/>
      <c r="BX79" s="863"/>
      <c r="BY79" s="863"/>
      <c r="BZ79" s="863"/>
      <c r="CA79" s="863"/>
      <c r="CB79" s="863"/>
      <c r="CC79" s="863"/>
      <c r="CD79" s="863"/>
      <c r="CE79" s="863"/>
    </row>
    <row customHeight="1" ht="24.75" hidden="1">
      <c r="A80" s="870"/>
      <c r="B80" s="653"/>
      <c r="C80" s="648"/>
      <c r="D80" s="2391"/>
      <c r="E80" s="2388" t="s">
        <v>1478</v>
      </c>
      <c r="F80" s="2388"/>
      <c r="G80" s="2388"/>
      <c r="H80" s="2388"/>
      <c r="I80" s="2388"/>
      <c r="J80" s="2388"/>
      <c r="K80" s="2388"/>
      <c r="L80" s="2388"/>
      <c r="M80" s="2388"/>
      <c r="N80" s="2388"/>
      <c r="O80" s="2388"/>
      <c r="P80" s="2388"/>
      <c r="Q80" s="795">
        <f>SUMIF(T81:T82,"i",Q81:Q82)</f>
        <v>0</v>
      </c>
      <c r="R80" s="1273"/>
      <c r="S80" s="1278" t="s">
        <v>1479</v>
      </c>
      <c r="T80" s="954" t="s">
        <v>1480</v>
      </c>
      <c r="U80" s="2389">
        <v>1</v>
      </c>
      <c r="V80" s="2389" t="s">
        <v>1481</v>
      </c>
      <c r="W80" s="653"/>
      <c r="X80" s="653"/>
      <c r="Y80" s="653"/>
      <c r="Z80" s="653"/>
      <c r="AA80" s="748"/>
      <c r="AB80" s="653"/>
      <c r="AC80" s="2373"/>
      <c r="AD80" s="866"/>
      <c r="AE80" s="653"/>
      <c r="AF80" s="653"/>
      <c r="AG80" s="748"/>
      <c r="AH80" s="748"/>
      <c r="AI80" s="748"/>
      <c r="AJ80" s="748"/>
      <c r="AK80" s="748"/>
      <c r="AL80" s="748"/>
      <c r="AM80" s="748"/>
      <c r="AN80" s="748"/>
      <c r="AO80" s="748"/>
      <c r="AP80" s="748"/>
      <c r="AQ80" s="748"/>
      <c r="AR80" s="748"/>
      <c r="AS80" s="748"/>
      <c r="AT80" s="748"/>
      <c r="AU80" s="748"/>
      <c r="AV80" s="748"/>
      <c r="AW80" s="748"/>
      <c r="AX80" s="748"/>
      <c r="AY80" s="748"/>
      <c r="AZ80" s="748"/>
      <c r="BA80" s="748"/>
      <c r="BB80" s="748"/>
      <c r="BC80" s="748"/>
      <c r="BD80" s="748"/>
      <c r="BE80" s="748"/>
      <c r="BF80" s="748"/>
      <c r="BG80" s="748"/>
      <c r="BH80" s="748"/>
      <c r="BI80" s="748"/>
      <c r="BJ80" s="748"/>
      <c r="BK80" s="748"/>
      <c r="BL80" s="748"/>
      <c r="BM80" s="748"/>
      <c r="BN80" s="748"/>
      <c r="BO80" s="748"/>
      <c r="BP80" s="748"/>
      <c r="BQ80" s="748"/>
      <c r="BR80" s="748"/>
      <c r="BS80" s="748"/>
      <c r="BT80" s="748"/>
      <c r="BU80" s="748"/>
      <c r="BV80" s="653"/>
      <c r="BW80" s="653"/>
      <c r="BX80" s="653"/>
      <c r="BY80" s="653"/>
      <c r="BZ80" s="653"/>
      <c r="CA80" s="653"/>
      <c r="CB80" s="653"/>
      <c r="CC80" s="653"/>
      <c r="CD80" s="653"/>
      <c r="CE80" s="653"/>
    </row>
    <row customHeight="1" ht="11.25" hidden="1">
      <c r="A81" s="1277"/>
      <c r="B81" s="748"/>
      <c r="C81" s="748"/>
      <c r="D81" s="2391"/>
      <c r="E81" s="872"/>
      <c r="F81" s="872">
        <v>0</v>
      </c>
      <c r="G81" s="872"/>
      <c r="H81" s="872"/>
      <c r="I81" s="872"/>
      <c r="J81" s="872"/>
      <c r="K81" s="872"/>
      <c r="L81" s="872"/>
      <c r="M81" s="872"/>
      <c r="N81" s="872"/>
      <c r="O81" s="872"/>
      <c r="P81" s="872"/>
      <c r="Q81" s="872"/>
      <c r="R81" s="872"/>
      <c r="S81" s="873"/>
      <c r="T81" s="955"/>
      <c r="U81" s="2389"/>
      <c r="V81" s="2389"/>
      <c r="W81" s="748"/>
      <c r="X81" s="748"/>
      <c r="Y81" s="748"/>
      <c r="Z81" s="748"/>
      <c r="AA81" s="748"/>
      <c r="AB81" s="653"/>
      <c r="AC81" s="2373"/>
      <c r="AD81" s="866"/>
      <c r="AE81" s="653"/>
      <c r="AF81" s="653"/>
      <c r="AG81" s="748"/>
      <c r="AH81" s="748"/>
      <c r="AI81" s="748"/>
      <c r="AJ81" s="748"/>
      <c r="AK81" s="748"/>
      <c r="AL81" s="748"/>
      <c r="AM81" s="748"/>
      <c r="AN81" s="748"/>
      <c r="AO81" s="748"/>
      <c r="AP81" s="748"/>
      <c r="AQ81" s="748"/>
      <c r="AR81" s="748"/>
      <c r="AS81" s="748"/>
      <c r="AT81" s="748"/>
      <c r="AU81" s="748"/>
      <c r="AV81" s="748"/>
      <c r="AW81" s="748"/>
      <c r="AX81" s="748"/>
      <c r="AY81" s="748"/>
      <c r="AZ81" s="748"/>
      <c r="BA81" s="748"/>
      <c r="BB81" s="748"/>
      <c r="BC81" s="748"/>
      <c r="BD81" s="748"/>
      <c r="BE81" s="748"/>
      <c r="BF81" s="748"/>
      <c r="BG81" s="748"/>
      <c r="BH81" s="748"/>
      <c r="BI81" s="748"/>
      <c r="BJ81" s="748"/>
      <c r="BK81" s="748"/>
      <c r="BL81" s="748"/>
      <c r="BM81" s="748"/>
      <c r="BN81" s="748"/>
      <c r="BO81" s="748"/>
      <c r="BP81" s="748"/>
      <c r="BQ81" s="748"/>
      <c r="BR81" s="748"/>
      <c r="BS81" s="748"/>
      <c r="BT81" s="748"/>
      <c r="BU81" s="748"/>
      <c r="BV81" s="748"/>
      <c r="BW81" s="748"/>
      <c r="BX81" s="748"/>
      <c r="BY81" s="748"/>
      <c r="BZ81" s="748"/>
      <c r="CA81" s="748"/>
      <c r="CB81" s="748"/>
      <c r="CC81" s="748"/>
      <c r="CD81" s="748"/>
      <c r="CE81" s="748"/>
    </row>
    <row customHeight="1" ht="11.25" hidden="1">
      <c r="A82" s="870"/>
      <c r="B82" s="653"/>
      <c r="C82" s="648"/>
      <c r="D82" s="2391"/>
      <c r="E82" s="886" t="s">
        <v>17</v>
      </c>
      <c r="F82" s="887" t="s">
        <v>17</v>
      </c>
      <c r="G82" s="887" t="s">
        <v>1482</v>
      </c>
      <c r="H82" s="888" t="s">
        <v>17</v>
      </c>
      <c r="I82" s="888"/>
      <c r="J82" s="888"/>
      <c r="K82" s="888"/>
      <c r="L82" s="888"/>
      <c r="M82" s="888"/>
      <c r="N82" s="888"/>
      <c r="O82" s="888"/>
      <c r="P82" s="888"/>
      <c r="Q82" s="888"/>
      <c r="R82" s="889"/>
      <c r="S82" s="890"/>
      <c r="T82" s="955"/>
      <c r="U82" s="2389"/>
      <c r="V82" s="2389"/>
      <c r="W82" s="653"/>
      <c r="X82" s="653"/>
      <c r="Y82" s="653"/>
      <c r="Z82" s="653"/>
      <c r="AA82" s="748"/>
      <c r="AB82" s="653"/>
      <c r="AC82" s="2373"/>
      <c r="AD82" s="866"/>
      <c r="AE82" s="653"/>
      <c r="AF82" s="653"/>
      <c r="AG82" s="748"/>
      <c r="AH82" s="748"/>
      <c r="AI82" s="748"/>
      <c r="AJ82" s="748"/>
      <c r="AK82" s="748"/>
      <c r="AL82" s="748"/>
      <c r="AM82" s="748"/>
      <c r="AN82" s="748"/>
      <c r="AO82" s="748"/>
      <c r="AP82" s="748"/>
      <c r="AQ82" s="748"/>
      <c r="AR82" s="748"/>
      <c r="AS82" s="748"/>
      <c r="AT82" s="748"/>
      <c r="AU82" s="748"/>
      <c r="AV82" s="748"/>
      <c r="AW82" s="748"/>
      <c r="AX82" s="748"/>
      <c r="AY82" s="748"/>
      <c r="AZ82" s="748"/>
      <c r="BA82" s="748"/>
      <c r="BB82" s="748"/>
      <c r="BC82" s="748"/>
      <c r="BD82" s="748"/>
      <c r="BE82" s="748"/>
      <c r="BF82" s="748"/>
      <c r="BG82" s="748"/>
      <c r="BH82" s="748"/>
      <c r="BI82" s="748"/>
      <c r="BJ82" s="748"/>
      <c r="BK82" s="748"/>
      <c r="BL82" s="748"/>
      <c r="BM82" s="748"/>
      <c r="BN82" s="748"/>
      <c r="BO82" s="748"/>
      <c r="BP82" s="748"/>
      <c r="BQ82" s="748"/>
      <c r="BR82" s="748"/>
      <c r="BS82" s="748"/>
      <c r="BT82" s="748"/>
      <c r="BU82" s="748"/>
      <c r="BV82" s="653"/>
      <c r="BW82" s="653"/>
      <c r="BX82" s="653"/>
      <c r="BY82" s="653"/>
      <c r="BZ82" s="653"/>
      <c r="CA82" s="653"/>
      <c r="CB82" s="653"/>
      <c r="CC82" s="653"/>
      <c r="CD82" s="653"/>
      <c r="CE82" s="653"/>
    </row>
    <row customHeight="1" ht="5.25" hidden="1">
      <c r="A83" s="1277"/>
      <c r="B83" s="748"/>
      <c r="C83" s="748"/>
      <c r="D83" s="2391"/>
      <c r="E83" s="1297"/>
      <c r="F83" s="1297"/>
      <c r="G83" s="1297"/>
      <c r="H83" s="1297"/>
      <c r="I83" s="1297"/>
      <c r="J83" s="1297"/>
      <c r="K83" s="1297"/>
      <c r="L83" s="1297"/>
      <c r="M83" s="1297"/>
      <c r="N83" s="1297"/>
      <c r="O83" s="1297"/>
      <c r="P83" s="1297"/>
      <c r="Q83" s="1298"/>
      <c r="R83" s="1299"/>
      <c r="S83" s="1300"/>
      <c r="T83" s="954" t="s">
        <v>1480</v>
      </c>
      <c r="U83" s="2389">
        <v>1</v>
      </c>
      <c r="V83" s="2389" t="s">
        <v>1481</v>
      </c>
      <c r="W83" s="748"/>
      <c r="X83" s="748"/>
      <c r="Y83" s="748"/>
      <c r="Z83" s="748"/>
      <c r="AA83" s="748"/>
      <c r="AB83" s="748"/>
      <c r="AC83" s="1295"/>
      <c r="AD83" s="1296"/>
      <c r="AE83" s="748"/>
      <c r="AF83" s="748"/>
      <c r="AG83" s="748"/>
      <c r="AH83" s="748"/>
      <c r="AI83" s="748"/>
      <c r="AJ83" s="748"/>
      <c r="AK83" s="748"/>
      <c r="AL83" s="748"/>
      <c r="AM83" s="748"/>
      <c r="AN83" s="748"/>
      <c r="AO83" s="748"/>
      <c r="AP83" s="748"/>
      <c r="AQ83" s="748"/>
      <c r="AR83" s="748"/>
      <c r="AS83" s="748"/>
      <c r="AT83" s="748"/>
      <c r="AU83" s="748"/>
      <c r="AV83" s="748"/>
      <c r="AW83" s="748"/>
      <c r="AX83" s="748"/>
      <c r="AY83" s="748"/>
      <c r="AZ83" s="748"/>
      <c r="BA83" s="748"/>
      <c r="BB83" s="748"/>
      <c r="BC83" s="748"/>
      <c r="BD83" s="748"/>
      <c r="BE83" s="748"/>
      <c r="BF83" s="748"/>
      <c r="BG83" s="748"/>
      <c r="BH83" s="748"/>
      <c r="BI83" s="748"/>
      <c r="BJ83" s="748"/>
      <c r="BK83" s="748"/>
      <c r="BL83" s="748"/>
      <c r="BM83" s="748"/>
      <c r="BN83" s="748"/>
      <c r="BO83" s="748"/>
      <c r="BP83" s="748"/>
      <c r="BQ83" s="748"/>
      <c r="BR83" s="748"/>
      <c r="BS83" s="748"/>
      <c r="BT83" s="748"/>
      <c r="BU83" s="748"/>
      <c r="BV83" s="748"/>
      <c r="BW83" s="748"/>
      <c r="BX83" s="748"/>
      <c r="BY83" s="748"/>
      <c r="BZ83" s="748"/>
      <c r="CA83" s="748"/>
      <c r="CB83" s="748"/>
      <c r="CC83" s="748"/>
      <c r="CD83" s="748"/>
      <c r="CE83" s="748"/>
    </row>
    <row customHeight="1" ht="5.25" hidden="1">
      <c r="A84" s="1277"/>
      <c r="B84" s="748"/>
      <c r="C84" s="748"/>
      <c r="D84" s="2391"/>
      <c r="E84" s="872"/>
      <c r="F84" s="872"/>
      <c r="G84" s="872"/>
      <c r="H84" s="872"/>
      <c r="I84" s="872"/>
      <c r="J84" s="872"/>
      <c r="K84" s="872"/>
      <c r="L84" s="872"/>
      <c r="M84" s="872"/>
      <c r="N84" s="872"/>
      <c r="O84" s="872"/>
      <c r="P84" s="872"/>
      <c r="Q84" s="872"/>
      <c r="R84" s="872"/>
      <c r="S84" s="873"/>
      <c r="T84" s="955"/>
      <c r="U84" s="2389"/>
      <c r="V84" s="2389"/>
      <c r="W84" s="748"/>
      <c r="X84" s="748"/>
      <c r="Y84" s="748"/>
      <c r="Z84" s="748"/>
      <c r="AA84" s="748"/>
      <c r="AB84" s="748"/>
      <c r="AC84" s="1295"/>
      <c r="AD84" s="1296"/>
      <c r="AE84" s="748"/>
      <c r="AF84" s="748"/>
      <c r="AG84" s="748"/>
      <c r="AH84" s="748"/>
      <c r="AI84" s="748"/>
      <c r="AJ84" s="748"/>
      <c r="AK84" s="748"/>
      <c r="AL84" s="748"/>
      <c r="AM84" s="748"/>
      <c r="AN84" s="748"/>
      <c r="AO84" s="748"/>
      <c r="AP84" s="748"/>
      <c r="AQ84" s="748"/>
      <c r="AR84" s="748"/>
      <c r="AS84" s="748"/>
      <c r="AT84" s="748"/>
      <c r="AU84" s="748"/>
      <c r="AV84" s="748"/>
      <c r="AW84" s="748"/>
      <c r="AX84" s="748"/>
      <c r="AY84" s="748"/>
      <c r="AZ84" s="748"/>
      <c r="BA84" s="748"/>
      <c r="BB84" s="748"/>
      <c r="BC84" s="748"/>
      <c r="BD84" s="748"/>
      <c r="BE84" s="748"/>
      <c r="BF84" s="748"/>
      <c r="BG84" s="748"/>
      <c r="BH84" s="748"/>
      <c r="BI84" s="748"/>
      <c r="BJ84" s="748"/>
      <c r="BK84" s="748"/>
      <c r="BL84" s="748"/>
      <c r="BM84" s="748"/>
      <c r="BN84" s="748"/>
      <c r="BO84" s="748"/>
      <c r="BP84" s="748"/>
      <c r="BQ84" s="748"/>
      <c r="BR84" s="748"/>
      <c r="BS84" s="748"/>
      <c r="BT84" s="748"/>
      <c r="BU84" s="748"/>
      <c r="BV84" s="748"/>
      <c r="BW84" s="748"/>
      <c r="BX84" s="748"/>
      <c r="BY84" s="748"/>
      <c r="BZ84" s="748"/>
      <c r="CA84" s="748"/>
      <c r="CB84" s="748"/>
      <c r="CC84" s="748"/>
      <c r="CD84" s="748"/>
      <c r="CE84" s="748"/>
    </row>
    <row customHeight="1" ht="5.25" hidden="1">
      <c r="A85" s="1277"/>
      <c r="B85" s="748"/>
      <c r="C85" s="748"/>
      <c r="D85" s="2392"/>
      <c r="E85" s="1301"/>
      <c r="F85" s="1302"/>
      <c r="G85" s="1302"/>
      <c r="H85" s="1303"/>
      <c r="I85" s="1303"/>
      <c r="J85" s="1303"/>
      <c r="K85" s="1303"/>
      <c r="L85" s="1303"/>
      <c r="M85" s="1303"/>
      <c r="N85" s="1303"/>
      <c r="O85" s="1303"/>
      <c r="P85" s="1303"/>
      <c r="Q85" s="1303"/>
      <c r="R85" s="1202"/>
      <c r="S85" s="1304"/>
      <c r="T85" s="955"/>
      <c r="U85" s="2389"/>
      <c r="V85" s="2389"/>
      <c r="W85" s="748"/>
      <c r="X85" s="748"/>
      <c r="Y85" s="748"/>
      <c r="Z85" s="748"/>
      <c r="AA85" s="748"/>
      <c r="AB85" s="748"/>
      <c r="AC85" s="1295"/>
      <c r="AD85" s="1296"/>
      <c r="AE85" s="748"/>
      <c r="AF85" s="748"/>
      <c r="AG85" s="748"/>
      <c r="AH85" s="748"/>
      <c r="AI85" s="748"/>
      <c r="AJ85" s="748"/>
      <c r="AK85" s="748"/>
      <c r="AL85" s="748"/>
      <c r="AM85" s="748"/>
      <c r="AN85" s="748"/>
      <c r="AO85" s="748"/>
      <c r="AP85" s="748"/>
      <c r="AQ85" s="748"/>
      <c r="AR85" s="748"/>
      <c r="AS85" s="748"/>
      <c r="AT85" s="748"/>
      <c r="AU85" s="748"/>
      <c r="AV85" s="748"/>
      <c r="AW85" s="748"/>
      <c r="AX85" s="748"/>
      <c r="AY85" s="748"/>
      <c r="AZ85" s="748"/>
      <c r="BA85" s="748"/>
      <c r="BB85" s="748"/>
      <c r="BC85" s="748"/>
      <c r="BD85" s="748"/>
      <c r="BE85" s="748"/>
      <c r="BF85" s="748"/>
      <c r="BG85" s="748"/>
      <c r="BH85" s="748"/>
      <c r="BI85" s="748"/>
      <c r="BJ85" s="748"/>
      <c r="BK85" s="748"/>
      <c r="BL85" s="748"/>
      <c r="BM85" s="748"/>
      <c r="BN85" s="748"/>
      <c r="BO85" s="748"/>
      <c r="BP85" s="748"/>
      <c r="BQ85" s="748"/>
      <c r="BR85" s="748"/>
      <c r="BS85" s="748"/>
      <c r="BT85" s="748"/>
      <c r="BU85" s="748"/>
      <c r="BV85" s="748"/>
      <c r="BW85" s="748"/>
      <c r="BX85" s="748"/>
      <c r="BY85" s="748"/>
      <c r="BZ85" s="748"/>
      <c r="CA85" s="748"/>
      <c r="CB85" s="748"/>
      <c r="CC85" s="748"/>
      <c r="CD85" s="748"/>
      <c r="CE85" s="748"/>
    </row>
    <row customHeight="1" ht="15" hidden="1">
      <c r="A86" s="860" t="s">
        <v>138</v>
      </c>
      <c r="B86" s="861"/>
      <c r="C86" s="861" t="s">
        <v>17</v>
      </c>
      <c r="D86" s="2390" t="s">
        <v>1817</v>
      </c>
      <c r="E86" s="2374" t="s">
        <v>105</v>
      </c>
      <c r="F86" s="2375"/>
      <c r="G86" s="2376"/>
      <c r="H86" s="2377" t="str">
        <f>IF(A86="","",INDEX(DIFFERENTIATION_UNMERGE_VD,MATCH(A86,DIFFERENTIATION_ID_DIFF,0)))</f>
        <v>Производство тепловой энергии. Некомбинированная выработка</v>
      </c>
      <c r="I86" s="2377"/>
      <c r="J86" s="2377"/>
      <c r="K86" s="2377"/>
      <c r="L86" s="2377"/>
      <c r="M86" s="2377"/>
      <c r="N86" s="2377"/>
      <c r="O86" s="2377"/>
      <c r="P86" s="2377"/>
      <c r="Q86" s="2377"/>
      <c r="R86" s="2377"/>
      <c r="S86" s="956"/>
      <c r="T86" s="953"/>
      <c r="U86" s="862"/>
      <c r="V86" s="862"/>
      <c r="W86" s="863"/>
      <c r="X86" s="863"/>
      <c r="Y86" s="863"/>
      <c r="Z86" s="863"/>
      <c r="AA86" s="864"/>
      <c r="AB86" s="865"/>
      <c r="AC86" s="2373"/>
      <c r="AD86" s="866"/>
      <c r="AE86" s="867" t="s">
        <v>17</v>
      </c>
      <c r="AF86" s="867"/>
      <c r="AG86" s="868" t="s">
        <v>1475</v>
      </c>
      <c r="AH86" s="869">
        <v>3</v>
      </c>
      <c r="AI86" s="862"/>
      <c r="AJ86" s="862"/>
      <c r="AK86" s="862"/>
      <c r="AL86" s="862"/>
      <c r="AM86" s="862"/>
      <c r="AN86" s="862"/>
      <c r="AO86" s="862"/>
      <c r="AP86" s="862"/>
      <c r="AQ86" s="862"/>
      <c r="AR86" s="862"/>
      <c r="AS86" s="862"/>
      <c r="AT86" s="862"/>
      <c r="AU86" s="862"/>
      <c r="AV86" s="862"/>
      <c r="AW86" s="862"/>
      <c r="AX86" s="862"/>
      <c r="AY86" s="862"/>
      <c r="AZ86" s="862"/>
      <c r="BA86" s="862"/>
      <c r="BB86" s="862"/>
      <c r="BC86" s="862"/>
      <c r="BD86" s="862"/>
      <c r="BE86" s="862"/>
      <c r="BF86" s="862"/>
      <c r="BG86" s="862"/>
      <c r="BH86" s="862"/>
      <c r="BI86" s="862"/>
      <c r="BJ86" s="862"/>
      <c r="BK86" s="862"/>
      <c r="BL86" s="862"/>
      <c r="BM86" s="862"/>
      <c r="BN86" s="862"/>
      <c r="BO86" s="862"/>
      <c r="BP86" s="862"/>
      <c r="BQ86" s="862"/>
      <c r="BR86" s="862"/>
      <c r="BS86" s="862"/>
      <c r="BT86" s="862"/>
      <c r="BU86" s="862"/>
      <c r="BV86" s="863"/>
      <c r="BW86" s="863"/>
      <c r="BX86" s="863"/>
      <c r="BY86" s="863"/>
      <c r="BZ86" s="863"/>
      <c r="CA86" s="863"/>
      <c r="CB86" s="863"/>
      <c r="CC86" s="863"/>
      <c r="CD86" s="863"/>
      <c r="CE86" s="863"/>
    </row>
    <row customHeight="1" ht="15" hidden="1">
      <c r="A87" s="860"/>
      <c r="B87" s="861"/>
      <c r="C87" s="861"/>
      <c r="D87" s="2391"/>
      <c r="E87" s="2374" t="s">
        <v>1476</v>
      </c>
      <c r="F87" s="2375"/>
      <c r="G87" s="2376"/>
      <c r="H87" s="2377" t="str">
        <f>IF(A86="","",INDEX(DIFFERENTIATION_UNMERGE_AREA,MATCH(A86,DIFFERENTIATION_ID_DIFF,0)))</f>
        <v>Территория 1</v>
      </c>
      <c r="I87" s="2377"/>
      <c r="J87" s="2377"/>
      <c r="K87" s="2377"/>
      <c r="L87" s="2377"/>
      <c r="M87" s="2377"/>
      <c r="N87" s="2377"/>
      <c r="O87" s="2377"/>
      <c r="P87" s="2377"/>
      <c r="Q87" s="2377"/>
      <c r="R87" s="2377"/>
      <c r="S87" s="956"/>
      <c r="T87" s="953"/>
      <c r="U87" s="862"/>
      <c r="V87" s="862"/>
      <c r="W87" s="863"/>
      <c r="X87" s="863"/>
      <c r="Y87" s="863"/>
      <c r="Z87" s="863"/>
      <c r="AA87" s="864"/>
      <c r="AB87" s="865"/>
      <c r="AC87" s="2373"/>
      <c r="AD87" s="866"/>
      <c r="AE87" s="867"/>
      <c r="AF87" s="867"/>
      <c r="AG87" s="868"/>
      <c r="AH87" s="869"/>
      <c r="AI87" s="862"/>
      <c r="AJ87" s="862"/>
      <c r="AK87" s="862"/>
      <c r="AL87" s="862"/>
      <c r="AM87" s="862"/>
      <c r="AN87" s="862"/>
      <c r="AO87" s="862"/>
      <c r="AP87" s="862"/>
      <c r="AQ87" s="862"/>
      <c r="AR87" s="862"/>
      <c r="AS87" s="862"/>
      <c r="AT87" s="862"/>
      <c r="AU87" s="862"/>
      <c r="AV87" s="862"/>
      <c r="AW87" s="862"/>
      <c r="AX87" s="862"/>
      <c r="AY87" s="862"/>
      <c r="AZ87" s="862"/>
      <c r="BA87" s="862"/>
      <c r="BB87" s="862"/>
      <c r="BC87" s="862"/>
      <c r="BD87" s="862"/>
      <c r="BE87" s="862"/>
      <c r="BF87" s="862"/>
      <c r="BG87" s="862"/>
      <c r="BH87" s="862"/>
      <c r="BI87" s="862"/>
      <c r="BJ87" s="862"/>
      <c r="BK87" s="862"/>
      <c r="BL87" s="862"/>
      <c r="BM87" s="862"/>
      <c r="BN87" s="862"/>
      <c r="BO87" s="862"/>
      <c r="BP87" s="862"/>
      <c r="BQ87" s="862"/>
      <c r="BR87" s="862"/>
      <c r="BS87" s="862"/>
      <c r="BT87" s="862"/>
      <c r="BU87" s="862"/>
      <c r="BV87" s="863"/>
      <c r="BW87" s="863"/>
      <c r="BX87" s="863"/>
      <c r="BY87" s="863"/>
      <c r="BZ87" s="863"/>
      <c r="CA87" s="863"/>
      <c r="CB87" s="863"/>
      <c r="CC87" s="863"/>
      <c r="CD87" s="863"/>
      <c r="CE87" s="863"/>
    </row>
    <row customHeight="1" ht="15" hidden="1">
      <c r="A88" s="860"/>
      <c r="B88" s="861"/>
      <c r="C88" s="861"/>
      <c r="D88" s="2391"/>
      <c r="E88" s="2374" t="s">
        <v>1477</v>
      </c>
      <c r="F88" s="2375"/>
      <c r="G88" s="2376"/>
      <c r="H88" s="2377" t="str">
        <f>IF(A86="","",INDEX(DIFFERENTIATION_UNMERGE_SYSTEM,MATCH(A86,DIFFERENTIATION_ID_DIFF,0)))</f>
        <v>Котельная №9, ул.Гоголя</v>
      </c>
      <c r="I88" s="2377"/>
      <c r="J88" s="2377"/>
      <c r="K88" s="2377"/>
      <c r="L88" s="2377"/>
      <c r="M88" s="2377"/>
      <c r="N88" s="2377"/>
      <c r="O88" s="2377"/>
      <c r="P88" s="2377"/>
      <c r="Q88" s="2377"/>
      <c r="R88" s="2377"/>
      <c r="S88" s="956"/>
      <c r="T88" s="953"/>
      <c r="U88" s="862"/>
      <c r="V88" s="862"/>
      <c r="W88" s="863"/>
      <c r="X88" s="863"/>
      <c r="Y88" s="863"/>
      <c r="Z88" s="863"/>
      <c r="AA88" s="864"/>
      <c r="AB88" s="865"/>
      <c r="AC88" s="2373"/>
      <c r="AD88" s="866"/>
      <c r="AE88" s="867"/>
      <c r="AF88" s="867"/>
      <c r="AG88" s="868"/>
      <c r="AH88" s="869"/>
      <c r="AI88" s="862"/>
      <c r="AJ88" s="862"/>
      <c r="AK88" s="862"/>
      <c r="AL88" s="862"/>
      <c r="AM88" s="862"/>
      <c r="AN88" s="862"/>
      <c r="AO88" s="862"/>
      <c r="AP88" s="862"/>
      <c r="AQ88" s="862"/>
      <c r="AR88" s="862"/>
      <c r="AS88" s="862"/>
      <c r="AT88" s="862"/>
      <c r="AU88" s="862"/>
      <c r="AV88" s="862"/>
      <c r="AW88" s="862"/>
      <c r="AX88" s="862"/>
      <c r="AY88" s="862"/>
      <c r="AZ88" s="862"/>
      <c r="BA88" s="862"/>
      <c r="BB88" s="862"/>
      <c r="BC88" s="862"/>
      <c r="BD88" s="862"/>
      <c r="BE88" s="862"/>
      <c r="BF88" s="862"/>
      <c r="BG88" s="862"/>
      <c r="BH88" s="862"/>
      <c r="BI88" s="862"/>
      <c r="BJ88" s="862"/>
      <c r="BK88" s="862"/>
      <c r="BL88" s="862"/>
      <c r="BM88" s="862"/>
      <c r="BN88" s="862"/>
      <c r="BO88" s="862"/>
      <c r="BP88" s="862"/>
      <c r="BQ88" s="862"/>
      <c r="BR88" s="862"/>
      <c r="BS88" s="862"/>
      <c r="BT88" s="862"/>
      <c r="BU88" s="862"/>
      <c r="BV88" s="863"/>
      <c r="BW88" s="863"/>
      <c r="BX88" s="863"/>
      <c r="BY88" s="863"/>
      <c r="BZ88" s="863"/>
      <c r="CA88" s="863"/>
      <c r="CB88" s="863"/>
      <c r="CC88" s="863"/>
      <c r="CD88" s="863"/>
      <c r="CE88" s="863"/>
    </row>
    <row customHeight="1" ht="24.75" hidden="1">
      <c r="A89" s="870"/>
      <c r="B89" s="653"/>
      <c r="C89" s="648"/>
      <c r="D89" s="2391"/>
      <c r="E89" s="2388" t="s">
        <v>1478</v>
      </c>
      <c r="F89" s="2388"/>
      <c r="G89" s="2388"/>
      <c r="H89" s="2388"/>
      <c r="I89" s="2388"/>
      <c r="J89" s="2388"/>
      <c r="K89" s="2388"/>
      <c r="L89" s="2388"/>
      <c r="M89" s="2388"/>
      <c r="N89" s="2388"/>
      <c r="O89" s="2388"/>
      <c r="P89" s="2388"/>
      <c r="Q89" s="795">
        <f>SUMIF(T90:T91,"i",Q90:Q91)</f>
        <v>0</v>
      </c>
      <c r="R89" s="1273"/>
      <c r="S89" s="1278" t="s">
        <v>1479</v>
      </c>
      <c r="T89" s="954" t="s">
        <v>1480</v>
      </c>
      <c r="U89" s="2389">
        <v>1</v>
      </c>
      <c r="V89" s="2389" t="s">
        <v>1481</v>
      </c>
      <c r="W89" s="653"/>
      <c r="X89" s="653"/>
      <c r="Y89" s="653"/>
      <c r="Z89" s="653"/>
      <c r="AA89" s="748"/>
      <c r="AB89" s="653"/>
      <c r="AC89" s="2373"/>
      <c r="AD89" s="866"/>
      <c r="AE89" s="653"/>
      <c r="AF89" s="653"/>
      <c r="AG89" s="748"/>
      <c r="AH89" s="748"/>
      <c r="AI89" s="748"/>
      <c r="AJ89" s="748"/>
      <c r="AK89" s="748"/>
      <c r="AL89" s="748"/>
      <c r="AM89" s="748"/>
      <c r="AN89" s="748"/>
      <c r="AO89" s="748"/>
      <c r="AP89" s="748"/>
      <c r="AQ89" s="748"/>
      <c r="AR89" s="748"/>
      <c r="AS89" s="748"/>
      <c r="AT89" s="748"/>
      <c r="AU89" s="748"/>
      <c r="AV89" s="748"/>
      <c r="AW89" s="748"/>
      <c r="AX89" s="748"/>
      <c r="AY89" s="748"/>
      <c r="AZ89" s="748"/>
      <c r="BA89" s="748"/>
      <c r="BB89" s="748"/>
      <c r="BC89" s="748"/>
      <c r="BD89" s="748"/>
      <c r="BE89" s="748"/>
      <c r="BF89" s="748"/>
      <c r="BG89" s="748"/>
      <c r="BH89" s="748"/>
      <c r="BI89" s="748"/>
      <c r="BJ89" s="748"/>
      <c r="BK89" s="748"/>
      <c r="BL89" s="748"/>
      <c r="BM89" s="748"/>
      <c r="BN89" s="748"/>
      <c r="BO89" s="748"/>
      <c r="BP89" s="748"/>
      <c r="BQ89" s="748"/>
      <c r="BR89" s="748"/>
      <c r="BS89" s="748"/>
      <c r="BT89" s="748"/>
      <c r="BU89" s="748"/>
      <c r="BV89" s="653"/>
      <c r="BW89" s="653"/>
      <c r="BX89" s="653"/>
      <c r="BY89" s="653"/>
      <c r="BZ89" s="653"/>
      <c r="CA89" s="653"/>
      <c r="CB89" s="653"/>
      <c r="CC89" s="653"/>
      <c r="CD89" s="653"/>
      <c r="CE89" s="653"/>
    </row>
    <row customHeight="1" ht="11.25" hidden="1">
      <c r="A90" s="1277"/>
      <c r="B90" s="748"/>
      <c r="C90" s="748"/>
      <c r="D90" s="2391"/>
      <c r="E90" s="872"/>
      <c r="F90" s="872">
        <v>0</v>
      </c>
      <c r="G90" s="872"/>
      <c r="H90" s="872"/>
      <c r="I90" s="872"/>
      <c r="J90" s="872"/>
      <c r="K90" s="872"/>
      <c r="L90" s="872"/>
      <c r="M90" s="872"/>
      <c r="N90" s="872"/>
      <c r="O90" s="872"/>
      <c r="P90" s="872"/>
      <c r="Q90" s="872"/>
      <c r="R90" s="872"/>
      <c r="S90" s="873"/>
      <c r="T90" s="955"/>
      <c r="U90" s="2389"/>
      <c r="V90" s="2389"/>
      <c r="W90" s="748"/>
      <c r="X90" s="748"/>
      <c r="Y90" s="748"/>
      <c r="Z90" s="748"/>
      <c r="AA90" s="748"/>
      <c r="AB90" s="653"/>
      <c r="AC90" s="2373"/>
      <c r="AD90" s="866"/>
      <c r="AE90" s="653"/>
      <c r="AF90" s="653"/>
      <c r="AG90" s="748"/>
      <c r="AH90" s="748"/>
      <c r="AI90" s="748"/>
      <c r="AJ90" s="748"/>
      <c r="AK90" s="748"/>
      <c r="AL90" s="748"/>
      <c r="AM90" s="748"/>
      <c r="AN90" s="748"/>
      <c r="AO90" s="748"/>
      <c r="AP90" s="748"/>
      <c r="AQ90" s="748"/>
      <c r="AR90" s="748"/>
      <c r="AS90" s="748"/>
      <c r="AT90" s="748"/>
      <c r="AU90" s="748"/>
      <c r="AV90" s="748"/>
      <c r="AW90" s="748"/>
      <c r="AX90" s="748"/>
      <c r="AY90" s="748"/>
      <c r="AZ90" s="748"/>
      <c r="BA90" s="748"/>
      <c r="BB90" s="748"/>
      <c r="BC90" s="748"/>
      <c r="BD90" s="748"/>
      <c r="BE90" s="748"/>
      <c r="BF90" s="748"/>
      <c r="BG90" s="748"/>
      <c r="BH90" s="748"/>
      <c r="BI90" s="748"/>
      <c r="BJ90" s="748"/>
      <c r="BK90" s="748"/>
      <c r="BL90" s="748"/>
      <c r="BM90" s="748"/>
      <c r="BN90" s="748"/>
      <c r="BO90" s="748"/>
      <c r="BP90" s="748"/>
      <c r="BQ90" s="748"/>
      <c r="BR90" s="748"/>
      <c r="BS90" s="748"/>
      <c r="BT90" s="748"/>
      <c r="BU90" s="748"/>
      <c r="BV90" s="748"/>
      <c r="BW90" s="748"/>
      <c r="BX90" s="748"/>
      <c r="BY90" s="748"/>
      <c r="BZ90" s="748"/>
      <c r="CA90" s="748"/>
      <c r="CB90" s="748"/>
      <c r="CC90" s="748"/>
      <c r="CD90" s="748"/>
      <c r="CE90" s="748"/>
    </row>
    <row customHeight="1" ht="11.25" hidden="1">
      <c r="A91" s="870"/>
      <c r="B91" s="653"/>
      <c r="C91" s="648"/>
      <c r="D91" s="2391"/>
      <c r="E91" s="886" t="s">
        <v>17</v>
      </c>
      <c r="F91" s="887" t="s">
        <v>17</v>
      </c>
      <c r="G91" s="887" t="s">
        <v>1482</v>
      </c>
      <c r="H91" s="888" t="s">
        <v>17</v>
      </c>
      <c r="I91" s="888"/>
      <c r="J91" s="888"/>
      <c r="K91" s="888"/>
      <c r="L91" s="888"/>
      <c r="M91" s="888"/>
      <c r="N91" s="888"/>
      <c r="O91" s="888"/>
      <c r="P91" s="888"/>
      <c r="Q91" s="888"/>
      <c r="R91" s="889"/>
      <c r="S91" s="890"/>
      <c r="T91" s="955"/>
      <c r="U91" s="2389"/>
      <c r="V91" s="2389"/>
      <c r="W91" s="653"/>
      <c r="X91" s="653"/>
      <c r="Y91" s="653"/>
      <c r="Z91" s="653"/>
      <c r="AA91" s="748"/>
      <c r="AB91" s="653"/>
      <c r="AC91" s="2373"/>
      <c r="AD91" s="866"/>
      <c r="AE91" s="653"/>
      <c r="AF91" s="653"/>
      <c r="AG91" s="748"/>
      <c r="AH91" s="748"/>
      <c r="AI91" s="748"/>
      <c r="AJ91" s="748"/>
      <c r="AK91" s="748"/>
      <c r="AL91" s="748"/>
      <c r="AM91" s="748"/>
      <c r="AN91" s="748"/>
      <c r="AO91" s="748"/>
      <c r="AP91" s="748"/>
      <c r="AQ91" s="748"/>
      <c r="AR91" s="748"/>
      <c r="AS91" s="748"/>
      <c r="AT91" s="748"/>
      <c r="AU91" s="748"/>
      <c r="AV91" s="748"/>
      <c r="AW91" s="748"/>
      <c r="AX91" s="748"/>
      <c r="AY91" s="748"/>
      <c r="AZ91" s="748"/>
      <c r="BA91" s="748"/>
      <c r="BB91" s="748"/>
      <c r="BC91" s="748"/>
      <c r="BD91" s="748"/>
      <c r="BE91" s="748"/>
      <c r="BF91" s="748"/>
      <c r="BG91" s="748"/>
      <c r="BH91" s="748"/>
      <c r="BI91" s="748"/>
      <c r="BJ91" s="748"/>
      <c r="BK91" s="748"/>
      <c r="BL91" s="748"/>
      <c r="BM91" s="748"/>
      <c r="BN91" s="748"/>
      <c r="BO91" s="748"/>
      <c r="BP91" s="748"/>
      <c r="BQ91" s="748"/>
      <c r="BR91" s="748"/>
      <c r="BS91" s="748"/>
      <c r="BT91" s="748"/>
      <c r="BU91" s="748"/>
      <c r="BV91" s="653"/>
      <c r="BW91" s="653"/>
      <c r="BX91" s="653"/>
      <c r="BY91" s="653"/>
      <c r="BZ91" s="653"/>
      <c r="CA91" s="653"/>
      <c r="CB91" s="653"/>
      <c r="CC91" s="653"/>
      <c r="CD91" s="653"/>
      <c r="CE91" s="653"/>
    </row>
    <row customHeight="1" ht="5.25" hidden="1">
      <c r="A92" s="1277"/>
      <c r="B92" s="748"/>
      <c r="C92" s="748"/>
      <c r="D92" s="2391"/>
      <c r="E92" s="1297"/>
      <c r="F92" s="1297"/>
      <c r="G92" s="1297"/>
      <c r="H92" s="1297"/>
      <c r="I92" s="1297"/>
      <c r="J92" s="1297"/>
      <c r="K92" s="1297"/>
      <c r="L92" s="1297"/>
      <c r="M92" s="1297"/>
      <c r="N92" s="1297"/>
      <c r="O92" s="1297"/>
      <c r="P92" s="1297"/>
      <c r="Q92" s="1298"/>
      <c r="R92" s="1299"/>
      <c r="S92" s="1300"/>
      <c r="T92" s="954" t="s">
        <v>1480</v>
      </c>
      <c r="U92" s="2389">
        <v>1</v>
      </c>
      <c r="V92" s="2389" t="s">
        <v>1481</v>
      </c>
      <c r="W92" s="748"/>
      <c r="X92" s="748"/>
      <c r="Y92" s="748"/>
      <c r="Z92" s="748"/>
      <c r="AA92" s="748"/>
      <c r="AB92" s="748"/>
      <c r="AC92" s="1295"/>
      <c r="AD92" s="1296"/>
      <c r="AE92" s="748"/>
      <c r="AF92" s="748"/>
      <c r="AG92" s="748"/>
      <c r="AH92" s="748"/>
      <c r="AI92" s="748"/>
      <c r="AJ92" s="748"/>
      <c r="AK92" s="748"/>
      <c r="AL92" s="748"/>
      <c r="AM92" s="748"/>
      <c r="AN92" s="748"/>
      <c r="AO92" s="748"/>
      <c r="AP92" s="748"/>
      <c r="AQ92" s="748"/>
      <c r="AR92" s="748"/>
      <c r="AS92" s="748"/>
      <c r="AT92" s="748"/>
      <c r="AU92" s="748"/>
      <c r="AV92" s="748"/>
      <c r="AW92" s="748"/>
      <c r="AX92" s="748"/>
      <c r="AY92" s="748"/>
      <c r="AZ92" s="748"/>
      <c r="BA92" s="748"/>
      <c r="BB92" s="748"/>
      <c r="BC92" s="748"/>
      <c r="BD92" s="748"/>
      <c r="BE92" s="748"/>
      <c r="BF92" s="748"/>
      <c r="BG92" s="748"/>
      <c r="BH92" s="748"/>
      <c r="BI92" s="748"/>
      <c r="BJ92" s="748"/>
      <c r="BK92" s="748"/>
      <c r="BL92" s="748"/>
      <c r="BM92" s="748"/>
      <c r="BN92" s="748"/>
      <c r="BO92" s="748"/>
      <c r="BP92" s="748"/>
      <c r="BQ92" s="748"/>
      <c r="BR92" s="748"/>
      <c r="BS92" s="748"/>
      <c r="BT92" s="748"/>
      <c r="BU92" s="748"/>
      <c r="BV92" s="748"/>
      <c r="BW92" s="748"/>
      <c r="BX92" s="748"/>
      <c r="BY92" s="748"/>
      <c r="BZ92" s="748"/>
      <c r="CA92" s="748"/>
      <c r="CB92" s="748"/>
      <c r="CC92" s="748"/>
      <c r="CD92" s="748"/>
      <c r="CE92" s="748"/>
    </row>
    <row customHeight="1" ht="5.25" hidden="1">
      <c r="A93" s="1277"/>
      <c r="B93" s="748"/>
      <c r="C93" s="748"/>
      <c r="D93" s="2391"/>
      <c r="E93" s="872"/>
      <c r="F93" s="872"/>
      <c r="G93" s="872"/>
      <c r="H93" s="872"/>
      <c r="I93" s="872"/>
      <c r="J93" s="872"/>
      <c r="K93" s="872"/>
      <c r="L93" s="872"/>
      <c r="M93" s="872"/>
      <c r="N93" s="872"/>
      <c r="O93" s="872"/>
      <c r="P93" s="872"/>
      <c r="Q93" s="872"/>
      <c r="R93" s="872"/>
      <c r="S93" s="873"/>
      <c r="T93" s="955"/>
      <c r="U93" s="2389"/>
      <c r="V93" s="2389"/>
      <c r="W93" s="748"/>
      <c r="X93" s="748"/>
      <c r="Y93" s="748"/>
      <c r="Z93" s="748"/>
      <c r="AA93" s="748"/>
      <c r="AB93" s="748"/>
      <c r="AC93" s="1295"/>
      <c r="AD93" s="1296"/>
      <c r="AE93" s="748"/>
      <c r="AF93" s="748"/>
      <c r="AG93" s="748"/>
      <c r="AH93" s="748"/>
      <c r="AI93" s="748"/>
      <c r="AJ93" s="748"/>
      <c r="AK93" s="748"/>
      <c r="AL93" s="748"/>
      <c r="AM93" s="748"/>
      <c r="AN93" s="748"/>
      <c r="AO93" s="748"/>
      <c r="AP93" s="748"/>
      <c r="AQ93" s="748"/>
      <c r="AR93" s="748"/>
      <c r="AS93" s="748"/>
      <c r="AT93" s="748"/>
      <c r="AU93" s="748"/>
      <c r="AV93" s="748"/>
      <c r="AW93" s="748"/>
      <c r="AX93" s="748"/>
      <c r="AY93" s="748"/>
      <c r="AZ93" s="748"/>
      <c r="BA93" s="748"/>
      <c r="BB93" s="748"/>
      <c r="BC93" s="748"/>
      <c r="BD93" s="748"/>
      <c r="BE93" s="748"/>
      <c r="BF93" s="748"/>
      <c r="BG93" s="748"/>
      <c r="BH93" s="748"/>
      <c r="BI93" s="748"/>
      <c r="BJ93" s="748"/>
      <c r="BK93" s="748"/>
      <c r="BL93" s="748"/>
      <c r="BM93" s="748"/>
      <c r="BN93" s="748"/>
      <c r="BO93" s="748"/>
      <c r="BP93" s="748"/>
      <c r="BQ93" s="748"/>
      <c r="BR93" s="748"/>
      <c r="BS93" s="748"/>
      <c r="BT93" s="748"/>
      <c r="BU93" s="748"/>
      <c r="BV93" s="748"/>
      <c r="BW93" s="748"/>
      <c r="BX93" s="748"/>
      <c r="BY93" s="748"/>
      <c r="BZ93" s="748"/>
      <c r="CA93" s="748"/>
      <c r="CB93" s="748"/>
      <c r="CC93" s="748"/>
      <c r="CD93" s="748"/>
      <c r="CE93" s="748"/>
    </row>
    <row customHeight="1" ht="5.25" hidden="1">
      <c r="A94" s="1277"/>
      <c r="B94" s="748"/>
      <c r="C94" s="748"/>
      <c r="D94" s="2392"/>
      <c r="E94" s="1301"/>
      <c r="F94" s="1302"/>
      <c r="G94" s="1302"/>
      <c r="H94" s="1303"/>
      <c r="I94" s="1303"/>
      <c r="J94" s="1303"/>
      <c r="K94" s="1303"/>
      <c r="L94" s="1303"/>
      <c r="M94" s="1303"/>
      <c r="N94" s="1303"/>
      <c r="O94" s="1303"/>
      <c r="P94" s="1303"/>
      <c r="Q94" s="1303"/>
      <c r="R94" s="1202"/>
      <c r="S94" s="1304"/>
      <c r="T94" s="955"/>
      <c r="U94" s="2389"/>
      <c r="V94" s="2389"/>
      <c r="W94" s="748"/>
      <c r="X94" s="748"/>
      <c r="Y94" s="748"/>
      <c r="Z94" s="748"/>
      <c r="AA94" s="748"/>
      <c r="AB94" s="748"/>
      <c r="AC94" s="1295"/>
      <c r="AD94" s="1296"/>
      <c r="AE94" s="748"/>
      <c r="AF94" s="748"/>
      <c r="AG94" s="748"/>
      <c r="AH94" s="748"/>
      <c r="AI94" s="748"/>
      <c r="AJ94" s="748"/>
      <c r="AK94" s="748"/>
      <c r="AL94" s="748"/>
      <c r="AM94" s="748"/>
      <c r="AN94" s="748"/>
      <c r="AO94" s="748"/>
      <c r="AP94" s="748"/>
      <c r="AQ94" s="748"/>
      <c r="AR94" s="748"/>
      <c r="AS94" s="748"/>
      <c r="AT94" s="748"/>
      <c r="AU94" s="748"/>
      <c r="AV94" s="748"/>
      <c r="AW94" s="748"/>
      <c r="AX94" s="748"/>
      <c r="AY94" s="748"/>
      <c r="AZ94" s="748"/>
      <c r="BA94" s="748"/>
      <c r="BB94" s="748"/>
      <c r="BC94" s="748"/>
      <c r="BD94" s="748"/>
      <c r="BE94" s="748"/>
      <c r="BF94" s="748"/>
      <c r="BG94" s="748"/>
      <c r="BH94" s="748"/>
      <c r="BI94" s="748"/>
      <c r="BJ94" s="748"/>
      <c r="BK94" s="748"/>
      <c r="BL94" s="748"/>
      <c r="BM94" s="748"/>
      <c r="BN94" s="748"/>
      <c r="BO94" s="748"/>
      <c r="BP94" s="748"/>
      <c r="BQ94" s="748"/>
      <c r="BR94" s="748"/>
      <c r="BS94" s="748"/>
      <c r="BT94" s="748"/>
      <c r="BU94" s="748"/>
      <c r="BV94" s="748"/>
      <c r="BW94" s="748"/>
      <c r="BX94" s="748"/>
      <c r="BY94" s="748"/>
      <c r="BZ94" s="748"/>
      <c r="CA94" s="748"/>
      <c r="CB94" s="748"/>
      <c r="CC94" s="748"/>
      <c r="CD94" s="748"/>
      <c r="CE94" s="748"/>
    </row>
    <row customHeight="1" ht="15" hidden="1">
      <c r="A95" s="860" t="s">
        <v>141</v>
      </c>
      <c r="B95" s="861"/>
      <c r="C95" s="861" t="s">
        <v>17</v>
      </c>
      <c r="D95" s="2390" t="s">
        <v>1818</v>
      </c>
      <c r="E95" s="2374" t="s">
        <v>105</v>
      </c>
      <c r="F95" s="2375"/>
      <c r="G95" s="2376"/>
      <c r="H95" s="2377" t="str">
        <f>IF(A95="","",INDEX(DIFFERENTIATION_UNMERGE_VD,MATCH(A95,DIFFERENTIATION_ID_DIFF,0)))</f>
        <v>Производство тепловой энергии. Некомбинированная выработка</v>
      </c>
      <c r="I95" s="2377"/>
      <c r="J95" s="2377"/>
      <c r="K95" s="2377"/>
      <c r="L95" s="2377"/>
      <c r="M95" s="2377"/>
      <c r="N95" s="2377"/>
      <c r="O95" s="2377"/>
      <c r="P95" s="2377"/>
      <c r="Q95" s="2377"/>
      <c r="R95" s="2377"/>
      <c r="S95" s="956"/>
      <c r="T95" s="953"/>
      <c r="U95" s="862"/>
      <c r="V95" s="862"/>
      <c r="W95" s="863"/>
      <c r="X95" s="863"/>
      <c r="Y95" s="863"/>
      <c r="Z95" s="863"/>
      <c r="AA95" s="864"/>
      <c r="AB95" s="865"/>
      <c r="AC95" s="2373"/>
      <c r="AD95" s="866"/>
      <c r="AE95" s="867" t="s">
        <v>17</v>
      </c>
      <c r="AF95" s="867"/>
      <c r="AG95" s="868" t="s">
        <v>1475</v>
      </c>
      <c r="AH95" s="869">
        <v>3</v>
      </c>
      <c r="AI95" s="862"/>
      <c r="AJ95" s="862"/>
      <c r="AK95" s="862"/>
      <c r="AL95" s="862"/>
      <c r="AM95" s="862"/>
      <c r="AN95" s="862"/>
      <c r="AO95" s="862"/>
      <c r="AP95" s="862"/>
      <c r="AQ95" s="862"/>
      <c r="AR95" s="862"/>
      <c r="AS95" s="862"/>
      <c r="AT95" s="862"/>
      <c r="AU95" s="862"/>
      <c r="AV95" s="862"/>
      <c r="AW95" s="862"/>
      <c r="AX95" s="862"/>
      <c r="AY95" s="862"/>
      <c r="AZ95" s="862"/>
      <c r="BA95" s="862"/>
      <c r="BB95" s="862"/>
      <c r="BC95" s="862"/>
      <c r="BD95" s="862"/>
      <c r="BE95" s="862"/>
      <c r="BF95" s="862"/>
      <c r="BG95" s="862"/>
      <c r="BH95" s="862"/>
      <c r="BI95" s="862"/>
      <c r="BJ95" s="862"/>
      <c r="BK95" s="862"/>
      <c r="BL95" s="862"/>
      <c r="BM95" s="862"/>
      <c r="BN95" s="862"/>
      <c r="BO95" s="862"/>
      <c r="BP95" s="862"/>
      <c r="BQ95" s="862"/>
      <c r="BR95" s="862"/>
      <c r="BS95" s="862"/>
      <c r="BT95" s="862"/>
      <c r="BU95" s="862"/>
      <c r="BV95" s="863"/>
      <c r="BW95" s="863"/>
      <c r="BX95" s="863"/>
      <c r="BY95" s="863"/>
      <c r="BZ95" s="863"/>
      <c r="CA95" s="863"/>
      <c r="CB95" s="863"/>
      <c r="CC95" s="863"/>
      <c r="CD95" s="863"/>
      <c r="CE95" s="863"/>
    </row>
    <row customHeight="1" ht="15" hidden="1">
      <c r="A96" s="860"/>
      <c r="B96" s="861"/>
      <c r="C96" s="861"/>
      <c r="D96" s="2391"/>
      <c r="E96" s="2374" t="s">
        <v>1476</v>
      </c>
      <c r="F96" s="2375"/>
      <c r="G96" s="2376"/>
      <c r="H96" s="2377" t="str">
        <f>IF(A95="","",INDEX(DIFFERENTIATION_UNMERGE_AREA,MATCH(A95,DIFFERENTIATION_ID_DIFF,0)))</f>
        <v>Территория 1</v>
      </c>
      <c r="I96" s="2377"/>
      <c r="J96" s="2377"/>
      <c r="K96" s="2377"/>
      <c r="L96" s="2377"/>
      <c r="M96" s="2377"/>
      <c r="N96" s="2377"/>
      <c r="O96" s="2377"/>
      <c r="P96" s="2377"/>
      <c r="Q96" s="2377"/>
      <c r="R96" s="2377"/>
      <c r="S96" s="956"/>
      <c r="T96" s="953"/>
      <c r="U96" s="862"/>
      <c r="V96" s="862"/>
      <c r="W96" s="863"/>
      <c r="X96" s="863"/>
      <c r="Y96" s="863"/>
      <c r="Z96" s="863"/>
      <c r="AA96" s="864"/>
      <c r="AB96" s="865"/>
      <c r="AC96" s="2373"/>
      <c r="AD96" s="866"/>
      <c r="AE96" s="867"/>
      <c r="AF96" s="867"/>
      <c r="AG96" s="868"/>
      <c r="AH96" s="869"/>
      <c r="AI96" s="862"/>
      <c r="AJ96" s="862"/>
      <c r="AK96" s="862"/>
      <c r="AL96" s="862"/>
      <c r="AM96" s="862"/>
      <c r="AN96" s="862"/>
      <c r="AO96" s="862"/>
      <c r="AP96" s="862"/>
      <c r="AQ96" s="862"/>
      <c r="AR96" s="862"/>
      <c r="AS96" s="862"/>
      <c r="AT96" s="862"/>
      <c r="AU96" s="862"/>
      <c r="AV96" s="862"/>
      <c r="AW96" s="862"/>
      <c r="AX96" s="862"/>
      <c r="AY96" s="862"/>
      <c r="AZ96" s="862"/>
      <c r="BA96" s="862"/>
      <c r="BB96" s="862"/>
      <c r="BC96" s="862"/>
      <c r="BD96" s="862"/>
      <c r="BE96" s="862"/>
      <c r="BF96" s="862"/>
      <c r="BG96" s="862"/>
      <c r="BH96" s="862"/>
      <c r="BI96" s="862"/>
      <c r="BJ96" s="862"/>
      <c r="BK96" s="862"/>
      <c r="BL96" s="862"/>
      <c r="BM96" s="862"/>
      <c r="BN96" s="862"/>
      <c r="BO96" s="862"/>
      <c r="BP96" s="862"/>
      <c r="BQ96" s="862"/>
      <c r="BR96" s="862"/>
      <c r="BS96" s="862"/>
      <c r="BT96" s="862"/>
      <c r="BU96" s="862"/>
      <c r="BV96" s="863"/>
      <c r="BW96" s="863"/>
      <c r="BX96" s="863"/>
      <c r="BY96" s="863"/>
      <c r="BZ96" s="863"/>
      <c r="CA96" s="863"/>
      <c r="CB96" s="863"/>
      <c r="CC96" s="863"/>
      <c r="CD96" s="863"/>
      <c r="CE96" s="863"/>
    </row>
    <row customHeight="1" ht="15" hidden="1">
      <c r="A97" s="860"/>
      <c r="B97" s="861"/>
      <c r="C97" s="861"/>
      <c r="D97" s="2391"/>
      <c r="E97" s="2374" t="s">
        <v>1477</v>
      </c>
      <c r="F97" s="2375"/>
      <c r="G97" s="2376"/>
      <c r="H97" s="2377" t="str">
        <f>IF(A95="","",INDEX(DIFFERENTIATION_UNMERGE_SYSTEM,MATCH(A95,DIFFERENTIATION_ID_DIFF,0)))</f>
        <v>Котельная №10, ул.Гоголя</v>
      </c>
      <c r="I97" s="2377"/>
      <c r="J97" s="2377"/>
      <c r="K97" s="2377"/>
      <c r="L97" s="2377"/>
      <c r="M97" s="2377"/>
      <c r="N97" s="2377"/>
      <c r="O97" s="2377"/>
      <c r="P97" s="2377"/>
      <c r="Q97" s="2377"/>
      <c r="R97" s="2377"/>
      <c r="S97" s="956"/>
      <c r="T97" s="953"/>
      <c r="U97" s="862"/>
      <c r="V97" s="862"/>
      <c r="W97" s="863"/>
      <c r="X97" s="863"/>
      <c r="Y97" s="863"/>
      <c r="Z97" s="863"/>
      <c r="AA97" s="864"/>
      <c r="AB97" s="865"/>
      <c r="AC97" s="2373"/>
      <c r="AD97" s="866"/>
      <c r="AE97" s="867"/>
      <c r="AF97" s="867"/>
      <c r="AG97" s="868"/>
      <c r="AH97" s="869"/>
      <c r="AI97" s="862"/>
      <c r="AJ97" s="862"/>
      <c r="AK97" s="862"/>
      <c r="AL97" s="862"/>
      <c r="AM97" s="862"/>
      <c r="AN97" s="862"/>
      <c r="AO97" s="862"/>
      <c r="AP97" s="862"/>
      <c r="AQ97" s="862"/>
      <c r="AR97" s="862"/>
      <c r="AS97" s="862"/>
      <c r="AT97" s="862"/>
      <c r="AU97" s="862"/>
      <c r="AV97" s="862"/>
      <c r="AW97" s="862"/>
      <c r="AX97" s="862"/>
      <c r="AY97" s="862"/>
      <c r="AZ97" s="862"/>
      <c r="BA97" s="862"/>
      <c r="BB97" s="862"/>
      <c r="BC97" s="862"/>
      <c r="BD97" s="862"/>
      <c r="BE97" s="862"/>
      <c r="BF97" s="862"/>
      <c r="BG97" s="862"/>
      <c r="BH97" s="862"/>
      <c r="BI97" s="862"/>
      <c r="BJ97" s="862"/>
      <c r="BK97" s="862"/>
      <c r="BL97" s="862"/>
      <c r="BM97" s="862"/>
      <c r="BN97" s="862"/>
      <c r="BO97" s="862"/>
      <c r="BP97" s="862"/>
      <c r="BQ97" s="862"/>
      <c r="BR97" s="862"/>
      <c r="BS97" s="862"/>
      <c r="BT97" s="862"/>
      <c r="BU97" s="862"/>
      <c r="BV97" s="863"/>
      <c r="BW97" s="863"/>
      <c r="BX97" s="863"/>
      <c r="BY97" s="863"/>
      <c r="BZ97" s="863"/>
      <c r="CA97" s="863"/>
      <c r="CB97" s="863"/>
      <c r="CC97" s="863"/>
      <c r="CD97" s="863"/>
      <c r="CE97" s="863"/>
    </row>
    <row customHeight="1" ht="24.75" hidden="1">
      <c r="A98" s="870"/>
      <c r="B98" s="653"/>
      <c r="C98" s="648"/>
      <c r="D98" s="2391"/>
      <c r="E98" s="2388" t="s">
        <v>1478</v>
      </c>
      <c r="F98" s="2388"/>
      <c r="G98" s="2388"/>
      <c r="H98" s="2388"/>
      <c r="I98" s="2388"/>
      <c r="J98" s="2388"/>
      <c r="K98" s="2388"/>
      <c r="L98" s="2388"/>
      <c r="M98" s="2388"/>
      <c r="N98" s="2388"/>
      <c r="O98" s="2388"/>
      <c r="P98" s="2388"/>
      <c r="Q98" s="795">
        <f>SUMIF(T99:T100,"i",Q99:Q100)</f>
        <v>0</v>
      </c>
      <c r="R98" s="1273"/>
      <c r="S98" s="1278" t="s">
        <v>1479</v>
      </c>
      <c r="T98" s="954" t="s">
        <v>1480</v>
      </c>
      <c r="U98" s="2389">
        <v>1</v>
      </c>
      <c r="V98" s="2389" t="s">
        <v>1481</v>
      </c>
      <c r="W98" s="653"/>
      <c r="X98" s="653"/>
      <c r="Y98" s="653"/>
      <c r="Z98" s="653"/>
      <c r="AA98" s="748"/>
      <c r="AB98" s="653"/>
      <c r="AC98" s="2373"/>
      <c r="AD98" s="866"/>
      <c r="AE98" s="653"/>
      <c r="AF98" s="653"/>
      <c r="AG98" s="748"/>
      <c r="AH98" s="748"/>
      <c r="AI98" s="748"/>
      <c r="AJ98" s="748"/>
      <c r="AK98" s="748"/>
      <c r="AL98" s="748"/>
      <c r="AM98" s="748"/>
      <c r="AN98" s="748"/>
      <c r="AO98" s="748"/>
      <c r="AP98" s="748"/>
      <c r="AQ98" s="748"/>
      <c r="AR98" s="748"/>
      <c r="AS98" s="748"/>
      <c r="AT98" s="748"/>
      <c r="AU98" s="748"/>
      <c r="AV98" s="748"/>
      <c r="AW98" s="748"/>
      <c r="AX98" s="748"/>
      <c r="AY98" s="748"/>
      <c r="AZ98" s="748"/>
      <c r="BA98" s="748"/>
      <c r="BB98" s="748"/>
      <c r="BC98" s="748"/>
      <c r="BD98" s="748"/>
      <c r="BE98" s="748"/>
      <c r="BF98" s="748"/>
      <c r="BG98" s="748"/>
      <c r="BH98" s="748"/>
      <c r="BI98" s="748"/>
      <c r="BJ98" s="748"/>
      <c r="BK98" s="748"/>
      <c r="BL98" s="748"/>
      <c r="BM98" s="748"/>
      <c r="BN98" s="748"/>
      <c r="BO98" s="748"/>
      <c r="BP98" s="748"/>
      <c r="BQ98" s="748"/>
      <c r="BR98" s="748"/>
      <c r="BS98" s="748"/>
      <c r="BT98" s="748"/>
      <c r="BU98" s="748"/>
      <c r="BV98" s="653"/>
      <c r="BW98" s="653"/>
      <c r="BX98" s="653"/>
      <c r="BY98" s="653"/>
      <c r="BZ98" s="653"/>
      <c r="CA98" s="653"/>
      <c r="CB98" s="653"/>
      <c r="CC98" s="653"/>
      <c r="CD98" s="653"/>
      <c r="CE98" s="653"/>
    </row>
    <row customHeight="1" ht="11.25" hidden="1">
      <c r="A99" s="1277"/>
      <c r="B99" s="748"/>
      <c r="C99" s="748"/>
      <c r="D99" s="2391"/>
      <c r="E99" s="872"/>
      <c r="F99" s="872">
        <v>0</v>
      </c>
      <c r="G99" s="872"/>
      <c r="H99" s="872"/>
      <c r="I99" s="872"/>
      <c r="J99" s="872"/>
      <c r="K99" s="872"/>
      <c r="L99" s="872"/>
      <c r="M99" s="872"/>
      <c r="N99" s="872"/>
      <c r="O99" s="872"/>
      <c r="P99" s="872"/>
      <c r="Q99" s="872"/>
      <c r="R99" s="872"/>
      <c r="S99" s="873"/>
      <c r="T99" s="955"/>
      <c r="U99" s="2389"/>
      <c r="V99" s="2389"/>
      <c r="W99" s="748"/>
      <c r="X99" s="748"/>
      <c r="Y99" s="748"/>
      <c r="Z99" s="748"/>
      <c r="AA99" s="748"/>
      <c r="AB99" s="653"/>
      <c r="AC99" s="2373"/>
      <c r="AD99" s="866"/>
      <c r="AE99" s="653"/>
      <c r="AF99" s="653"/>
      <c r="AG99" s="748"/>
      <c r="AH99" s="748"/>
      <c r="AI99" s="748"/>
      <c r="AJ99" s="748"/>
      <c r="AK99" s="748"/>
      <c r="AL99" s="748"/>
      <c r="AM99" s="748"/>
      <c r="AN99" s="748"/>
      <c r="AO99" s="748"/>
      <c r="AP99" s="748"/>
      <c r="AQ99" s="748"/>
      <c r="AR99" s="748"/>
      <c r="AS99" s="748"/>
      <c r="AT99" s="748"/>
      <c r="AU99" s="748"/>
      <c r="AV99" s="748"/>
      <c r="AW99" s="748"/>
      <c r="AX99" s="748"/>
      <c r="AY99" s="748"/>
      <c r="AZ99" s="748"/>
      <c r="BA99" s="748"/>
      <c r="BB99" s="748"/>
      <c r="BC99" s="748"/>
      <c r="BD99" s="748"/>
      <c r="BE99" s="748"/>
      <c r="BF99" s="748"/>
      <c r="BG99" s="748"/>
      <c r="BH99" s="748"/>
      <c r="BI99" s="748"/>
      <c r="BJ99" s="748"/>
      <c r="BK99" s="748"/>
      <c r="BL99" s="748"/>
      <c r="BM99" s="748"/>
      <c r="BN99" s="748"/>
      <c r="BO99" s="748"/>
      <c r="BP99" s="748"/>
      <c r="BQ99" s="748"/>
      <c r="BR99" s="748"/>
      <c r="BS99" s="748"/>
      <c r="BT99" s="748"/>
      <c r="BU99" s="748"/>
      <c r="BV99" s="748"/>
      <c r="BW99" s="748"/>
      <c r="BX99" s="748"/>
      <c r="BY99" s="748"/>
      <c r="BZ99" s="748"/>
      <c r="CA99" s="748"/>
      <c r="CB99" s="748"/>
      <c r="CC99" s="748"/>
      <c r="CD99" s="748"/>
      <c r="CE99" s="748"/>
    </row>
    <row customHeight="1" ht="11.25" hidden="1">
      <c r="A100" s="870"/>
      <c r="B100" s="653"/>
      <c r="C100" s="648"/>
      <c r="D100" s="2391"/>
      <c r="E100" s="886" t="s">
        <v>17</v>
      </c>
      <c r="F100" s="887" t="s">
        <v>17</v>
      </c>
      <c r="G100" s="887" t="s">
        <v>1482</v>
      </c>
      <c r="H100" s="888" t="s">
        <v>17</v>
      </c>
      <c r="I100" s="888"/>
      <c r="J100" s="888"/>
      <c r="K100" s="888"/>
      <c r="L100" s="888"/>
      <c r="M100" s="888"/>
      <c r="N100" s="888"/>
      <c r="O100" s="888"/>
      <c r="P100" s="888"/>
      <c r="Q100" s="888"/>
      <c r="R100" s="889"/>
      <c r="S100" s="890"/>
      <c r="T100" s="955"/>
      <c r="U100" s="2389"/>
      <c r="V100" s="2389"/>
      <c r="W100" s="653"/>
      <c r="X100" s="653"/>
      <c r="Y100" s="653"/>
      <c r="Z100" s="653"/>
      <c r="AA100" s="748"/>
      <c r="AB100" s="653"/>
      <c r="AC100" s="2373"/>
      <c r="AD100" s="866"/>
      <c r="AE100" s="653"/>
      <c r="AF100" s="653"/>
      <c r="AG100" s="748"/>
      <c r="AH100" s="748"/>
      <c r="AI100" s="748"/>
      <c r="AJ100" s="748"/>
      <c r="AK100" s="748"/>
      <c r="AL100" s="748"/>
      <c r="AM100" s="748"/>
      <c r="AN100" s="748"/>
      <c r="AO100" s="748"/>
      <c r="AP100" s="748"/>
      <c r="AQ100" s="748"/>
      <c r="AR100" s="748"/>
      <c r="AS100" s="748"/>
      <c r="AT100" s="748"/>
      <c r="AU100" s="748"/>
      <c r="AV100" s="748"/>
      <c r="AW100" s="748"/>
      <c r="AX100" s="748"/>
      <c r="AY100" s="748"/>
      <c r="AZ100" s="748"/>
      <c r="BA100" s="748"/>
      <c r="BB100" s="748"/>
      <c r="BC100" s="748"/>
      <c r="BD100" s="748"/>
      <c r="BE100" s="748"/>
      <c r="BF100" s="748"/>
      <c r="BG100" s="748"/>
      <c r="BH100" s="748"/>
      <c r="BI100" s="748"/>
      <c r="BJ100" s="748"/>
      <c r="BK100" s="748"/>
      <c r="BL100" s="748"/>
      <c r="BM100" s="748"/>
      <c r="BN100" s="748"/>
      <c r="BO100" s="748"/>
      <c r="BP100" s="748"/>
      <c r="BQ100" s="748"/>
      <c r="BR100" s="748"/>
      <c r="BS100" s="748"/>
      <c r="BT100" s="748"/>
      <c r="BU100" s="748"/>
      <c r="BV100" s="653"/>
      <c r="BW100" s="653"/>
      <c r="BX100" s="653"/>
      <c r="BY100" s="653"/>
      <c r="BZ100" s="653"/>
      <c r="CA100" s="653"/>
      <c r="CB100" s="653"/>
      <c r="CC100" s="653"/>
      <c r="CD100" s="653"/>
      <c r="CE100" s="653"/>
    </row>
    <row customHeight="1" ht="5.25" hidden="1">
      <c r="A101" s="1277"/>
      <c r="B101" s="748"/>
      <c r="C101" s="748"/>
      <c r="D101" s="2391"/>
      <c r="E101" s="1297"/>
      <c r="F101" s="1297"/>
      <c r="G101" s="1297"/>
      <c r="H101" s="1297"/>
      <c r="I101" s="1297"/>
      <c r="J101" s="1297"/>
      <c r="K101" s="1297"/>
      <c r="L101" s="1297"/>
      <c r="M101" s="1297"/>
      <c r="N101" s="1297"/>
      <c r="O101" s="1297"/>
      <c r="P101" s="1297"/>
      <c r="Q101" s="1298"/>
      <c r="R101" s="1299"/>
      <c r="S101" s="1300"/>
      <c r="T101" s="954" t="s">
        <v>1480</v>
      </c>
      <c r="U101" s="2389">
        <v>1</v>
      </c>
      <c r="V101" s="2389" t="s">
        <v>1481</v>
      </c>
      <c r="W101" s="748"/>
      <c r="X101" s="748"/>
      <c r="Y101" s="748"/>
      <c r="Z101" s="748"/>
      <c r="AA101" s="748"/>
      <c r="AB101" s="748"/>
      <c r="AC101" s="1295"/>
      <c r="AD101" s="1296"/>
      <c r="AE101" s="748"/>
      <c r="AF101" s="748"/>
      <c r="AG101" s="748"/>
      <c r="AH101" s="748"/>
      <c r="AI101" s="748"/>
      <c r="AJ101" s="748"/>
      <c r="AK101" s="748"/>
      <c r="AL101" s="748"/>
      <c r="AM101" s="748"/>
      <c r="AN101" s="748"/>
      <c r="AO101" s="748"/>
      <c r="AP101" s="748"/>
      <c r="AQ101" s="748"/>
      <c r="AR101" s="748"/>
      <c r="AS101" s="748"/>
      <c r="AT101" s="748"/>
      <c r="AU101" s="748"/>
      <c r="AV101" s="748"/>
      <c r="AW101" s="748"/>
      <c r="AX101" s="748"/>
      <c r="AY101" s="748"/>
      <c r="AZ101" s="748"/>
      <c r="BA101" s="748"/>
      <c r="BB101" s="748"/>
      <c r="BC101" s="748"/>
      <c r="BD101" s="748"/>
      <c r="BE101" s="748"/>
      <c r="BF101" s="748"/>
      <c r="BG101" s="748"/>
      <c r="BH101" s="748"/>
      <c r="BI101" s="748"/>
      <c r="BJ101" s="748"/>
      <c r="BK101" s="748"/>
      <c r="BL101" s="748"/>
      <c r="BM101" s="748"/>
      <c r="BN101" s="748"/>
      <c r="BO101" s="748"/>
      <c r="BP101" s="748"/>
      <c r="BQ101" s="748"/>
      <c r="BR101" s="748"/>
      <c r="BS101" s="748"/>
      <c r="BT101" s="748"/>
      <c r="BU101" s="748"/>
      <c r="BV101" s="748"/>
      <c r="BW101" s="748"/>
      <c r="BX101" s="748"/>
      <c r="BY101" s="748"/>
      <c r="BZ101" s="748"/>
      <c r="CA101" s="748"/>
      <c r="CB101" s="748"/>
      <c r="CC101" s="748"/>
      <c r="CD101" s="748"/>
      <c r="CE101" s="748"/>
    </row>
    <row customHeight="1" ht="5.25" hidden="1">
      <c r="A102" s="1277"/>
      <c r="B102" s="748"/>
      <c r="C102" s="748"/>
      <c r="D102" s="2391"/>
      <c r="E102" s="872"/>
      <c r="F102" s="872"/>
      <c r="G102" s="872"/>
      <c r="H102" s="872"/>
      <c r="I102" s="872"/>
      <c r="J102" s="872"/>
      <c r="K102" s="872"/>
      <c r="L102" s="872"/>
      <c r="M102" s="872"/>
      <c r="N102" s="872"/>
      <c r="O102" s="872"/>
      <c r="P102" s="872"/>
      <c r="Q102" s="872"/>
      <c r="R102" s="872"/>
      <c r="S102" s="873"/>
      <c r="T102" s="955"/>
      <c r="U102" s="2389"/>
      <c r="V102" s="2389"/>
      <c r="W102" s="748"/>
      <c r="X102" s="748"/>
      <c r="Y102" s="748"/>
      <c r="Z102" s="748"/>
      <c r="AA102" s="748"/>
      <c r="AB102" s="748"/>
      <c r="AC102" s="1295"/>
      <c r="AD102" s="1296"/>
      <c r="AE102" s="748"/>
      <c r="AF102" s="748"/>
      <c r="AG102" s="748"/>
      <c r="AH102" s="748"/>
      <c r="AI102" s="748"/>
      <c r="AJ102" s="748"/>
      <c r="AK102" s="748"/>
      <c r="AL102" s="748"/>
      <c r="AM102" s="748"/>
      <c r="AN102" s="748"/>
      <c r="AO102" s="748"/>
      <c r="AP102" s="748"/>
      <c r="AQ102" s="748"/>
      <c r="AR102" s="748"/>
      <c r="AS102" s="748"/>
      <c r="AT102" s="748"/>
      <c r="AU102" s="748"/>
      <c r="AV102" s="748"/>
      <c r="AW102" s="748"/>
      <c r="AX102" s="748"/>
      <c r="AY102" s="748"/>
      <c r="AZ102" s="748"/>
      <c r="BA102" s="748"/>
      <c r="BB102" s="748"/>
      <c r="BC102" s="748"/>
      <c r="BD102" s="748"/>
      <c r="BE102" s="748"/>
      <c r="BF102" s="748"/>
      <c r="BG102" s="748"/>
      <c r="BH102" s="748"/>
      <c r="BI102" s="748"/>
      <c r="BJ102" s="748"/>
      <c r="BK102" s="748"/>
      <c r="BL102" s="748"/>
      <c r="BM102" s="748"/>
      <c r="BN102" s="748"/>
      <c r="BO102" s="748"/>
      <c r="BP102" s="748"/>
      <c r="BQ102" s="748"/>
      <c r="BR102" s="748"/>
      <c r="BS102" s="748"/>
      <c r="BT102" s="748"/>
      <c r="BU102" s="748"/>
      <c r="BV102" s="748"/>
      <c r="BW102" s="748"/>
      <c r="BX102" s="748"/>
      <c r="BY102" s="748"/>
      <c r="BZ102" s="748"/>
      <c r="CA102" s="748"/>
      <c r="CB102" s="748"/>
      <c r="CC102" s="748"/>
      <c r="CD102" s="748"/>
      <c r="CE102" s="748"/>
    </row>
    <row customHeight="1" ht="5.25" hidden="1">
      <c r="A103" s="1277"/>
      <c r="B103" s="748"/>
      <c r="C103" s="748"/>
      <c r="D103" s="2392"/>
      <c r="E103" s="1301"/>
      <c r="F103" s="1302"/>
      <c r="G103" s="1302"/>
      <c r="H103" s="1303"/>
      <c r="I103" s="1303"/>
      <c r="J103" s="1303"/>
      <c r="K103" s="1303"/>
      <c r="L103" s="1303"/>
      <c r="M103" s="1303"/>
      <c r="N103" s="1303"/>
      <c r="O103" s="1303"/>
      <c r="P103" s="1303"/>
      <c r="Q103" s="1303"/>
      <c r="R103" s="1202"/>
      <c r="S103" s="1304"/>
      <c r="T103" s="955"/>
      <c r="U103" s="2389"/>
      <c r="V103" s="2389"/>
      <c r="W103" s="748"/>
      <c r="X103" s="748"/>
      <c r="Y103" s="748"/>
      <c r="Z103" s="748"/>
      <c r="AA103" s="748"/>
      <c r="AB103" s="748"/>
      <c r="AC103" s="1295"/>
      <c r="AD103" s="1296"/>
      <c r="AE103" s="748"/>
      <c r="AF103" s="748"/>
      <c r="AG103" s="748"/>
      <c r="AH103" s="748"/>
      <c r="AI103" s="748"/>
      <c r="AJ103" s="748"/>
      <c r="AK103" s="748"/>
      <c r="AL103" s="748"/>
      <c r="AM103" s="748"/>
      <c r="AN103" s="748"/>
      <c r="AO103" s="748"/>
      <c r="AP103" s="748"/>
      <c r="AQ103" s="748"/>
      <c r="AR103" s="748"/>
      <c r="AS103" s="748"/>
      <c r="AT103" s="748"/>
      <c r="AU103" s="748"/>
      <c r="AV103" s="748"/>
      <c r="AW103" s="748"/>
      <c r="AX103" s="748"/>
      <c r="AY103" s="748"/>
      <c r="AZ103" s="748"/>
      <c r="BA103" s="748"/>
      <c r="BB103" s="748"/>
      <c r="BC103" s="748"/>
      <c r="BD103" s="748"/>
      <c r="BE103" s="748"/>
      <c r="BF103" s="748"/>
      <c r="BG103" s="748"/>
      <c r="BH103" s="748"/>
      <c r="BI103" s="748"/>
      <c r="BJ103" s="748"/>
      <c r="BK103" s="748"/>
      <c r="BL103" s="748"/>
      <c r="BM103" s="748"/>
      <c r="BN103" s="748"/>
      <c r="BO103" s="748"/>
      <c r="BP103" s="748"/>
      <c r="BQ103" s="748"/>
      <c r="BR103" s="748"/>
      <c r="BS103" s="748"/>
      <c r="BT103" s="748"/>
      <c r="BU103" s="748"/>
      <c r="BV103" s="748"/>
      <c r="BW103" s="748"/>
      <c r="BX103" s="748"/>
      <c r="BY103" s="748"/>
      <c r="BZ103" s="748"/>
      <c r="CA103" s="748"/>
      <c r="CB103" s="748"/>
      <c r="CC103" s="748"/>
      <c r="CD103" s="748"/>
      <c r="CE103" s="748"/>
    </row>
    <row customHeight="1" ht="15" hidden="1">
      <c r="A104" s="860" t="s">
        <v>144</v>
      </c>
      <c r="B104" s="861"/>
      <c r="C104" s="861" t="s">
        <v>17</v>
      </c>
      <c r="D104" s="2390" t="s">
        <v>1819</v>
      </c>
      <c r="E104" s="2374" t="s">
        <v>105</v>
      </c>
      <c r="F104" s="2375"/>
      <c r="G104" s="2376"/>
      <c r="H104" s="2377" t="str">
        <f>IF(A104="","",INDEX(DIFFERENTIATION_UNMERGE_VD,MATCH(A104,DIFFERENTIATION_ID_DIFF,0)))</f>
        <v>Производство тепловой энергии. Некомбинированная выработка</v>
      </c>
      <c r="I104" s="2377"/>
      <c r="J104" s="2377"/>
      <c r="K104" s="2377"/>
      <c r="L104" s="2377"/>
      <c r="M104" s="2377"/>
      <c r="N104" s="2377"/>
      <c r="O104" s="2377"/>
      <c r="P104" s="2377"/>
      <c r="Q104" s="2377"/>
      <c r="R104" s="2377"/>
      <c r="S104" s="956"/>
      <c r="T104" s="953"/>
      <c r="U104" s="862"/>
      <c r="V104" s="862"/>
      <c r="W104" s="863"/>
      <c r="X104" s="863"/>
      <c r="Y104" s="863"/>
      <c r="Z104" s="863"/>
      <c r="AA104" s="864"/>
      <c r="AB104" s="865"/>
      <c r="AC104" s="2373"/>
      <c r="AD104" s="866"/>
      <c r="AE104" s="867" t="s">
        <v>17</v>
      </c>
      <c r="AF104" s="867"/>
      <c r="AG104" s="868" t="s">
        <v>1475</v>
      </c>
      <c r="AH104" s="869">
        <v>3</v>
      </c>
      <c r="AI104" s="862"/>
      <c r="AJ104" s="862"/>
      <c r="AK104" s="862"/>
      <c r="AL104" s="862"/>
      <c r="AM104" s="862"/>
      <c r="AN104" s="862"/>
      <c r="AO104" s="862"/>
      <c r="AP104" s="862"/>
      <c r="AQ104" s="862"/>
      <c r="AR104" s="862"/>
      <c r="AS104" s="862"/>
      <c r="AT104" s="862"/>
      <c r="AU104" s="862"/>
      <c r="AV104" s="862"/>
      <c r="AW104" s="862"/>
      <c r="AX104" s="862"/>
      <c r="AY104" s="862"/>
      <c r="AZ104" s="862"/>
      <c r="BA104" s="862"/>
      <c r="BB104" s="862"/>
      <c r="BC104" s="862"/>
      <c r="BD104" s="862"/>
      <c r="BE104" s="862"/>
      <c r="BF104" s="862"/>
      <c r="BG104" s="862"/>
      <c r="BH104" s="862"/>
      <c r="BI104" s="862"/>
      <c r="BJ104" s="862"/>
      <c r="BK104" s="862"/>
      <c r="BL104" s="862"/>
      <c r="BM104" s="862"/>
      <c r="BN104" s="862"/>
      <c r="BO104" s="862"/>
      <c r="BP104" s="862"/>
      <c r="BQ104" s="862"/>
      <c r="BR104" s="862"/>
      <c r="BS104" s="862"/>
      <c r="BT104" s="862"/>
      <c r="BU104" s="862"/>
      <c r="BV104" s="863"/>
      <c r="BW104" s="863"/>
      <c r="BX104" s="863"/>
      <c r="BY104" s="863"/>
      <c r="BZ104" s="863"/>
      <c r="CA104" s="863"/>
      <c r="CB104" s="863"/>
      <c r="CC104" s="863"/>
      <c r="CD104" s="863"/>
      <c r="CE104" s="863"/>
    </row>
    <row customHeight="1" ht="15" hidden="1">
      <c r="A105" s="860"/>
      <c r="B105" s="861"/>
      <c r="C105" s="861"/>
      <c r="D105" s="2391"/>
      <c r="E105" s="2374" t="s">
        <v>1476</v>
      </c>
      <c r="F105" s="2375"/>
      <c r="G105" s="2376"/>
      <c r="H105" s="2377" t="str">
        <f>IF(A104="","",INDEX(DIFFERENTIATION_UNMERGE_AREA,MATCH(A104,DIFFERENTIATION_ID_DIFF,0)))</f>
        <v>Территория 1</v>
      </c>
      <c r="I105" s="2377"/>
      <c r="J105" s="2377"/>
      <c r="K105" s="2377"/>
      <c r="L105" s="2377"/>
      <c r="M105" s="2377"/>
      <c r="N105" s="2377"/>
      <c r="O105" s="2377"/>
      <c r="P105" s="2377"/>
      <c r="Q105" s="2377"/>
      <c r="R105" s="2377"/>
      <c r="S105" s="956"/>
      <c r="T105" s="953"/>
      <c r="U105" s="862"/>
      <c r="V105" s="862"/>
      <c r="W105" s="863"/>
      <c r="X105" s="863"/>
      <c r="Y105" s="863"/>
      <c r="Z105" s="863"/>
      <c r="AA105" s="864"/>
      <c r="AB105" s="865"/>
      <c r="AC105" s="2373"/>
      <c r="AD105" s="866"/>
      <c r="AE105" s="867"/>
      <c r="AF105" s="867"/>
      <c r="AG105" s="868"/>
      <c r="AH105" s="869"/>
      <c r="AI105" s="862"/>
      <c r="AJ105" s="862"/>
      <c r="AK105" s="862"/>
      <c r="AL105" s="862"/>
      <c r="AM105" s="862"/>
      <c r="AN105" s="862"/>
      <c r="AO105" s="862"/>
      <c r="AP105" s="862"/>
      <c r="AQ105" s="862"/>
      <c r="AR105" s="862"/>
      <c r="AS105" s="862"/>
      <c r="AT105" s="862"/>
      <c r="AU105" s="862"/>
      <c r="AV105" s="862"/>
      <c r="AW105" s="862"/>
      <c r="AX105" s="862"/>
      <c r="AY105" s="862"/>
      <c r="AZ105" s="862"/>
      <c r="BA105" s="862"/>
      <c r="BB105" s="862"/>
      <c r="BC105" s="862"/>
      <c r="BD105" s="862"/>
      <c r="BE105" s="862"/>
      <c r="BF105" s="862"/>
      <c r="BG105" s="862"/>
      <c r="BH105" s="862"/>
      <c r="BI105" s="862"/>
      <c r="BJ105" s="862"/>
      <c r="BK105" s="862"/>
      <c r="BL105" s="862"/>
      <c r="BM105" s="862"/>
      <c r="BN105" s="862"/>
      <c r="BO105" s="862"/>
      <c r="BP105" s="862"/>
      <c r="BQ105" s="862"/>
      <c r="BR105" s="862"/>
      <c r="BS105" s="862"/>
      <c r="BT105" s="862"/>
      <c r="BU105" s="862"/>
      <c r="BV105" s="863"/>
      <c r="BW105" s="863"/>
      <c r="BX105" s="863"/>
      <c r="BY105" s="863"/>
      <c r="BZ105" s="863"/>
      <c r="CA105" s="863"/>
      <c r="CB105" s="863"/>
      <c r="CC105" s="863"/>
      <c r="CD105" s="863"/>
      <c r="CE105" s="863"/>
    </row>
    <row customHeight="1" ht="15" hidden="1">
      <c r="A106" s="860"/>
      <c r="B106" s="861"/>
      <c r="C106" s="861"/>
      <c r="D106" s="2391"/>
      <c r="E106" s="2374" t="s">
        <v>1477</v>
      </c>
      <c r="F106" s="2375"/>
      <c r="G106" s="2376"/>
      <c r="H106" s="2377" t="str">
        <f>IF(A104="","",INDEX(DIFFERENTIATION_UNMERGE_SYSTEM,MATCH(A104,DIFFERENTIATION_ID_DIFF,0)))</f>
        <v>Котельная №12а, ул.Мира</v>
      </c>
      <c r="I106" s="2377"/>
      <c r="J106" s="2377"/>
      <c r="K106" s="2377"/>
      <c r="L106" s="2377"/>
      <c r="M106" s="2377"/>
      <c r="N106" s="2377"/>
      <c r="O106" s="2377"/>
      <c r="P106" s="2377"/>
      <c r="Q106" s="2377"/>
      <c r="R106" s="2377"/>
      <c r="S106" s="956"/>
      <c r="T106" s="953"/>
      <c r="U106" s="862"/>
      <c r="V106" s="862"/>
      <c r="W106" s="863"/>
      <c r="X106" s="863"/>
      <c r="Y106" s="863"/>
      <c r="Z106" s="863"/>
      <c r="AA106" s="864"/>
      <c r="AB106" s="865"/>
      <c r="AC106" s="2373"/>
      <c r="AD106" s="866"/>
      <c r="AE106" s="867"/>
      <c r="AF106" s="867"/>
      <c r="AG106" s="868"/>
      <c r="AH106" s="869"/>
      <c r="AI106" s="862"/>
      <c r="AJ106" s="862"/>
      <c r="AK106" s="862"/>
      <c r="AL106" s="862"/>
      <c r="AM106" s="862"/>
      <c r="AN106" s="862"/>
      <c r="AO106" s="862"/>
      <c r="AP106" s="862"/>
      <c r="AQ106" s="862"/>
      <c r="AR106" s="862"/>
      <c r="AS106" s="862"/>
      <c r="AT106" s="862"/>
      <c r="AU106" s="862"/>
      <c r="AV106" s="862"/>
      <c r="AW106" s="862"/>
      <c r="AX106" s="862"/>
      <c r="AY106" s="862"/>
      <c r="AZ106" s="862"/>
      <c r="BA106" s="862"/>
      <c r="BB106" s="862"/>
      <c r="BC106" s="862"/>
      <c r="BD106" s="862"/>
      <c r="BE106" s="862"/>
      <c r="BF106" s="862"/>
      <c r="BG106" s="862"/>
      <c r="BH106" s="862"/>
      <c r="BI106" s="862"/>
      <c r="BJ106" s="862"/>
      <c r="BK106" s="862"/>
      <c r="BL106" s="862"/>
      <c r="BM106" s="862"/>
      <c r="BN106" s="862"/>
      <c r="BO106" s="862"/>
      <c r="BP106" s="862"/>
      <c r="BQ106" s="862"/>
      <c r="BR106" s="862"/>
      <c r="BS106" s="862"/>
      <c r="BT106" s="862"/>
      <c r="BU106" s="862"/>
      <c r="BV106" s="863"/>
      <c r="BW106" s="863"/>
      <c r="BX106" s="863"/>
      <c r="BY106" s="863"/>
      <c r="BZ106" s="863"/>
      <c r="CA106" s="863"/>
      <c r="CB106" s="863"/>
      <c r="CC106" s="863"/>
      <c r="CD106" s="863"/>
      <c r="CE106" s="863"/>
    </row>
    <row customHeight="1" ht="24.75" hidden="1">
      <c r="A107" s="870"/>
      <c r="B107" s="653"/>
      <c r="C107" s="648"/>
      <c r="D107" s="2391"/>
      <c r="E107" s="2388" t="s">
        <v>1478</v>
      </c>
      <c r="F107" s="2388"/>
      <c r="G107" s="2388"/>
      <c r="H107" s="2388"/>
      <c r="I107" s="2388"/>
      <c r="J107" s="2388"/>
      <c r="K107" s="2388"/>
      <c r="L107" s="2388"/>
      <c r="M107" s="2388"/>
      <c r="N107" s="2388"/>
      <c r="O107" s="2388"/>
      <c r="P107" s="2388"/>
      <c r="Q107" s="795">
        <f>SUMIF(T108:T109,"i",Q108:Q109)</f>
        <v>0</v>
      </c>
      <c r="R107" s="1273"/>
      <c r="S107" s="1278" t="s">
        <v>1479</v>
      </c>
      <c r="T107" s="954" t="s">
        <v>1480</v>
      </c>
      <c r="U107" s="2389">
        <v>1</v>
      </c>
      <c r="V107" s="2389" t="s">
        <v>1481</v>
      </c>
      <c r="W107" s="653"/>
      <c r="X107" s="653"/>
      <c r="Y107" s="653"/>
      <c r="Z107" s="653"/>
      <c r="AA107" s="748"/>
      <c r="AB107" s="653"/>
      <c r="AC107" s="2373"/>
      <c r="AD107" s="866"/>
      <c r="AE107" s="653"/>
      <c r="AF107" s="653"/>
      <c r="AG107" s="748"/>
      <c r="AH107" s="748"/>
      <c r="AI107" s="748"/>
      <c r="AJ107" s="748"/>
      <c r="AK107" s="748"/>
      <c r="AL107" s="748"/>
      <c r="AM107" s="748"/>
      <c r="AN107" s="748"/>
      <c r="AO107" s="748"/>
      <c r="AP107" s="748"/>
      <c r="AQ107" s="748"/>
      <c r="AR107" s="748"/>
      <c r="AS107" s="748"/>
      <c r="AT107" s="748"/>
      <c r="AU107" s="748"/>
      <c r="AV107" s="748"/>
      <c r="AW107" s="748"/>
      <c r="AX107" s="748"/>
      <c r="AY107" s="748"/>
      <c r="AZ107" s="748"/>
      <c r="BA107" s="748"/>
      <c r="BB107" s="748"/>
      <c r="BC107" s="748"/>
      <c r="BD107" s="748"/>
      <c r="BE107" s="748"/>
      <c r="BF107" s="748"/>
      <c r="BG107" s="748"/>
      <c r="BH107" s="748"/>
      <c r="BI107" s="748"/>
      <c r="BJ107" s="748"/>
      <c r="BK107" s="748"/>
      <c r="BL107" s="748"/>
      <c r="BM107" s="748"/>
      <c r="BN107" s="748"/>
      <c r="BO107" s="748"/>
      <c r="BP107" s="748"/>
      <c r="BQ107" s="748"/>
      <c r="BR107" s="748"/>
      <c r="BS107" s="748"/>
      <c r="BT107" s="748"/>
      <c r="BU107" s="748"/>
      <c r="BV107" s="653"/>
      <c r="BW107" s="653"/>
      <c r="BX107" s="653"/>
      <c r="BY107" s="653"/>
      <c r="BZ107" s="653"/>
      <c r="CA107" s="653"/>
      <c r="CB107" s="653"/>
      <c r="CC107" s="653"/>
      <c r="CD107" s="653"/>
      <c r="CE107" s="653"/>
    </row>
    <row customHeight="1" ht="11.25" hidden="1">
      <c r="A108" s="1277"/>
      <c r="B108" s="748"/>
      <c r="C108" s="748"/>
      <c r="D108" s="2391"/>
      <c r="E108" s="872"/>
      <c r="F108" s="872">
        <v>0</v>
      </c>
      <c r="G108" s="872"/>
      <c r="H108" s="872"/>
      <c r="I108" s="872"/>
      <c r="J108" s="872"/>
      <c r="K108" s="872"/>
      <c r="L108" s="872"/>
      <c r="M108" s="872"/>
      <c r="N108" s="872"/>
      <c r="O108" s="872"/>
      <c r="P108" s="872"/>
      <c r="Q108" s="872"/>
      <c r="R108" s="872"/>
      <c r="S108" s="873"/>
      <c r="T108" s="955"/>
      <c r="U108" s="2389"/>
      <c r="V108" s="2389"/>
      <c r="W108" s="748"/>
      <c r="X108" s="748"/>
      <c r="Y108" s="748"/>
      <c r="Z108" s="748"/>
      <c r="AA108" s="748"/>
      <c r="AB108" s="653"/>
      <c r="AC108" s="2373"/>
      <c r="AD108" s="866"/>
      <c r="AE108" s="653"/>
      <c r="AF108" s="653"/>
      <c r="AG108" s="748"/>
      <c r="AH108" s="748"/>
      <c r="AI108" s="748"/>
      <c r="AJ108" s="748"/>
      <c r="AK108" s="748"/>
      <c r="AL108" s="748"/>
      <c r="AM108" s="748"/>
      <c r="AN108" s="748"/>
      <c r="AO108" s="748"/>
      <c r="AP108" s="748"/>
      <c r="AQ108" s="748"/>
      <c r="AR108" s="748"/>
      <c r="AS108" s="748"/>
      <c r="AT108" s="748"/>
      <c r="AU108" s="748"/>
      <c r="AV108" s="748"/>
      <c r="AW108" s="748"/>
      <c r="AX108" s="748"/>
      <c r="AY108" s="748"/>
      <c r="AZ108" s="748"/>
      <c r="BA108" s="748"/>
      <c r="BB108" s="748"/>
      <c r="BC108" s="748"/>
      <c r="BD108" s="748"/>
      <c r="BE108" s="748"/>
      <c r="BF108" s="748"/>
      <c r="BG108" s="748"/>
      <c r="BH108" s="748"/>
      <c r="BI108" s="748"/>
      <c r="BJ108" s="748"/>
      <c r="BK108" s="748"/>
      <c r="BL108" s="748"/>
      <c r="BM108" s="748"/>
      <c r="BN108" s="748"/>
      <c r="BO108" s="748"/>
      <c r="BP108" s="748"/>
      <c r="BQ108" s="748"/>
      <c r="BR108" s="748"/>
      <c r="BS108" s="748"/>
      <c r="BT108" s="748"/>
      <c r="BU108" s="748"/>
      <c r="BV108" s="748"/>
      <c r="BW108" s="748"/>
      <c r="BX108" s="748"/>
      <c r="BY108" s="748"/>
      <c r="BZ108" s="748"/>
      <c r="CA108" s="748"/>
      <c r="CB108" s="748"/>
      <c r="CC108" s="748"/>
      <c r="CD108" s="748"/>
      <c r="CE108" s="748"/>
    </row>
    <row customHeight="1" ht="11.25" hidden="1">
      <c r="A109" s="870"/>
      <c r="B109" s="653"/>
      <c r="C109" s="648"/>
      <c r="D109" s="2391"/>
      <c r="E109" s="886" t="s">
        <v>17</v>
      </c>
      <c r="F109" s="887" t="s">
        <v>17</v>
      </c>
      <c r="G109" s="887" t="s">
        <v>1482</v>
      </c>
      <c r="H109" s="888" t="s">
        <v>17</v>
      </c>
      <c r="I109" s="888"/>
      <c r="J109" s="888"/>
      <c r="K109" s="888"/>
      <c r="L109" s="888"/>
      <c r="M109" s="888"/>
      <c r="N109" s="888"/>
      <c r="O109" s="888"/>
      <c r="P109" s="888"/>
      <c r="Q109" s="888"/>
      <c r="R109" s="889"/>
      <c r="S109" s="890"/>
      <c r="T109" s="955"/>
      <c r="U109" s="2389"/>
      <c r="V109" s="2389"/>
      <c r="W109" s="653"/>
      <c r="X109" s="653"/>
      <c r="Y109" s="653"/>
      <c r="Z109" s="653"/>
      <c r="AA109" s="748"/>
      <c r="AB109" s="653"/>
      <c r="AC109" s="2373"/>
      <c r="AD109" s="866"/>
      <c r="AE109" s="653"/>
      <c r="AF109" s="653"/>
      <c r="AG109" s="748"/>
      <c r="AH109" s="748"/>
      <c r="AI109" s="748"/>
      <c r="AJ109" s="748"/>
      <c r="AK109" s="748"/>
      <c r="AL109" s="748"/>
      <c r="AM109" s="748"/>
      <c r="AN109" s="748"/>
      <c r="AO109" s="748"/>
      <c r="AP109" s="748"/>
      <c r="AQ109" s="748"/>
      <c r="AR109" s="748"/>
      <c r="AS109" s="748"/>
      <c r="AT109" s="748"/>
      <c r="AU109" s="748"/>
      <c r="AV109" s="748"/>
      <c r="AW109" s="748"/>
      <c r="AX109" s="748"/>
      <c r="AY109" s="748"/>
      <c r="AZ109" s="748"/>
      <c r="BA109" s="748"/>
      <c r="BB109" s="748"/>
      <c r="BC109" s="748"/>
      <c r="BD109" s="748"/>
      <c r="BE109" s="748"/>
      <c r="BF109" s="748"/>
      <c r="BG109" s="748"/>
      <c r="BH109" s="748"/>
      <c r="BI109" s="748"/>
      <c r="BJ109" s="748"/>
      <c r="BK109" s="748"/>
      <c r="BL109" s="748"/>
      <c r="BM109" s="748"/>
      <c r="BN109" s="748"/>
      <c r="BO109" s="748"/>
      <c r="BP109" s="748"/>
      <c r="BQ109" s="748"/>
      <c r="BR109" s="748"/>
      <c r="BS109" s="748"/>
      <c r="BT109" s="748"/>
      <c r="BU109" s="748"/>
      <c r="BV109" s="653"/>
      <c r="BW109" s="653"/>
      <c r="BX109" s="653"/>
      <c r="BY109" s="653"/>
      <c r="BZ109" s="653"/>
      <c r="CA109" s="653"/>
      <c r="CB109" s="653"/>
      <c r="CC109" s="653"/>
      <c r="CD109" s="653"/>
      <c r="CE109" s="653"/>
    </row>
    <row customHeight="1" ht="5.25" hidden="1">
      <c r="A110" s="1277"/>
      <c r="B110" s="748"/>
      <c r="C110" s="748"/>
      <c r="D110" s="2391"/>
      <c r="E110" s="1297"/>
      <c r="F110" s="1297"/>
      <c r="G110" s="1297"/>
      <c r="H110" s="1297"/>
      <c r="I110" s="1297"/>
      <c r="J110" s="1297"/>
      <c r="K110" s="1297"/>
      <c r="L110" s="1297"/>
      <c r="M110" s="1297"/>
      <c r="N110" s="1297"/>
      <c r="O110" s="1297"/>
      <c r="P110" s="1297"/>
      <c r="Q110" s="1298"/>
      <c r="R110" s="1299"/>
      <c r="S110" s="1300"/>
      <c r="T110" s="954" t="s">
        <v>1480</v>
      </c>
      <c r="U110" s="2389">
        <v>1</v>
      </c>
      <c r="V110" s="2389" t="s">
        <v>1481</v>
      </c>
      <c r="W110" s="748"/>
      <c r="X110" s="748"/>
      <c r="Y110" s="748"/>
      <c r="Z110" s="748"/>
      <c r="AA110" s="748"/>
      <c r="AB110" s="748"/>
      <c r="AC110" s="1295"/>
      <c r="AD110" s="1296"/>
      <c r="AE110" s="748"/>
      <c r="AF110" s="748"/>
      <c r="AG110" s="748"/>
      <c r="AH110" s="748"/>
      <c r="AI110" s="748"/>
      <c r="AJ110" s="748"/>
      <c r="AK110" s="748"/>
      <c r="AL110" s="748"/>
      <c r="AM110" s="748"/>
      <c r="AN110" s="748"/>
      <c r="AO110" s="748"/>
      <c r="AP110" s="748"/>
      <c r="AQ110" s="748"/>
      <c r="AR110" s="748"/>
      <c r="AS110" s="748"/>
      <c r="AT110" s="748"/>
      <c r="AU110" s="748"/>
      <c r="AV110" s="748"/>
      <c r="AW110" s="748"/>
      <c r="AX110" s="748"/>
      <c r="AY110" s="748"/>
      <c r="AZ110" s="748"/>
      <c r="BA110" s="748"/>
      <c r="BB110" s="748"/>
      <c r="BC110" s="748"/>
      <c r="BD110" s="748"/>
      <c r="BE110" s="748"/>
      <c r="BF110" s="748"/>
      <c r="BG110" s="748"/>
      <c r="BH110" s="748"/>
      <c r="BI110" s="748"/>
      <c r="BJ110" s="748"/>
      <c r="BK110" s="748"/>
      <c r="BL110" s="748"/>
      <c r="BM110" s="748"/>
      <c r="BN110" s="748"/>
      <c r="BO110" s="748"/>
      <c r="BP110" s="748"/>
      <c r="BQ110" s="748"/>
      <c r="BR110" s="748"/>
      <c r="BS110" s="748"/>
      <c r="BT110" s="748"/>
      <c r="BU110" s="748"/>
      <c r="BV110" s="748"/>
      <c r="BW110" s="748"/>
      <c r="BX110" s="748"/>
      <c r="BY110" s="748"/>
      <c r="BZ110" s="748"/>
      <c r="CA110" s="748"/>
      <c r="CB110" s="748"/>
      <c r="CC110" s="748"/>
      <c r="CD110" s="748"/>
      <c r="CE110" s="748"/>
    </row>
    <row customHeight="1" ht="5.25" hidden="1">
      <c r="A111" s="1277"/>
      <c r="B111" s="748"/>
      <c r="C111" s="748"/>
      <c r="D111" s="2391"/>
      <c r="E111" s="872"/>
      <c r="F111" s="872"/>
      <c r="G111" s="872"/>
      <c r="H111" s="872"/>
      <c r="I111" s="872"/>
      <c r="J111" s="872"/>
      <c r="K111" s="872"/>
      <c r="L111" s="872"/>
      <c r="M111" s="872"/>
      <c r="N111" s="872"/>
      <c r="O111" s="872"/>
      <c r="P111" s="872"/>
      <c r="Q111" s="872"/>
      <c r="R111" s="872"/>
      <c r="S111" s="873"/>
      <c r="T111" s="955"/>
      <c r="U111" s="2389"/>
      <c r="V111" s="2389"/>
      <c r="W111" s="748"/>
      <c r="X111" s="748"/>
      <c r="Y111" s="748"/>
      <c r="Z111" s="748"/>
      <c r="AA111" s="748"/>
      <c r="AB111" s="748"/>
      <c r="AC111" s="1295"/>
      <c r="AD111" s="1296"/>
      <c r="AE111" s="748"/>
      <c r="AF111" s="748"/>
      <c r="AG111" s="748"/>
      <c r="AH111" s="748"/>
      <c r="AI111" s="748"/>
      <c r="AJ111" s="748"/>
      <c r="AK111" s="748"/>
      <c r="AL111" s="748"/>
      <c r="AM111" s="748"/>
      <c r="AN111" s="748"/>
      <c r="AO111" s="748"/>
      <c r="AP111" s="748"/>
      <c r="AQ111" s="748"/>
      <c r="AR111" s="748"/>
      <c r="AS111" s="748"/>
      <c r="AT111" s="748"/>
      <c r="AU111" s="748"/>
      <c r="AV111" s="748"/>
      <c r="AW111" s="748"/>
      <c r="AX111" s="748"/>
      <c r="AY111" s="748"/>
      <c r="AZ111" s="748"/>
      <c r="BA111" s="748"/>
      <c r="BB111" s="748"/>
      <c r="BC111" s="748"/>
      <c r="BD111" s="748"/>
      <c r="BE111" s="748"/>
      <c r="BF111" s="748"/>
      <c r="BG111" s="748"/>
      <c r="BH111" s="748"/>
      <c r="BI111" s="748"/>
      <c r="BJ111" s="748"/>
      <c r="BK111" s="748"/>
      <c r="BL111" s="748"/>
      <c r="BM111" s="748"/>
      <c r="BN111" s="748"/>
      <c r="BO111" s="748"/>
      <c r="BP111" s="748"/>
      <c r="BQ111" s="748"/>
      <c r="BR111" s="748"/>
      <c r="BS111" s="748"/>
      <c r="BT111" s="748"/>
      <c r="BU111" s="748"/>
      <c r="BV111" s="748"/>
      <c r="BW111" s="748"/>
      <c r="BX111" s="748"/>
      <c r="BY111" s="748"/>
      <c r="BZ111" s="748"/>
      <c r="CA111" s="748"/>
      <c r="CB111" s="748"/>
      <c r="CC111" s="748"/>
      <c r="CD111" s="748"/>
      <c r="CE111" s="748"/>
    </row>
    <row customHeight="1" ht="5.25" hidden="1">
      <c r="A112" s="1277"/>
      <c r="B112" s="748"/>
      <c r="C112" s="748"/>
      <c r="D112" s="2392"/>
      <c r="E112" s="1301"/>
      <c r="F112" s="1302"/>
      <c r="G112" s="1302"/>
      <c r="H112" s="1303"/>
      <c r="I112" s="1303"/>
      <c r="J112" s="1303"/>
      <c r="K112" s="1303"/>
      <c r="L112" s="1303"/>
      <c r="M112" s="1303"/>
      <c r="N112" s="1303"/>
      <c r="O112" s="1303"/>
      <c r="P112" s="1303"/>
      <c r="Q112" s="1303"/>
      <c r="R112" s="1202"/>
      <c r="S112" s="1304"/>
      <c r="T112" s="955"/>
      <c r="U112" s="2389"/>
      <c r="V112" s="2389"/>
      <c r="W112" s="748"/>
      <c r="X112" s="748"/>
      <c r="Y112" s="748"/>
      <c r="Z112" s="748"/>
      <c r="AA112" s="748"/>
      <c r="AB112" s="748"/>
      <c r="AC112" s="1295"/>
      <c r="AD112" s="1296"/>
      <c r="AE112" s="748"/>
      <c r="AF112" s="748"/>
      <c r="AG112" s="748"/>
      <c r="AH112" s="748"/>
      <c r="AI112" s="748"/>
      <c r="AJ112" s="748"/>
      <c r="AK112" s="748"/>
      <c r="AL112" s="748"/>
      <c r="AM112" s="748"/>
      <c r="AN112" s="748"/>
      <c r="AO112" s="748"/>
      <c r="AP112" s="748"/>
      <c r="AQ112" s="748"/>
      <c r="AR112" s="748"/>
      <c r="AS112" s="748"/>
      <c r="AT112" s="748"/>
      <c r="AU112" s="748"/>
      <c r="AV112" s="748"/>
      <c r="AW112" s="748"/>
      <c r="AX112" s="748"/>
      <c r="AY112" s="748"/>
      <c r="AZ112" s="748"/>
      <c r="BA112" s="748"/>
      <c r="BB112" s="748"/>
      <c r="BC112" s="748"/>
      <c r="BD112" s="748"/>
      <c r="BE112" s="748"/>
      <c r="BF112" s="748"/>
      <c r="BG112" s="748"/>
      <c r="BH112" s="748"/>
      <c r="BI112" s="748"/>
      <c r="BJ112" s="748"/>
      <c r="BK112" s="748"/>
      <c r="BL112" s="748"/>
      <c r="BM112" s="748"/>
      <c r="BN112" s="748"/>
      <c r="BO112" s="748"/>
      <c r="BP112" s="748"/>
      <c r="BQ112" s="748"/>
      <c r="BR112" s="748"/>
      <c r="BS112" s="748"/>
      <c r="BT112" s="748"/>
      <c r="BU112" s="748"/>
      <c r="BV112" s="748"/>
      <c r="BW112" s="748"/>
      <c r="BX112" s="748"/>
      <c r="BY112" s="748"/>
      <c r="BZ112" s="748"/>
      <c r="CA112" s="748"/>
      <c r="CB112" s="748"/>
      <c r="CC112" s="748"/>
      <c r="CD112" s="748"/>
      <c r="CE112" s="748"/>
    </row>
    <row customHeight="1" ht="15" hidden="1">
      <c r="A113" s="860" t="s">
        <v>147</v>
      </c>
      <c r="B113" s="861"/>
      <c r="C113" s="861" t="s">
        <v>17</v>
      </c>
      <c r="D113" s="2390" t="s">
        <v>1820</v>
      </c>
      <c r="E113" s="2374" t="s">
        <v>105</v>
      </c>
      <c r="F113" s="2375"/>
      <c r="G113" s="2376"/>
      <c r="H113" s="2377" t="str">
        <f>IF(A113="","",INDEX(DIFFERENTIATION_UNMERGE_VD,MATCH(A113,DIFFERENTIATION_ID_DIFF,0)))</f>
        <v>Производство тепловой энергии. Некомбинированная выработка</v>
      </c>
      <c r="I113" s="2377"/>
      <c r="J113" s="2377"/>
      <c r="K113" s="2377"/>
      <c r="L113" s="2377"/>
      <c r="M113" s="2377"/>
      <c r="N113" s="2377"/>
      <c r="O113" s="2377"/>
      <c r="P113" s="2377"/>
      <c r="Q113" s="2377"/>
      <c r="R113" s="2377"/>
      <c r="S113" s="956"/>
      <c r="T113" s="953"/>
      <c r="U113" s="862"/>
      <c r="V113" s="862"/>
      <c r="W113" s="863"/>
      <c r="X113" s="863"/>
      <c r="Y113" s="863"/>
      <c r="Z113" s="863"/>
      <c r="AA113" s="864"/>
      <c r="AB113" s="865"/>
      <c r="AC113" s="2373"/>
      <c r="AD113" s="866"/>
      <c r="AE113" s="867" t="s">
        <v>17</v>
      </c>
      <c r="AF113" s="867"/>
      <c r="AG113" s="868" t="s">
        <v>1475</v>
      </c>
      <c r="AH113" s="869">
        <v>3</v>
      </c>
      <c r="AI113" s="862"/>
      <c r="AJ113" s="862"/>
      <c r="AK113" s="862"/>
      <c r="AL113" s="862"/>
      <c r="AM113" s="862"/>
      <c r="AN113" s="862"/>
      <c r="AO113" s="862"/>
      <c r="AP113" s="862"/>
      <c r="AQ113" s="862"/>
      <c r="AR113" s="862"/>
      <c r="AS113" s="862"/>
      <c r="AT113" s="862"/>
      <c r="AU113" s="862"/>
      <c r="AV113" s="862"/>
      <c r="AW113" s="862"/>
      <c r="AX113" s="862"/>
      <c r="AY113" s="862"/>
      <c r="AZ113" s="862"/>
      <c r="BA113" s="862"/>
      <c r="BB113" s="862"/>
      <c r="BC113" s="862"/>
      <c r="BD113" s="862"/>
      <c r="BE113" s="862"/>
      <c r="BF113" s="862"/>
      <c r="BG113" s="862"/>
      <c r="BH113" s="862"/>
      <c r="BI113" s="862"/>
      <c r="BJ113" s="862"/>
      <c r="BK113" s="862"/>
      <c r="BL113" s="862"/>
      <c r="BM113" s="862"/>
      <c r="BN113" s="862"/>
      <c r="BO113" s="862"/>
      <c r="BP113" s="862"/>
      <c r="BQ113" s="862"/>
      <c r="BR113" s="862"/>
      <c r="BS113" s="862"/>
      <c r="BT113" s="862"/>
      <c r="BU113" s="862"/>
      <c r="BV113" s="863"/>
      <c r="BW113" s="863"/>
      <c r="BX113" s="863"/>
      <c r="BY113" s="863"/>
      <c r="BZ113" s="863"/>
      <c r="CA113" s="863"/>
      <c r="CB113" s="863"/>
      <c r="CC113" s="863"/>
      <c r="CD113" s="863"/>
      <c r="CE113" s="863"/>
    </row>
    <row customHeight="1" ht="15" hidden="1">
      <c r="A114" s="860"/>
      <c r="B114" s="861"/>
      <c r="C114" s="861"/>
      <c r="D114" s="2391"/>
      <c r="E114" s="2374" t="s">
        <v>1476</v>
      </c>
      <c r="F114" s="2375"/>
      <c r="G114" s="2376"/>
      <c r="H114" s="2377" t="str">
        <f>IF(A113="","",INDEX(DIFFERENTIATION_UNMERGE_AREA,MATCH(A113,DIFFERENTIATION_ID_DIFF,0)))</f>
        <v>Территория 1</v>
      </c>
      <c r="I114" s="2377"/>
      <c r="J114" s="2377"/>
      <c r="K114" s="2377"/>
      <c r="L114" s="2377"/>
      <c r="M114" s="2377"/>
      <c r="N114" s="2377"/>
      <c r="O114" s="2377"/>
      <c r="P114" s="2377"/>
      <c r="Q114" s="2377"/>
      <c r="R114" s="2377"/>
      <c r="S114" s="956"/>
      <c r="T114" s="953"/>
      <c r="U114" s="862"/>
      <c r="V114" s="862"/>
      <c r="W114" s="863"/>
      <c r="X114" s="863"/>
      <c r="Y114" s="863"/>
      <c r="Z114" s="863"/>
      <c r="AA114" s="864"/>
      <c r="AB114" s="865"/>
      <c r="AC114" s="2373"/>
      <c r="AD114" s="866"/>
      <c r="AE114" s="867"/>
      <c r="AF114" s="867"/>
      <c r="AG114" s="868"/>
      <c r="AH114" s="869"/>
      <c r="AI114" s="862"/>
      <c r="AJ114" s="862"/>
      <c r="AK114" s="862"/>
      <c r="AL114" s="862"/>
      <c r="AM114" s="862"/>
      <c r="AN114" s="862"/>
      <c r="AO114" s="862"/>
      <c r="AP114" s="862"/>
      <c r="AQ114" s="862"/>
      <c r="AR114" s="862"/>
      <c r="AS114" s="862"/>
      <c r="AT114" s="862"/>
      <c r="AU114" s="862"/>
      <c r="AV114" s="862"/>
      <c r="AW114" s="862"/>
      <c r="AX114" s="862"/>
      <c r="AY114" s="862"/>
      <c r="AZ114" s="862"/>
      <c r="BA114" s="862"/>
      <c r="BB114" s="862"/>
      <c r="BC114" s="862"/>
      <c r="BD114" s="862"/>
      <c r="BE114" s="862"/>
      <c r="BF114" s="862"/>
      <c r="BG114" s="862"/>
      <c r="BH114" s="862"/>
      <c r="BI114" s="862"/>
      <c r="BJ114" s="862"/>
      <c r="BK114" s="862"/>
      <c r="BL114" s="862"/>
      <c r="BM114" s="862"/>
      <c r="BN114" s="862"/>
      <c r="BO114" s="862"/>
      <c r="BP114" s="862"/>
      <c r="BQ114" s="862"/>
      <c r="BR114" s="862"/>
      <c r="BS114" s="862"/>
      <c r="BT114" s="862"/>
      <c r="BU114" s="862"/>
      <c r="BV114" s="863"/>
      <c r="BW114" s="863"/>
      <c r="BX114" s="863"/>
      <c r="BY114" s="863"/>
      <c r="BZ114" s="863"/>
      <c r="CA114" s="863"/>
      <c r="CB114" s="863"/>
      <c r="CC114" s="863"/>
      <c r="CD114" s="863"/>
      <c r="CE114" s="863"/>
    </row>
    <row customHeight="1" ht="15" hidden="1">
      <c r="A115" s="860"/>
      <c r="B115" s="861"/>
      <c r="C115" s="861"/>
      <c r="D115" s="2391"/>
      <c r="E115" s="2374" t="s">
        <v>1477</v>
      </c>
      <c r="F115" s="2375"/>
      <c r="G115" s="2376"/>
      <c r="H115" s="2377" t="str">
        <f>IF(A113="","",INDEX(DIFFERENTIATION_UNMERGE_SYSTEM,MATCH(A113,DIFFERENTIATION_ID_DIFF,0)))</f>
        <v>Котельная №13, ул.Морквашинская</v>
      </c>
      <c r="I115" s="2377"/>
      <c r="J115" s="2377"/>
      <c r="K115" s="2377"/>
      <c r="L115" s="2377"/>
      <c r="M115" s="2377"/>
      <c r="N115" s="2377"/>
      <c r="O115" s="2377"/>
      <c r="P115" s="2377"/>
      <c r="Q115" s="2377"/>
      <c r="R115" s="2377"/>
      <c r="S115" s="956"/>
      <c r="T115" s="953"/>
      <c r="U115" s="862"/>
      <c r="V115" s="862"/>
      <c r="W115" s="863"/>
      <c r="X115" s="863"/>
      <c r="Y115" s="863"/>
      <c r="Z115" s="863"/>
      <c r="AA115" s="864"/>
      <c r="AB115" s="865"/>
      <c r="AC115" s="2373"/>
      <c r="AD115" s="866"/>
      <c r="AE115" s="867"/>
      <c r="AF115" s="867"/>
      <c r="AG115" s="868"/>
      <c r="AH115" s="869"/>
      <c r="AI115" s="862"/>
      <c r="AJ115" s="862"/>
      <c r="AK115" s="862"/>
      <c r="AL115" s="862"/>
      <c r="AM115" s="862"/>
      <c r="AN115" s="862"/>
      <c r="AO115" s="862"/>
      <c r="AP115" s="862"/>
      <c r="AQ115" s="862"/>
      <c r="AR115" s="862"/>
      <c r="AS115" s="862"/>
      <c r="AT115" s="862"/>
      <c r="AU115" s="862"/>
      <c r="AV115" s="862"/>
      <c r="AW115" s="862"/>
      <c r="AX115" s="862"/>
      <c r="AY115" s="862"/>
      <c r="AZ115" s="862"/>
      <c r="BA115" s="862"/>
      <c r="BB115" s="862"/>
      <c r="BC115" s="862"/>
      <c r="BD115" s="862"/>
      <c r="BE115" s="862"/>
      <c r="BF115" s="862"/>
      <c r="BG115" s="862"/>
      <c r="BH115" s="862"/>
      <c r="BI115" s="862"/>
      <c r="BJ115" s="862"/>
      <c r="BK115" s="862"/>
      <c r="BL115" s="862"/>
      <c r="BM115" s="862"/>
      <c r="BN115" s="862"/>
      <c r="BO115" s="862"/>
      <c r="BP115" s="862"/>
      <c r="BQ115" s="862"/>
      <c r="BR115" s="862"/>
      <c r="BS115" s="862"/>
      <c r="BT115" s="862"/>
      <c r="BU115" s="862"/>
      <c r="BV115" s="863"/>
      <c r="BW115" s="863"/>
      <c r="BX115" s="863"/>
      <c r="BY115" s="863"/>
      <c r="BZ115" s="863"/>
      <c r="CA115" s="863"/>
      <c r="CB115" s="863"/>
      <c r="CC115" s="863"/>
      <c r="CD115" s="863"/>
      <c r="CE115" s="863"/>
    </row>
    <row customHeight="1" ht="24.75" hidden="1">
      <c r="A116" s="870"/>
      <c r="B116" s="653"/>
      <c r="C116" s="648"/>
      <c r="D116" s="2391"/>
      <c r="E116" s="2388" t="s">
        <v>1478</v>
      </c>
      <c r="F116" s="2388"/>
      <c r="G116" s="2388"/>
      <c r="H116" s="2388"/>
      <c r="I116" s="2388"/>
      <c r="J116" s="2388"/>
      <c r="K116" s="2388"/>
      <c r="L116" s="2388"/>
      <c r="M116" s="2388"/>
      <c r="N116" s="2388"/>
      <c r="O116" s="2388"/>
      <c r="P116" s="2388"/>
      <c r="Q116" s="795">
        <f>SUMIF(T117:T118,"i",Q117:Q118)</f>
        <v>0</v>
      </c>
      <c r="R116" s="1273"/>
      <c r="S116" s="1278" t="s">
        <v>1479</v>
      </c>
      <c r="T116" s="954" t="s">
        <v>1480</v>
      </c>
      <c r="U116" s="2389">
        <v>1</v>
      </c>
      <c r="V116" s="2389" t="s">
        <v>1481</v>
      </c>
      <c r="W116" s="653"/>
      <c r="X116" s="653"/>
      <c r="Y116" s="653"/>
      <c r="Z116" s="653"/>
      <c r="AA116" s="748"/>
      <c r="AB116" s="653"/>
      <c r="AC116" s="2373"/>
      <c r="AD116" s="866"/>
      <c r="AE116" s="653"/>
      <c r="AF116" s="653"/>
      <c r="AG116" s="748"/>
      <c r="AH116" s="748"/>
      <c r="AI116" s="748"/>
      <c r="AJ116" s="748"/>
      <c r="AK116" s="748"/>
      <c r="AL116" s="748"/>
      <c r="AM116" s="748"/>
      <c r="AN116" s="748"/>
      <c r="AO116" s="748"/>
      <c r="AP116" s="748"/>
      <c r="AQ116" s="748"/>
      <c r="AR116" s="748"/>
      <c r="AS116" s="748"/>
      <c r="AT116" s="748"/>
      <c r="AU116" s="748"/>
      <c r="AV116" s="748"/>
      <c r="AW116" s="748"/>
      <c r="AX116" s="748"/>
      <c r="AY116" s="748"/>
      <c r="AZ116" s="748"/>
      <c r="BA116" s="748"/>
      <c r="BB116" s="748"/>
      <c r="BC116" s="748"/>
      <c r="BD116" s="748"/>
      <c r="BE116" s="748"/>
      <c r="BF116" s="748"/>
      <c r="BG116" s="748"/>
      <c r="BH116" s="748"/>
      <c r="BI116" s="748"/>
      <c r="BJ116" s="748"/>
      <c r="BK116" s="748"/>
      <c r="BL116" s="748"/>
      <c r="BM116" s="748"/>
      <c r="BN116" s="748"/>
      <c r="BO116" s="748"/>
      <c r="BP116" s="748"/>
      <c r="BQ116" s="748"/>
      <c r="BR116" s="748"/>
      <c r="BS116" s="748"/>
      <c r="BT116" s="748"/>
      <c r="BU116" s="748"/>
      <c r="BV116" s="653"/>
      <c r="BW116" s="653"/>
      <c r="BX116" s="653"/>
      <c r="BY116" s="653"/>
      <c r="BZ116" s="653"/>
      <c r="CA116" s="653"/>
      <c r="CB116" s="653"/>
      <c r="CC116" s="653"/>
      <c r="CD116" s="653"/>
      <c r="CE116" s="653"/>
    </row>
    <row customHeight="1" ht="11.25" hidden="1">
      <c r="A117" s="1277"/>
      <c r="B117" s="748"/>
      <c r="C117" s="748"/>
      <c r="D117" s="2391"/>
      <c r="E117" s="872"/>
      <c r="F117" s="872">
        <v>0</v>
      </c>
      <c r="G117" s="872"/>
      <c r="H117" s="872"/>
      <c r="I117" s="872"/>
      <c r="J117" s="872"/>
      <c r="K117" s="872"/>
      <c r="L117" s="872"/>
      <c r="M117" s="872"/>
      <c r="N117" s="872"/>
      <c r="O117" s="872"/>
      <c r="P117" s="872"/>
      <c r="Q117" s="872"/>
      <c r="R117" s="872"/>
      <c r="S117" s="873"/>
      <c r="T117" s="955"/>
      <c r="U117" s="2389"/>
      <c r="V117" s="2389"/>
      <c r="W117" s="748"/>
      <c r="X117" s="748"/>
      <c r="Y117" s="748"/>
      <c r="Z117" s="748"/>
      <c r="AA117" s="748"/>
      <c r="AB117" s="653"/>
      <c r="AC117" s="2373"/>
      <c r="AD117" s="866"/>
      <c r="AE117" s="653"/>
      <c r="AF117" s="653"/>
      <c r="AG117" s="748"/>
      <c r="AH117" s="748"/>
      <c r="AI117" s="748"/>
      <c r="AJ117" s="748"/>
      <c r="AK117" s="748"/>
      <c r="AL117" s="748"/>
      <c r="AM117" s="748"/>
      <c r="AN117" s="748"/>
      <c r="AO117" s="748"/>
      <c r="AP117" s="748"/>
      <c r="AQ117" s="748"/>
      <c r="AR117" s="748"/>
      <c r="AS117" s="748"/>
      <c r="AT117" s="748"/>
      <c r="AU117" s="748"/>
      <c r="AV117" s="748"/>
      <c r="AW117" s="748"/>
      <c r="AX117" s="748"/>
      <c r="AY117" s="748"/>
      <c r="AZ117" s="748"/>
      <c r="BA117" s="748"/>
      <c r="BB117" s="748"/>
      <c r="BC117" s="748"/>
      <c r="BD117" s="748"/>
      <c r="BE117" s="748"/>
      <c r="BF117" s="748"/>
      <c r="BG117" s="748"/>
      <c r="BH117" s="748"/>
      <c r="BI117" s="748"/>
      <c r="BJ117" s="748"/>
      <c r="BK117" s="748"/>
      <c r="BL117" s="748"/>
      <c r="BM117" s="748"/>
      <c r="BN117" s="748"/>
      <c r="BO117" s="748"/>
      <c r="BP117" s="748"/>
      <c r="BQ117" s="748"/>
      <c r="BR117" s="748"/>
      <c r="BS117" s="748"/>
      <c r="BT117" s="748"/>
      <c r="BU117" s="748"/>
      <c r="BV117" s="748"/>
      <c r="BW117" s="748"/>
      <c r="BX117" s="748"/>
      <c r="BY117" s="748"/>
      <c r="BZ117" s="748"/>
      <c r="CA117" s="748"/>
      <c r="CB117" s="748"/>
      <c r="CC117" s="748"/>
      <c r="CD117" s="748"/>
      <c r="CE117" s="748"/>
    </row>
    <row customHeight="1" ht="11.25" hidden="1">
      <c r="A118" s="870"/>
      <c r="B118" s="653"/>
      <c r="C118" s="648"/>
      <c r="D118" s="2391"/>
      <c r="E118" s="886" t="s">
        <v>17</v>
      </c>
      <c r="F118" s="887" t="s">
        <v>17</v>
      </c>
      <c r="G118" s="887" t="s">
        <v>1482</v>
      </c>
      <c r="H118" s="888" t="s">
        <v>17</v>
      </c>
      <c r="I118" s="888"/>
      <c r="J118" s="888"/>
      <c r="K118" s="888"/>
      <c r="L118" s="888"/>
      <c r="M118" s="888"/>
      <c r="N118" s="888"/>
      <c r="O118" s="888"/>
      <c r="P118" s="888"/>
      <c r="Q118" s="888"/>
      <c r="R118" s="889"/>
      <c r="S118" s="890"/>
      <c r="T118" s="955"/>
      <c r="U118" s="2389"/>
      <c r="V118" s="2389"/>
      <c r="W118" s="653"/>
      <c r="X118" s="653"/>
      <c r="Y118" s="653"/>
      <c r="Z118" s="653"/>
      <c r="AA118" s="748"/>
      <c r="AB118" s="653"/>
      <c r="AC118" s="2373"/>
      <c r="AD118" s="866"/>
      <c r="AE118" s="653"/>
      <c r="AF118" s="653"/>
      <c r="AG118" s="748"/>
      <c r="AH118" s="748"/>
      <c r="AI118" s="748"/>
      <c r="AJ118" s="748"/>
      <c r="AK118" s="748"/>
      <c r="AL118" s="748"/>
      <c r="AM118" s="748"/>
      <c r="AN118" s="748"/>
      <c r="AO118" s="748"/>
      <c r="AP118" s="748"/>
      <c r="AQ118" s="748"/>
      <c r="AR118" s="748"/>
      <c r="AS118" s="748"/>
      <c r="AT118" s="748"/>
      <c r="AU118" s="748"/>
      <c r="AV118" s="748"/>
      <c r="AW118" s="748"/>
      <c r="AX118" s="748"/>
      <c r="AY118" s="748"/>
      <c r="AZ118" s="748"/>
      <c r="BA118" s="748"/>
      <c r="BB118" s="748"/>
      <c r="BC118" s="748"/>
      <c r="BD118" s="748"/>
      <c r="BE118" s="748"/>
      <c r="BF118" s="748"/>
      <c r="BG118" s="748"/>
      <c r="BH118" s="748"/>
      <c r="BI118" s="748"/>
      <c r="BJ118" s="748"/>
      <c r="BK118" s="748"/>
      <c r="BL118" s="748"/>
      <c r="BM118" s="748"/>
      <c r="BN118" s="748"/>
      <c r="BO118" s="748"/>
      <c r="BP118" s="748"/>
      <c r="BQ118" s="748"/>
      <c r="BR118" s="748"/>
      <c r="BS118" s="748"/>
      <c r="BT118" s="748"/>
      <c r="BU118" s="748"/>
      <c r="BV118" s="653"/>
      <c r="BW118" s="653"/>
      <c r="BX118" s="653"/>
      <c r="BY118" s="653"/>
      <c r="BZ118" s="653"/>
      <c r="CA118" s="653"/>
      <c r="CB118" s="653"/>
      <c r="CC118" s="653"/>
      <c r="CD118" s="653"/>
      <c r="CE118" s="653"/>
    </row>
    <row customHeight="1" ht="5.25" hidden="1">
      <c r="A119" s="1277"/>
      <c r="B119" s="748"/>
      <c r="C119" s="748"/>
      <c r="D119" s="2391"/>
      <c r="E119" s="1297"/>
      <c r="F119" s="1297"/>
      <c r="G119" s="1297"/>
      <c r="H119" s="1297"/>
      <c r="I119" s="1297"/>
      <c r="J119" s="1297"/>
      <c r="K119" s="1297"/>
      <c r="L119" s="1297"/>
      <c r="M119" s="1297"/>
      <c r="N119" s="1297"/>
      <c r="O119" s="1297"/>
      <c r="P119" s="1297"/>
      <c r="Q119" s="1298"/>
      <c r="R119" s="1299"/>
      <c r="S119" s="1300"/>
      <c r="T119" s="954" t="s">
        <v>1480</v>
      </c>
      <c r="U119" s="2389">
        <v>1</v>
      </c>
      <c r="V119" s="2389" t="s">
        <v>1481</v>
      </c>
      <c r="W119" s="748"/>
      <c r="X119" s="748"/>
      <c r="Y119" s="748"/>
      <c r="Z119" s="748"/>
      <c r="AA119" s="748"/>
      <c r="AB119" s="748"/>
      <c r="AC119" s="1295"/>
      <c r="AD119" s="1296"/>
      <c r="AE119" s="748"/>
      <c r="AF119" s="748"/>
      <c r="AG119" s="748"/>
      <c r="AH119" s="748"/>
      <c r="AI119" s="748"/>
      <c r="AJ119" s="748"/>
      <c r="AK119" s="748"/>
      <c r="AL119" s="748"/>
      <c r="AM119" s="748"/>
      <c r="AN119" s="748"/>
      <c r="AO119" s="748"/>
      <c r="AP119" s="748"/>
      <c r="AQ119" s="748"/>
      <c r="AR119" s="748"/>
      <c r="AS119" s="748"/>
      <c r="AT119" s="748"/>
      <c r="AU119" s="748"/>
      <c r="AV119" s="748"/>
      <c r="AW119" s="748"/>
      <c r="AX119" s="748"/>
      <c r="AY119" s="748"/>
      <c r="AZ119" s="748"/>
      <c r="BA119" s="748"/>
      <c r="BB119" s="748"/>
      <c r="BC119" s="748"/>
      <c r="BD119" s="748"/>
      <c r="BE119" s="748"/>
      <c r="BF119" s="748"/>
      <c r="BG119" s="748"/>
      <c r="BH119" s="748"/>
      <c r="BI119" s="748"/>
      <c r="BJ119" s="748"/>
      <c r="BK119" s="748"/>
      <c r="BL119" s="748"/>
      <c r="BM119" s="748"/>
      <c r="BN119" s="748"/>
      <c r="BO119" s="748"/>
      <c r="BP119" s="748"/>
      <c r="BQ119" s="748"/>
      <c r="BR119" s="748"/>
      <c r="BS119" s="748"/>
      <c r="BT119" s="748"/>
      <c r="BU119" s="748"/>
      <c r="BV119" s="748"/>
      <c r="BW119" s="748"/>
      <c r="BX119" s="748"/>
      <c r="BY119" s="748"/>
      <c r="BZ119" s="748"/>
      <c r="CA119" s="748"/>
      <c r="CB119" s="748"/>
      <c r="CC119" s="748"/>
      <c r="CD119" s="748"/>
      <c r="CE119" s="748"/>
    </row>
    <row customHeight="1" ht="5.25" hidden="1">
      <c r="A120" s="1277"/>
      <c r="B120" s="748"/>
      <c r="C120" s="748"/>
      <c r="D120" s="2391"/>
      <c r="E120" s="872"/>
      <c r="F120" s="872"/>
      <c r="G120" s="872"/>
      <c r="H120" s="872"/>
      <c r="I120" s="872"/>
      <c r="J120" s="872"/>
      <c r="K120" s="872"/>
      <c r="L120" s="872"/>
      <c r="M120" s="872"/>
      <c r="N120" s="872"/>
      <c r="O120" s="872"/>
      <c r="P120" s="872"/>
      <c r="Q120" s="872"/>
      <c r="R120" s="872"/>
      <c r="S120" s="873"/>
      <c r="T120" s="955"/>
      <c r="U120" s="2389"/>
      <c r="V120" s="2389"/>
      <c r="W120" s="748"/>
      <c r="X120" s="748"/>
      <c r="Y120" s="748"/>
      <c r="Z120" s="748"/>
      <c r="AA120" s="748"/>
      <c r="AB120" s="748"/>
      <c r="AC120" s="1295"/>
      <c r="AD120" s="1296"/>
      <c r="AE120" s="748"/>
      <c r="AF120" s="748"/>
      <c r="AG120" s="748"/>
      <c r="AH120" s="748"/>
      <c r="AI120" s="748"/>
      <c r="AJ120" s="748"/>
      <c r="AK120" s="748"/>
      <c r="AL120" s="748"/>
      <c r="AM120" s="748"/>
      <c r="AN120" s="748"/>
      <c r="AO120" s="748"/>
      <c r="AP120" s="748"/>
      <c r="AQ120" s="748"/>
      <c r="AR120" s="748"/>
      <c r="AS120" s="748"/>
      <c r="AT120" s="748"/>
      <c r="AU120" s="748"/>
      <c r="AV120" s="748"/>
      <c r="AW120" s="748"/>
      <c r="AX120" s="748"/>
      <c r="AY120" s="748"/>
      <c r="AZ120" s="748"/>
      <c r="BA120" s="748"/>
      <c r="BB120" s="748"/>
      <c r="BC120" s="748"/>
      <c r="BD120" s="748"/>
      <c r="BE120" s="748"/>
      <c r="BF120" s="748"/>
      <c r="BG120" s="748"/>
      <c r="BH120" s="748"/>
      <c r="BI120" s="748"/>
      <c r="BJ120" s="748"/>
      <c r="BK120" s="748"/>
      <c r="BL120" s="748"/>
      <c r="BM120" s="748"/>
      <c r="BN120" s="748"/>
      <c r="BO120" s="748"/>
      <c r="BP120" s="748"/>
      <c r="BQ120" s="748"/>
      <c r="BR120" s="748"/>
      <c r="BS120" s="748"/>
      <c r="BT120" s="748"/>
      <c r="BU120" s="748"/>
      <c r="BV120" s="748"/>
      <c r="BW120" s="748"/>
      <c r="BX120" s="748"/>
      <c r="BY120" s="748"/>
      <c r="BZ120" s="748"/>
      <c r="CA120" s="748"/>
      <c r="CB120" s="748"/>
      <c r="CC120" s="748"/>
      <c r="CD120" s="748"/>
      <c r="CE120" s="748"/>
    </row>
    <row customHeight="1" ht="5.25" hidden="1">
      <c r="A121" s="1277"/>
      <c r="B121" s="748"/>
      <c r="C121" s="748"/>
      <c r="D121" s="2392"/>
      <c r="E121" s="1301"/>
      <c r="F121" s="1302"/>
      <c r="G121" s="1302"/>
      <c r="H121" s="1303"/>
      <c r="I121" s="1303"/>
      <c r="J121" s="1303"/>
      <c r="K121" s="1303"/>
      <c r="L121" s="1303"/>
      <c r="M121" s="1303"/>
      <c r="N121" s="1303"/>
      <c r="O121" s="1303"/>
      <c r="P121" s="1303"/>
      <c r="Q121" s="1303"/>
      <c r="R121" s="1202"/>
      <c r="S121" s="1304"/>
      <c r="T121" s="955"/>
      <c r="U121" s="2389"/>
      <c r="V121" s="2389"/>
      <c r="W121" s="748"/>
      <c r="X121" s="748"/>
      <c r="Y121" s="748"/>
      <c r="Z121" s="748"/>
      <c r="AA121" s="748"/>
      <c r="AB121" s="748"/>
      <c r="AC121" s="1295"/>
      <c r="AD121" s="1296"/>
      <c r="AE121" s="748"/>
      <c r="AF121" s="748"/>
      <c r="AG121" s="748"/>
      <c r="AH121" s="748"/>
      <c r="AI121" s="748"/>
      <c r="AJ121" s="748"/>
      <c r="AK121" s="748"/>
      <c r="AL121" s="748"/>
      <c r="AM121" s="748"/>
      <c r="AN121" s="748"/>
      <c r="AO121" s="748"/>
      <c r="AP121" s="748"/>
      <c r="AQ121" s="748"/>
      <c r="AR121" s="748"/>
      <c r="AS121" s="748"/>
      <c r="AT121" s="748"/>
      <c r="AU121" s="748"/>
      <c r="AV121" s="748"/>
      <c r="AW121" s="748"/>
      <c r="AX121" s="748"/>
      <c r="AY121" s="748"/>
      <c r="AZ121" s="748"/>
      <c r="BA121" s="748"/>
      <c r="BB121" s="748"/>
      <c r="BC121" s="748"/>
      <c r="BD121" s="748"/>
      <c r="BE121" s="748"/>
      <c r="BF121" s="748"/>
      <c r="BG121" s="748"/>
      <c r="BH121" s="748"/>
      <c r="BI121" s="748"/>
      <c r="BJ121" s="748"/>
      <c r="BK121" s="748"/>
      <c r="BL121" s="748"/>
      <c r="BM121" s="748"/>
      <c r="BN121" s="748"/>
      <c r="BO121" s="748"/>
      <c r="BP121" s="748"/>
      <c r="BQ121" s="748"/>
      <c r="BR121" s="748"/>
      <c r="BS121" s="748"/>
      <c r="BT121" s="748"/>
      <c r="BU121" s="748"/>
      <c r="BV121" s="748"/>
      <c r="BW121" s="748"/>
      <c r="BX121" s="748"/>
      <c r="BY121" s="748"/>
      <c r="BZ121" s="748"/>
      <c r="CA121" s="748"/>
      <c r="CB121" s="748"/>
      <c r="CC121" s="748"/>
      <c r="CD121" s="748"/>
      <c r="CE121" s="748"/>
    </row>
    <row customHeight="1" ht="15" hidden="1">
      <c r="A122" s="860" t="s">
        <v>150</v>
      </c>
      <c r="B122" s="861"/>
      <c r="C122" s="861" t="s">
        <v>17</v>
      </c>
      <c r="D122" s="2390" t="s">
        <v>1821</v>
      </c>
      <c r="E122" s="2374" t="s">
        <v>105</v>
      </c>
      <c r="F122" s="2375"/>
      <c r="G122" s="2376"/>
      <c r="H122" s="2377" t="str">
        <f>IF(A122="","",INDEX(DIFFERENTIATION_UNMERGE_VD,MATCH(A122,DIFFERENTIATION_ID_DIFF,0)))</f>
        <v>Производство тепловой энергии. Некомбинированная выработка</v>
      </c>
      <c r="I122" s="2377"/>
      <c r="J122" s="2377"/>
      <c r="K122" s="2377"/>
      <c r="L122" s="2377"/>
      <c r="M122" s="2377"/>
      <c r="N122" s="2377"/>
      <c r="O122" s="2377"/>
      <c r="P122" s="2377"/>
      <c r="Q122" s="2377"/>
      <c r="R122" s="2377"/>
      <c r="S122" s="956"/>
      <c r="T122" s="953"/>
      <c r="U122" s="862"/>
      <c r="V122" s="862"/>
      <c r="W122" s="863"/>
      <c r="X122" s="863"/>
      <c r="Y122" s="863"/>
      <c r="Z122" s="863"/>
      <c r="AA122" s="864"/>
      <c r="AB122" s="865"/>
      <c r="AC122" s="2373"/>
      <c r="AD122" s="866"/>
      <c r="AE122" s="867" t="s">
        <v>17</v>
      </c>
      <c r="AF122" s="867"/>
      <c r="AG122" s="868" t="s">
        <v>1475</v>
      </c>
      <c r="AH122" s="869">
        <v>3</v>
      </c>
      <c r="AI122" s="862"/>
      <c r="AJ122" s="862"/>
      <c r="AK122" s="862"/>
      <c r="AL122" s="862"/>
      <c r="AM122" s="862"/>
      <c r="AN122" s="862"/>
      <c r="AO122" s="862"/>
      <c r="AP122" s="862"/>
      <c r="AQ122" s="862"/>
      <c r="AR122" s="862"/>
      <c r="AS122" s="862"/>
      <c r="AT122" s="862"/>
      <c r="AU122" s="862"/>
      <c r="AV122" s="862"/>
      <c r="AW122" s="862"/>
      <c r="AX122" s="862"/>
      <c r="AY122" s="862"/>
      <c r="AZ122" s="862"/>
      <c r="BA122" s="862"/>
      <c r="BB122" s="862"/>
      <c r="BC122" s="862"/>
      <c r="BD122" s="862"/>
      <c r="BE122" s="862"/>
      <c r="BF122" s="862"/>
      <c r="BG122" s="862"/>
      <c r="BH122" s="862"/>
      <c r="BI122" s="862"/>
      <c r="BJ122" s="862"/>
      <c r="BK122" s="862"/>
      <c r="BL122" s="862"/>
      <c r="BM122" s="862"/>
      <c r="BN122" s="862"/>
      <c r="BO122" s="862"/>
      <c r="BP122" s="862"/>
      <c r="BQ122" s="862"/>
      <c r="BR122" s="862"/>
      <c r="BS122" s="862"/>
      <c r="BT122" s="862"/>
      <c r="BU122" s="862"/>
      <c r="BV122" s="863"/>
      <c r="BW122" s="863"/>
      <c r="BX122" s="863"/>
      <c r="BY122" s="863"/>
      <c r="BZ122" s="863"/>
      <c r="CA122" s="863"/>
      <c r="CB122" s="863"/>
      <c r="CC122" s="863"/>
      <c r="CD122" s="863"/>
      <c r="CE122" s="863"/>
    </row>
    <row customHeight="1" ht="15" hidden="1">
      <c r="A123" s="860"/>
      <c r="B123" s="861"/>
      <c r="C123" s="861"/>
      <c r="D123" s="2391"/>
      <c r="E123" s="2374" t="s">
        <v>1476</v>
      </c>
      <c r="F123" s="2375"/>
      <c r="G123" s="2376"/>
      <c r="H123" s="2377" t="str">
        <f>IF(A122="","",INDEX(DIFFERENTIATION_UNMERGE_AREA,MATCH(A122,DIFFERENTIATION_ID_DIFF,0)))</f>
        <v>Территория 1</v>
      </c>
      <c r="I123" s="2377"/>
      <c r="J123" s="2377"/>
      <c r="K123" s="2377"/>
      <c r="L123" s="2377"/>
      <c r="M123" s="2377"/>
      <c r="N123" s="2377"/>
      <c r="O123" s="2377"/>
      <c r="P123" s="2377"/>
      <c r="Q123" s="2377"/>
      <c r="R123" s="2377"/>
      <c r="S123" s="956"/>
      <c r="T123" s="953"/>
      <c r="U123" s="862"/>
      <c r="V123" s="862"/>
      <c r="W123" s="863"/>
      <c r="X123" s="863"/>
      <c r="Y123" s="863"/>
      <c r="Z123" s="863"/>
      <c r="AA123" s="864"/>
      <c r="AB123" s="865"/>
      <c r="AC123" s="2373"/>
      <c r="AD123" s="866"/>
      <c r="AE123" s="867"/>
      <c r="AF123" s="867"/>
      <c r="AG123" s="868"/>
      <c r="AH123" s="869"/>
      <c r="AI123" s="862"/>
      <c r="AJ123" s="862"/>
      <c r="AK123" s="862"/>
      <c r="AL123" s="862"/>
      <c r="AM123" s="862"/>
      <c r="AN123" s="862"/>
      <c r="AO123" s="862"/>
      <c r="AP123" s="862"/>
      <c r="AQ123" s="862"/>
      <c r="AR123" s="862"/>
      <c r="AS123" s="862"/>
      <c r="AT123" s="862"/>
      <c r="AU123" s="862"/>
      <c r="AV123" s="862"/>
      <c r="AW123" s="862"/>
      <c r="AX123" s="862"/>
      <c r="AY123" s="862"/>
      <c r="AZ123" s="862"/>
      <c r="BA123" s="862"/>
      <c r="BB123" s="862"/>
      <c r="BC123" s="862"/>
      <c r="BD123" s="862"/>
      <c r="BE123" s="862"/>
      <c r="BF123" s="862"/>
      <c r="BG123" s="862"/>
      <c r="BH123" s="862"/>
      <c r="BI123" s="862"/>
      <c r="BJ123" s="862"/>
      <c r="BK123" s="862"/>
      <c r="BL123" s="862"/>
      <c r="BM123" s="862"/>
      <c r="BN123" s="862"/>
      <c r="BO123" s="862"/>
      <c r="BP123" s="862"/>
      <c r="BQ123" s="862"/>
      <c r="BR123" s="862"/>
      <c r="BS123" s="862"/>
      <c r="BT123" s="862"/>
      <c r="BU123" s="862"/>
      <c r="BV123" s="863"/>
      <c r="BW123" s="863"/>
      <c r="BX123" s="863"/>
      <c r="BY123" s="863"/>
      <c r="BZ123" s="863"/>
      <c r="CA123" s="863"/>
      <c r="CB123" s="863"/>
      <c r="CC123" s="863"/>
      <c r="CD123" s="863"/>
      <c r="CE123" s="863"/>
    </row>
    <row customHeight="1" ht="15" hidden="1">
      <c r="A124" s="860"/>
      <c r="B124" s="861"/>
      <c r="C124" s="861"/>
      <c r="D124" s="2391"/>
      <c r="E124" s="2374" t="s">
        <v>1477</v>
      </c>
      <c r="F124" s="2375"/>
      <c r="G124" s="2376"/>
      <c r="H124" s="2377" t="str">
        <f>IF(A122="","",INDEX(DIFFERENTIATION_UNMERGE_SYSTEM,MATCH(A122,DIFFERENTIATION_ID_DIFF,0)))</f>
        <v>ЦТП-1 ул.Морквашинская ок.д№7</v>
      </c>
      <c r="I124" s="2377"/>
      <c r="J124" s="2377"/>
      <c r="K124" s="2377"/>
      <c r="L124" s="2377"/>
      <c r="M124" s="2377"/>
      <c r="N124" s="2377"/>
      <c r="O124" s="2377"/>
      <c r="P124" s="2377"/>
      <c r="Q124" s="2377"/>
      <c r="R124" s="2377"/>
      <c r="S124" s="956"/>
      <c r="T124" s="953"/>
      <c r="U124" s="862"/>
      <c r="V124" s="862"/>
      <c r="W124" s="863"/>
      <c r="X124" s="863"/>
      <c r="Y124" s="863"/>
      <c r="Z124" s="863"/>
      <c r="AA124" s="864"/>
      <c r="AB124" s="865"/>
      <c r="AC124" s="2373"/>
      <c r="AD124" s="866"/>
      <c r="AE124" s="867"/>
      <c r="AF124" s="867"/>
      <c r="AG124" s="868"/>
      <c r="AH124" s="869"/>
      <c r="AI124" s="862"/>
      <c r="AJ124" s="862"/>
      <c r="AK124" s="862"/>
      <c r="AL124" s="862"/>
      <c r="AM124" s="862"/>
      <c r="AN124" s="862"/>
      <c r="AO124" s="862"/>
      <c r="AP124" s="862"/>
      <c r="AQ124" s="862"/>
      <c r="AR124" s="862"/>
      <c r="AS124" s="862"/>
      <c r="AT124" s="862"/>
      <c r="AU124" s="862"/>
      <c r="AV124" s="862"/>
      <c r="AW124" s="862"/>
      <c r="AX124" s="862"/>
      <c r="AY124" s="862"/>
      <c r="AZ124" s="862"/>
      <c r="BA124" s="862"/>
      <c r="BB124" s="862"/>
      <c r="BC124" s="862"/>
      <c r="BD124" s="862"/>
      <c r="BE124" s="862"/>
      <c r="BF124" s="862"/>
      <c r="BG124" s="862"/>
      <c r="BH124" s="862"/>
      <c r="BI124" s="862"/>
      <c r="BJ124" s="862"/>
      <c r="BK124" s="862"/>
      <c r="BL124" s="862"/>
      <c r="BM124" s="862"/>
      <c r="BN124" s="862"/>
      <c r="BO124" s="862"/>
      <c r="BP124" s="862"/>
      <c r="BQ124" s="862"/>
      <c r="BR124" s="862"/>
      <c r="BS124" s="862"/>
      <c r="BT124" s="862"/>
      <c r="BU124" s="862"/>
      <c r="BV124" s="863"/>
      <c r="BW124" s="863"/>
      <c r="BX124" s="863"/>
      <c r="BY124" s="863"/>
      <c r="BZ124" s="863"/>
      <c r="CA124" s="863"/>
      <c r="CB124" s="863"/>
      <c r="CC124" s="863"/>
      <c r="CD124" s="863"/>
      <c r="CE124" s="863"/>
    </row>
    <row customHeight="1" ht="24.75" hidden="1">
      <c r="A125" s="870"/>
      <c r="B125" s="653"/>
      <c r="C125" s="648"/>
      <c r="D125" s="2391"/>
      <c r="E125" s="2388" t="s">
        <v>1478</v>
      </c>
      <c r="F125" s="2388"/>
      <c r="G125" s="2388"/>
      <c r="H125" s="2388"/>
      <c r="I125" s="2388"/>
      <c r="J125" s="2388"/>
      <c r="K125" s="2388"/>
      <c r="L125" s="2388"/>
      <c r="M125" s="2388"/>
      <c r="N125" s="2388"/>
      <c r="O125" s="2388"/>
      <c r="P125" s="2388"/>
      <c r="Q125" s="795">
        <f>SUMIF(T126:T127,"i",Q126:Q127)</f>
        <v>0</v>
      </c>
      <c r="R125" s="1273"/>
      <c r="S125" s="1278" t="s">
        <v>1479</v>
      </c>
      <c r="T125" s="954" t="s">
        <v>1480</v>
      </c>
      <c r="U125" s="2389">
        <v>1</v>
      </c>
      <c r="V125" s="2389" t="s">
        <v>1481</v>
      </c>
      <c r="W125" s="653"/>
      <c r="X125" s="653"/>
      <c r="Y125" s="653"/>
      <c r="Z125" s="653"/>
      <c r="AA125" s="748"/>
      <c r="AB125" s="653"/>
      <c r="AC125" s="2373"/>
      <c r="AD125" s="866"/>
      <c r="AE125" s="653"/>
      <c r="AF125" s="653"/>
      <c r="AG125" s="748"/>
      <c r="AH125" s="748"/>
      <c r="AI125" s="748"/>
      <c r="AJ125" s="748"/>
      <c r="AK125" s="748"/>
      <c r="AL125" s="748"/>
      <c r="AM125" s="748"/>
      <c r="AN125" s="748"/>
      <c r="AO125" s="748"/>
      <c r="AP125" s="748"/>
      <c r="AQ125" s="748"/>
      <c r="AR125" s="748"/>
      <c r="AS125" s="748"/>
      <c r="AT125" s="748"/>
      <c r="AU125" s="748"/>
      <c r="AV125" s="748"/>
      <c r="AW125" s="748"/>
      <c r="AX125" s="748"/>
      <c r="AY125" s="748"/>
      <c r="AZ125" s="748"/>
      <c r="BA125" s="748"/>
      <c r="BB125" s="748"/>
      <c r="BC125" s="748"/>
      <c r="BD125" s="748"/>
      <c r="BE125" s="748"/>
      <c r="BF125" s="748"/>
      <c r="BG125" s="748"/>
      <c r="BH125" s="748"/>
      <c r="BI125" s="748"/>
      <c r="BJ125" s="748"/>
      <c r="BK125" s="748"/>
      <c r="BL125" s="748"/>
      <c r="BM125" s="748"/>
      <c r="BN125" s="748"/>
      <c r="BO125" s="748"/>
      <c r="BP125" s="748"/>
      <c r="BQ125" s="748"/>
      <c r="BR125" s="748"/>
      <c r="BS125" s="748"/>
      <c r="BT125" s="748"/>
      <c r="BU125" s="748"/>
      <c r="BV125" s="653"/>
      <c r="BW125" s="653"/>
      <c r="BX125" s="653"/>
      <c r="BY125" s="653"/>
      <c r="BZ125" s="653"/>
      <c r="CA125" s="653"/>
      <c r="CB125" s="653"/>
      <c r="CC125" s="653"/>
      <c r="CD125" s="653"/>
      <c r="CE125" s="653"/>
    </row>
    <row customHeight="1" ht="11.25" hidden="1">
      <c r="A126" s="1277"/>
      <c r="B126" s="748"/>
      <c r="C126" s="748"/>
      <c r="D126" s="2391"/>
      <c r="E126" s="872"/>
      <c r="F126" s="872">
        <v>0</v>
      </c>
      <c r="G126" s="872"/>
      <c r="H126" s="872"/>
      <c r="I126" s="872"/>
      <c r="J126" s="872"/>
      <c r="K126" s="872"/>
      <c r="L126" s="872"/>
      <c r="M126" s="872"/>
      <c r="N126" s="872"/>
      <c r="O126" s="872"/>
      <c r="P126" s="872"/>
      <c r="Q126" s="872"/>
      <c r="R126" s="872"/>
      <c r="S126" s="873"/>
      <c r="T126" s="955"/>
      <c r="U126" s="2389"/>
      <c r="V126" s="2389"/>
      <c r="W126" s="748"/>
      <c r="X126" s="748"/>
      <c r="Y126" s="748"/>
      <c r="Z126" s="748"/>
      <c r="AA126" s="748"/>
      <c r="AB126" s="653"/>
      <c r="AC126" s="2373"/>
      <c r="AD126" s="866"/>
      <c r="AE126" s="653"/>
      <c r="AF126" s="653"/>
      <c r="AG126" s="748"/>
      <c r="AH126" s="748"/>
      <c r="AI126" s="748"/>
      <c r="AJ126" s="748"/>
      <c r="AK126" s="748"/>
      <c r="AL126" s="748"/>
      <c r="AM126" s="748"/>
      <c r="AN126" s="748"/>
      <c r="AO126" s="748"/>
      <c r="AP126" s="748"/>
      <c r="AQ126" s="748"/>
      <c r="AR126" s="748"/>
      <c r="AS126" s="748"/>
      <c r="AT126" s="748"/>
      <c r="AU126" s="748"/>
      <c r="AV126" s="748"/>
      <c r="AW126" s="748"/>
      <c r="AX126" s="748"/>
      <c r="AY126" s="748"/>
      <c r="AZ126" s="748"/>
      <c r="BA126" s="748"/>
      <c r="BB126" s="748"/>
      <c r="BC126" s="748"/>
      <c r="BD126" s="748"/>
      <c r="BE126" s="748"/>
      <c r="BF126" s="748"/>
      <c r="BG126" s="748"/>
      <c r="BH126" s="748"/>
      <c r="BI126" s="748"/>
      <c r="BJ126" s="748"/>
      <c r="BK126" s="748"/>
      <c r="BL126" s="748"/>
      <c r="BM126" s="748"/>
      <c r="BN126" s="748"/>
      <c r="BO126" s="748"/>
      <c r="BP126" s="748"/>
      <c r="BQ126" s="748"/>
      <c r="BR126" s="748"/>
      <c r="BS126" s="748"/>
      <c r="BT126" s="748"/>
      <c r="BU126" s="748"/>
      <c r="BV126" s="748"/>
      <c r="BW126" s="748"/>
      <c r="BX126" s="748"/>
      <c r="BY126" s="748"/>
      <c r="BZ126" s="748"/>
      <c r="CA126" s="748"/>
      <c r="CB126" s="748"/>
      <c r="CC126" s="748"/>
      <c r="CD126" s="748"/>
      <c r="CE126" s="748"/>
    </row>
    <row customHeight="1" ht="11.25" hidden="1">
      <c r="A127" s="870"/>
      <c r="B127" s="653"/>
      <c r="C127" s="648"/>
      <c r="D127" s="2391"/>
      <c r="E127" s="886" t="s">
        <v>17</v>
      </c>
      <c r="F127" s="887" t="s">
        <v>17</v>
      </c>
      <c r="G127" s="887" t="s">
        <v>1482</v>
      </c>
      <c r="H127" s="888" t="s">
        <v>17</v>
      </c>
      <c r="I127" s="888"/>
      <c r="J127" s="888"/>
      <c r="K127" s="888"/>
      <c r="L127" s="888"/>
      <c r="M127" s="888"/>
      <c r="N127" s="888"/>
      <c r="O127" s="888"/>
      <c r="P127" s="888"/>
      <c r="Q127" s="888"/>
      <c r="R127" s="889"/>
      <c r="S127" s="890"/>
      <c r="T127" s="955"/>
      <c r="U127" s="2389"/>
      <c r="V127" s="2389"/>
      <c r="W127" s="653"/>
      <c r="X127" s="653"/>
      <c r="Y127" s="653"/>
      <c r="Z127" s="653"/>
      <c r="AA127" s="748"/>
      <c r="AB127" s="653"/>
      <c r="AC127" s="2373"/>
      <c r="AD127" s="866"/>
      <c r="AE127" s="653"/>
      <c r="AF127" s="653"/>
      <c r="AG127" s="748"/>
      <c r="AH127" s="748"/>
      <c r="AI127" s="748"/>
      <c r="AJ127" s="748"/>
      <c r="AK127" s="748"/>
      <c r="AL127" s="748"/>
      <c r="AM127" s="748"/>
      <c r="AN127" s="748"/>
      <c r="AO127" s="748"/>
      <c r="AP127" s="748"/>
      <c r="AQ127" s="748"/>
      <c r="AR127" s="748"/>
      <c r="AS127" s="748"/>
      <c r="AT127" s="748"/>
      <c r="AU127" s="748"/>
      <c r="AV127" s="748"/>
      <c r="AW127" s="748"/>
      <c r="AX127" s="748"/>
      <c r="AY127" s="748"/>
      <c r="AZ127" s="748"/>
      <c r="BA127" s="748"/>
      <c r="BB127" s="748"/>
      <c r="BC127" s="748"/>
      <c r="BD127" s="748"/>
      <c r="BE127" s="748"/>
      <c r="BF127" s="748"/>
      <c r="BG127" s="748"/>
      <c r="BH127" s="748"/>
      <c r="BI127" s="748"/>
      <c r="BJ127" s="748"/>
      <c r="BK127" s="748"/>
      <c r="BL127" s="748"/>
      <c r="BM127" s="748"/>
      <c r="BN127" s="748"/>
      <c r="BO127" s="748"/>
      <c r="BP127" s="748"/>
      <c r="BQ127" s="748"/>
      <c r="BR127" s="748"/>
      <c r="BS127" s="748"/>
      <c r="BT127" s="748"/>
      <c r="BU127" s="748"/>
      <c r="BV127" s="653"/>
      <c r="BW127" s="653"/>
      <c r="BX127" s="653"/>
      <c r="BY127" s="653"/>
      <c r="BZ127" s="653"/>
      <c r="CA127" s="653"/>
      <c r="CB127" s="653"/>
      <c r="CC127" s="653"/>
      <c r="CD127" s="653"/>
      <c r="CE127" s="653"/>
    </row>
    <row customHeight="1" ht="5.25" hidden="1">
      <c r="A128" s="1277"/>
      <c r="B128" s="748"/>
      <c r="C128" s="748"/>
      <c r="D128" s="2391"/>
      <c r="E128" s="1297"/>
      <c r="F128" s="1297"/>
      <c r="G128" s="1297"/>
      <c r="H128" s="1297"/>
      <c r="I128" s="1297"/>
      <c r="J128" s="1297"/>
      <c r="K128" s="1297"/>
      <c r="L128" s="1297"/>
      <c r="M128" s="1297"/>
      <c r="N128" s="1297"/>
      <c r="O128" s="1297"/>
      <c r="P128" s="1297"/>
      <c r="Q128" s="1298"/>
      <c r="R128" s="1299"/>
      <c r="S128" s="1300"/>
      <c r="T128" s="954" t="s">
        <v>1480</v>
      </c>
      <c r="U128" s="2389">
        <v>1</v>
      </c>
      <c r="V128" s="2389" t="s">
        <v>1481</v>
      </c>
      <c r="W128" s="748"/>
      <c r="X128" s="748"/>
      <c r="Y128" s="748"/>
      <c r="Z128" s="748"/>
      <c r="AA128" s="748"/>
      <c r="AB128" s="748"/>
      <c r="AC128" s="1295"/>
      <c r="AD128" s="1296"/>
      <c r="AE128" s="748"/>
      <c r="AF128" s="748"/>
      <c r="AG128" s="748"/>
      <c r="AH128" s="748"/>
      <c r="AI128" s="748"/>
      <c r="AJ128" s="748"/>
      <c r="AK128" s="748"/>
      <c r="AL128" s="748"/>
      <c r="AM128" s="748"/>
      <c r="AN128" s="748"/>
      <c r="AO128" s="748"/>
      <c r="AP128" s="748"/>
      <c r="AQ128" s="748"/>
      <c r="AR128" s="748"/>
      <c r="AS128" s="748"/>
      <c r="AT128" s="748"/>
      <c r="AU128" s="748"/>
      <c r="AV128" s="748"/>
      <c r="AW128" s="748"/>
      <c r="AX128" s="748"/>
      <c r="AY128" s="748"/>
      <c r="AZ128" s="748"/>
      <c r="BA128" s="748"/>
      <c r="BB128" s="748"/>
      <c r="BC128" s="748"/>
      <c r="BD128" s="748"/>
      <c r="BE128" s="748"/>
      <c r="BF128" s="748"/>
      <c r="BG128" s="748"/>
      <c r="BH128" s="748"/>
      <c r="BI128" s="748"/>
      <c r="BJ128" s="748"/>
      <c r="BK128" s="748"/>
      <c r="BL128" s="748"/>
      <c r="BM128" s="748"/>
      <c r="BN128" s="748"/>
      <c r="BO128" s="748"/>
      <c r="BP128" s="748"/>
      <c r="BQ128" s="748"/>
      <c r="BR128" s="748"/>
      <c r="BS128" s="748"/>
      <c r="BT128" s="748"/>
      <c r="BU128" s="748"/>
      <c r="BV128" s="748"/>
      <c r="BW128" s="748"/>
      <c r="BX128" s="748"/>
      <c r="BY128" s="748"/>
      <c r="BZ128" s="748"/>
      <c r="CA128" s="748"/>
      <c r="CB128" s="748"/>
      <c r="CC128" s="748"/>
      <c r="CD128" s="748"/>
      <c r="CE128" s="748"/>
    </row>
    <row customHeight="1" ht="5.25" hidden="1">
      <c r="A129" s="1277"/>
      <c r="B129" s="748"/>
      <c r="C129" s="748"/>
      <c r="D129" s="2391"/>
      <c r="E129" s="872"/>
      <c r="F129" s="872"/>
      <c r="G129" s="872"/>
      <c r="H129" s="872"/>
      <c r="I129" s="872"/>
      <c r="J129" s="872"/>
      <c r="K129" s="872"/>
      <c r="L129" s="872"/>
      <c r="M129" s="872"/>
      <c r="N129" s="872"/>
      <c r="O129" s="872"/>
      <c r="P129" s="872"/>
      <c r="Q129" s="872"/>
      <c r="R129" s="872"/>
      <c r="S129" s="873"/>
      <c r="T129" s="955"/>
      <c r="U129" s="2389"/>
      <c r="V129" s="2389"/>
      <c r="W129" s="748"/>
      <c r="X129" s="748"/>
      <c r="Y129" s="748"/>
      <c r="Z129" s="748"/>
      <c r="AA129" s="748"/>
      <c r="AB129" s="748"/>
      <c r="AC129" s="1295"/>
      <c r="AD129" s="1296"/>
      <c r="AE129" s="748"/>
      <c r="AF129" s="748"/>
      <c r="AG129" s="748"/>
      <c r="AH129" s="748"/>
      <c r="AI129" s="748"/>
      <c r="AJ129" s="748"/>
      <c r="AK129" s="748"/>
      <c r="AL129" s="748"/>
      <c r="AM129" s="748"/>
      <c r="AN129" s="748"/>
      <c r="AO129" s="748"/>
      <c r="AP129" s="748"/>
      <c r="AQ129" s="748"/>
      <c r="AR129" s="748"/>
      <c r="AS129" s="748"/>
      <c r="AT129" s="748"/>
      <c r="AU129" s="748"/>
      <c r="AV129" s="748"/>
      <c r="AW129" s="748"/>
      <c r="AX129" s="748"/>
      <c r="AY129" s="748"/>
      <c r="AZ129" s="748"/>
      <c r="BA129" s="748"/>
      <c r="BB129" s="748"/>
      <c r="BC129" s="748"/>
      <c r="BD129" s="748"/>
      <c r="BE129" s="748"/>
      <c r="BF129" s="748"/>
      <c r="BG129" s="748"/>
      <c r="BH129" s="748"/>
      <c r="BI129" s="748"/>
      <c r="BJ129" s="748"/>
      <c r="BK129" s="748"/>
      <c r="BL129" s="748"/>
      <c r="BM129" s="748"/>
      <c r="BN129" s="748"/>
      <c r="BO129" s="748"/>
      <c r="BP129" s="748"/>
      <c r="BQ129" s="748"/>
      <c r="BR129" s="748"/>
      <c r="BS129" s="748"/>
      <c r="BT129" s="748"/>
      <c r="BU129" s="748"/>
      <c r="BV129" s="748"/>
      <c r="BW129" s="748"/>
      <c r="BX129" s="748"/>
      <c r="BY129" s="748"/>
      <c r="BZ129" s="748"/>
      <c r="CA129" s="748"/>
      <c r="CB129" s="748"/>
      <c r="CC129" s="748"/>
      <c r="CD129" s="748"/>
      <c r="CE129" s="748"/>
    </row>
    <row customHeight="1" ht="5.25" hidden="1">
      <c r="A130" s="1277"/>
      <c r="B130" s="748"/>
      <c r="C130" s="748"/>
      <c r="D130" s="2392"/>
      <c r="E130" s="1301"/>
      <c r="F130" s="1302"/>
      <c r="G130" s="1302"/>
      <c r="H130" s="1303"/>
      <c r="I130" s="1303"/>
      <c r="J130" s="1303"/>
      <c r="K130" s="1303"/>
      <c r="L130" s="1303"/>
      <c r="M130" s="1303"/>
      <c r="N130" s="1303"/>
      <c r="O130" s="1303"/>
      <c r="P130" s="1303"/>
      <c r="Q130" s="1303"/>
      <c r="R130" s="1202"/>
      <c r="S130" s="1304"/>
      <c r="T130" s="955"/>
      <c r="U130" s="2389"/>
      <c r="V130" s="2389"/>
      <c r="W130" s="748"/>
      <c r="X130" s="748"/>
      <c r="Y130" s="748"/>
      <c r="Z130" s="748"/>
      <c r="AA130" s="748"/>
      <c r="AB130" s="748"/>
      <c r="AC130" s="1295"/>
      <c r="AD130" s="1296"/>
      <c r="AE130" s="748"/>
      <c r="AF130" s="748"/>
      <c r="AG130" s="748"/>
      <c r="AH130" s="748"/>
      <c r="AI130" s="748"/>
      <c r="AJ130" s="748"/>
      <c r="AK130" s="748"/>
      <c r="AL130" s="748"/>
      <c r="AM130" s="748"/>
      <c r="AN130" s="748"/>
      <c r="AO130" s="748"/>
      <c r="AP130" s="748"/>
      <c r="AQ130" s="748"/>
      <c r="AR130" s="748"/>
      <c r="AS130" s="748"/>
      <c r="AT130" s="748"/>
      <c r="AU130" s="748"/>
      <c r="AV130" s="748"/>
      <c r="AW130" s="748"/>
      <c r="AX130" s="748"/>
      <c r="AY130" s="748"/>
      <c r="AZ130" s="748"/>
      <c r="BA130" s="748"/>
      <c r="BB130" s="748"/>
      <c r="BC130" s="748"/>
      <c r="BD130" s="748"/>
      <c r="BE130" s="748"/>
      <c r="BF130" s="748"/>
      <c r="BG130" s="748"/>
      <c r="BH130" s="748"/>
      <c r="BI130" s="748"/>
      <c r="BJ130" s="748"/>
      <c r="BK130" s="748"/>
      <c r="BL130" s="748"/>
      <c r="BM130" s="748"/>
      <c r="BN130" s="748"/>
      <c r="BO130" s="748"/>
      <c r="BP130" s="748"/>
      <c r="BQ130" s="748"/>
      <c r="BR130" s="748"/>
      <c r="BS130" s="748"/>
      <c r="BT130" s="748"/>
      <c r="BU130" s="748"/>
      <c r="BV130" s="748"/>
      <c r="BW130" s="748"/>
      <c r="BX130" s="748"/>
      <c r="BY130" s="748"/>
      <c r="BZ130" s="748"/>
      <c r="CA130" s="748"/>
      <c r="CB130" s="748"/>
      <c r="CC130" s="748"/>
      <c r="CD130" s="748"/>
      <c r="CE130" s="748"/>
    </row>
    <row customHeight="1" ht="15" hidden="1">
      <c r="A131" s="860" t="s">
        <v>153</v>
      </c>
      <c r="B131" s="861"/>
      <c r="C131" s="861" t="s">
        <v>17</v>
      </c>
      <c r="D131" s="2390" t="s">
        <v>1822</v>
      </c>
      <c r="E131" s="2374" t="s">
        <v>105</v>
      </c>
      <c r="F131" s="2375"/>
      <c r="G131" s="2376"/>
      <c r="H131" s="2377" t="str">
        <f>IF(A131="","",INDEX(DIFFERENTIATION_UNMERGE_VD,MATCH(A131,DIFFERENTIATION_ID_DIFF,0)))</f>
        <v>Производство тепловой энергии. Некомбинированная выработка</v>
      </c>
      <c r="I131" s="2377"/>
      <c r="J131" s="2377"/>
      <c r="K131" s="2377"/>
      <c r="L131" s="2377"/>
      <c r="M131" s="2377"/>
      <c r="N131" s="2377"/>
      <c r="O131" s="2377"/>
      <c r="P131" s="2377"/>
      <c r="Q131" s="2377"/>
      <c r="R131" s="2377"/>
      <c r="S131" s="956"/>
      <c r="T131" s="953"/>
      <c r="U131" s="862"/>
      <c r="V131" s="862"/>
      <c r="W131" s="863"/>
      <c r="X131" s="863"/>
      <c r="Y131" s="863"/>
      <c r="Z131" s="863"/>
      <c r="AA131" s="864"/>
      <c r="AB131" s="865"/>
      <c r="AC131" s="2373"/>
      <c r="AD131" s="866"/>
      <c r="AE131" s="867" t="s">
        <v>17</v>
      </c>
      <c r="AF131" s="867"/>
      <c r="AG131" s="868" t="s">
        <v>1475</v>
      </c>
      <c r="AH131" s="869">
        <v>3</v>
      </c>
      <c r="AI131" s="862"/>
      <c r="AJ131" s="862"/>
      <c r="AK131" s="862"/>
      <c r="AL131" s="862"/>
      <c r="AM131" s="862"/>
      <c r="AN131" s="862"/>
      <c r="AO131" s="862"/>
      <c r="AP131" s="862"/>
      <c r="AQ131" s="862"/>
      <c r="AR131" s="862"/>
      <c r="AS131" s="862"/>
      <c r="AT131" s="862"/>
      <c r="AU131" s="862"/>
      <c r="AV131" s="862"/>
      <c r="AW131" s="862"/>
      <c r="AX131" s="862"/>
      <c r="AY131" s="862"/>
      <c r="AZ131" s="862"/>
      <c r="BA131" s="862"/>
      <c r="BB131" s="862"/>
      <c r="BC131" s="862"/>
      <c r="BD131" s="862"/>
      <c r="BE131" s="862"/>
      <c r="BF131" s="862"/>
      <c r="BG131" s="862"/>
      <c r="BH131" s="862"/>
      <c r="BI131" s="862"/>
      <c r="BJ131" s="862"/>
      <c r="BK131" s="862"/>
      <c r="BL131" s="862"/>
      <c r="BM131" s="862"/>
      <c r="BN131" s="862"/>
      <c r="BO131" s="862"/>
      <c r="BP131" s="862"/>
      <c r="BQ131" s="862"/>
      <c r="BR131" s="862"/>
      <c r="BS131" s="862"/>
      <c r="BT131" s="862"/>
      <c r="BU131" s="862"/>
      <c r="BV131" s="863"/>
      <c r="BW131" s="863"/>
      <c r="BX131" s="863"/>
      <c r="BY131" s="863"/>
      <c r="BZ131" s="863"/>
      <c r="CA131" s="863"/>
      <c r="CB131" s="863"/>
      <c r="CC131" s="863"/>
      <c r="CD131" s="863"/>
      <c r="CE131" s="863"/>
    </row>
    <row customHeight="1" ht="15" hidden="1">
      <c r="A132" s="860"/>
      <c r="B132" s="861"/>
      <c r="C132" s="861"/>
      <c r="D132" s="2391"/>
      <c r="E132" s="2374" t="s">
        <v>1476</v>
      </c>
      <c r="F132" s="2375"/>
      <c r="G132" s="2376"/>
      <c r="H132" s="2377" t="str">
        <f>IF(A131="","",INDEX(DIFFERENTIATION_UNMERGE_AREA,MATCH(A131,DIFFERENTIATION_ID_DIFF,0)))</f>
        <v>Территория 1</v>
      </c>
      <c r="I132" s="2377"/>
      <c r="J132" s="2377"/>
      <c r="K132" s="2377"/>
      <c r="L132" s="2377"/>
      <c r="M132" s="2377"/>
      <c r="N132" s="2377"/>
      <c r="O132" s="2377"/>
      <c r="P132" s="2377"/>
      <c r="Q132" s="2377"/>
      <c r="R132" s="2377"/>
      <c r="S132" s="956"/>
      <c r="T132" s="953"/>
      <c r="U132" s="862"/>
      <c r="V132" s="862"/>
      <c r="W132" s="863"/>
      <c r="X132" s="863"/>
      <c r="Y132" s="863"/>
      <c r="Z132" s="863"/>
      <c r="AA132" s="864"/>
      <c r="AB132" s="865"/>
      <c r="AC132" s="2373"/>
      <c r="AD132" s="866"/>
      <c r="AE132" s="867"/>
      <c r="AF132" s="867"/>
      <c r="AG132" s="868"/>
      <c r="AH132" s="869"/>
      <c r="AI132" s="862"/>
      <c r="AJ132" s="862"/>
      <c r="AK132" s="862"/>
      <c r="AL132" s="862"/>
      <c r="AM132" s="862"/>
      <c r="AN132" s="862"/>
      <c r="AO132" s="862"/>
      <c r="AP132" s="862"/>
      <c r="AQ132" s="862"/>
      <c r="AR132" s="862"/>
      <c r="AS132" s="862"/>
      <c r="AT132" s="862"/>
      <c r="AU132" s="862"/>
      <c r="AV132" s="862"/>
      <c r="AW132" s="862"/>
      <c r="AX132" s="862"/>
      <c r="AY132" s="862"/>
      <c r="AZ132" s="862"/>
      <c r="BA132" s="862"/>
      <c r="BB132" s="862"/>
      <c r="BC132" s="862"/>
      <c r="BD132" s="862"/>
      <c r="BE132" s="862"/>
      <c r="BF132" s="862"/>
      <c r="BG132" s="862"/>
      <c r="BH132" s="862"/>
      <c r="BI132" s="862"/>
      <c r="BJ132" s="862"/>
      <c r="BK132" s="862"/>
      <c r="BL132" s="862"/>
      <c r="BM132" s="862"/>
      <c r="BN132" s="862"/>
      <c r="BO132" s="862"/>
      <c r="BP132" s="862"/>
      <c r="BQ132" s="862"/>
      <c r="BR132" s="862"/>
      <c r="BS132" s="862"/>
      <c r="BT132" s="862"/>
      <c r="BU132" s="862"/>
      <c r="BV132" s="863"/>
      <c r="BW132" s="863"/>
      <c r="BX132" s="863"/>
      <c r="BY132" s="863"/>
      <c r="BZ132" s="863"/>
      <c r="CA132" s="863"/>
      <c r="CB132" s="863"/>
      <c r="CC132" s="863"/>
      <c r="CD132" s="863"/>
      <c r="CE132" s="863"/>
    </row>
    <row customHeight="1" ht="15" hidden="1">
      <c r="A133" s="860"/>
      <c r="B133" s="861"/>
      <c r="C133" s="861"/>
      <c r="D133" s="2391"/>
      <c r="E133" s="2374" t="s">
        <v>1477</v>
      </c>
      <c r="F133" s="2375"/>
      <c r="G133" s="2376"/>
      <c r="H133" s="2377" t="str">
        <f>IF(A131="","",INDEX(DIFFERENTIATION_UNMERGE_SYSTEM,MATCH(A131,DIFFERENTIATION_ID_DIFF,0)))</f>
        <v>ЦТП-2, В-1,ок.д.№10</v>
      </c>
      <c r="I133" s="2377"/>
      <c r="J133" s="2377"/>
      <c r="K133" s="2377"/>
      <c r="L133" s="2377"/>
      <c r="M133" s="2377"/>
      <c r="N133" s="2377"/>
      <c r="O133" s="2377"/>
      <c r="P133" s="2377"/>
      <c r="Q133" s="2377"/>
      <c r="R133" s="2377"/>
      <c r="S133" s="956"/>
      <c r="T133" s="953"/>
      <c r="U133" s="862"/>
      <c r="V133" s="862"/>
      <c r="W133" s="863"/>
      <c r="X133" s="863"/>
      <c r="Y133" s="863"/>
      <c r="Z133" s="863"/>
      <c r="AA133" s="864"/>
      <c r="AB133" s="865"/>
      <c r="AC133" s="2373"/>
      <c r="AD133" s="866"/>
      <c r="AE133" s="867"/>
      <c r="AF133" s="867"/>
      <c r="AG133" s="868"/>
      <c r="AH133" s="869"/>
      <c r="AI133" s="862"/>
      <c r="AJ133" s="862"/>
      <c r="AK133" s="862"/>
      <c r="AL133" s="862"/>
      <c r="AM133" s="862"/>
      <c r="AN133" s="862"/>
      <c r="AO133" s="862"/>
      <c r="AP133" s="862"/>
      <c r="AQ133" s="862"/>
      <c r="AR133" s="862"/>
      <c r="AS133" s="862"/>
      <c r="AT133" s="862"/>
      <c r="AU133" s="862"/>
      <c r="AV133" s="862"/>
      <c r="AW133" s="862"/>
      <c r="AX133" s="862"/>
      <c r="AY133" s="862"/>
      <c r="AZ133" s="862"/>
      <c r="BA133" s="862"/>
      <c r="BB133" s="862"/>
      <c r="BC133" s="862"/>
      <c r="BD133" s="862"/>
      <c r="BE133" s="862"/>
      <c r="BF133" s="862"/>
      <c r="BG133" s="862"/>
      <c r="BH133" s="862"/>
      <c r="BI133" s="862"/>
      <c r="BJ133" s="862"/>
      <c r="BK133" s="862"/>
      <c r="BL133" s="862"/>
      <c r="BM133" s="862"/>
      <c r="BN133" s="862"/>
      <c r="BO133" s="862"/>
      <c r="BP133" s="862"/>
      <c r="BQ133" s="862"/>
      <c r="BR133" s="862"/>
      <c r="BS133" s="862"/>
      <c r="BT133" s="862"/>
      <c r="BU133" s="862"/>
      <c r="BV133" s="863"/>
      <c r="BW133" s="863"/>
      <c r="BX133" s="863"/>
      <c r="BY133" s="863"/>
      <c r="BZ133" s="863"/>
      <c r="CA133" s="863"/>
      <c r="CB133" s="863"/>
      <c r="CC133" s="863"/>
      <c r="CD133" s="863"/>
      <c r="CE133" s="863"/>
    </row>
    <row customHeight="1" ht="24.75" hidden="1">
      <c r="A134" s="870"/>
      <c r="B134" s="653"/>
      <c r="C134" s="648"/>
      <c r="D134" s="2391"/>
      <c r="E134" s="2388" t="s">
        <v>1478</v>
      </c>
      <c r="F134" s="2388"/>
      <c r="G134" s="2388"/>
      <c r="H134" s="2388"/>
      <c r="I134" s="2388"/>
      <c r="J134" s="2388"/>
      <c r="K134" s="2388"/>
      <c r="L134" s="2388"/>
      <c r="M134" s="2388"/>
      <c r="N134" s="2388"/>
      <c r="O134" s="2388"/>
      <c r="P134" s="2388"/>
      <c r="Q134" s="795">
        <f>SUMIF(T135:T136,"i",Q135:Q136)</f>
        <v>0</v>
      </c>
      <c r="R134" s="1273"/>
      <c r="S134" s="1278" t="s">
        <v>1479</v>
      </c>
      <c r="T134" s="954" t="s">
        <v>1480</v>
      </c>
      <c r="U134" s="2389">
        <v>1</v>
      </c>
      <c r="V134" s="2389" t="s">
        <v>1481</v>
      </c>
      <c r="W134" s="653"/>
      <c r="X134" s="653"/>
      <c r="Y134" s="653"/>
      <c r="Z134" s="653"/>
      <c r="AA134" s="748"/>
      <c r="AB134" s="653"/>
      <c r="AC134" s="2373"/>
      <c r="AD134" s="866"/>
      <c r="AE134" s="653"/>
      <c r="AF134" s="653"/>
      <c r="AG134" s="748"/>
      <c r="AH134" s="748"/>
      <c r="AI134" s="748"/>
      <c r="AJ134" s="748"/>
      <c r="AK134" s="748"/>
      <c r="AL134" s="748"/>
      <c r="AM134" s="748"/>
      <c r="AN134" s="748"/>
      <c r="AO134" s="748"/>
      <c r="AP134" s="748"/>
      <c r="AQ134" s="748"/>
      <c r="AR134" s="748"/>
      <c r="AS134" s="748"/>
      <c r="AT134" s="748"/>
      <c r="AU134" s="748"/>
      <c r="AV134" s="748"/>
      <c r="AW134" s="748"/>
      <c r="AX134" s="748"/>
      <c r="AY134" s="748"/>
      <c r="AZ134" s="748"/>
      <c r="BA134" s="748"/>
      <c r="BB134" s="748"/>
      <c r="BC134" s="748"/>
      <c r="BD134" s="748"/>
      <c r="BE134" s="748"/>
      <c r="BF134" s="748"/>
      <c r="BG134" s="748"/>
      <c r="BH134" s="748"/>
      <c r="BI134" s="748"/>
      <c r="BJ134" s="748"/>
      <c r="BK134" s="748"/>
      <c r="BL134" s="748"/>
      <c r="BM134" s="748"/>
      <c r="BN134" s="748"/>
      <c r="BO134" s="748"/>
      <c r="BP134" s="748"/>
      <c r="BQ134" s="748"/>
      <c r="BR134" s="748"/>
      <c r="BS134" s="748"/>
      <c r="BT134" s="748"/>
      <c r="BU134" s="748"/>
      <c r="BV134" s="653"/>
      <c r="BW134" s="653"/>
      <c r="BX134" s="653"/>
      <c r="BY134" s="653"/>
      <c r="BZ134" s="653"/>
      <c r="CA134" s="653"/>
      <c r="CB134" s="653"/>
      <c r="CC134" s="653"/>
      <c r="CD134" s="653"/>
      <c r="CE134" s="653"/>
    </row>
    <row customHeight="1" ht="11.25" hidden="1">
      <c r="A135" s="1277"/>
      <c r="B135" s="748"/>
      <c r="C135" s="748"/>
      <c r="D135" s="2391"/>
      <c r="E135" s="872"/>
      <c r="F135" s="872">
        <v>0</v>
      </c>
      <c r="G135" s="872"/>
      <c r="H135" s="872"/>
      <c r="I135" s="872"/>
      <c r="J135" s="872"/>
      <c r="K135" s="872"/>
      <c r="L135" s="872"/>
      <c r="M135" s="872"/>
      <c r="N135" s="872"/>
      <c r="O135" s="872"/>
      <c r="P135" s="872"/>
      <c r="Q135" s="872"/>
      <c r="R135" s="872"/>
      <c r="S135" s="873"/>
      <c r="T135" s="955"/>
      <c r="U135" s="2389"/>
      <c r="V135" s="2389"/>
      <c r="W135" s="748"/>
      <c r="X135" s="748"/>
      <c r="Y135" s="748"/>
      <c r="Z135" s="748"/>
      <c r="AA135" s="748"/>
      <c r="AB135" s="653"/>
      <c r="AC135" s="2373"/>
      <c r="AD135" s="866"/>
      <c r="AE135" s="653"/>
      <c r="AF135" s="653"/>
      <c r="AG135" s="748"/>
      <c r="AH135" s="748"/>
      <c r="AI135" s="748"/>
      <c r="AJ135" s="748"/>
      <c r="AK135" s="748"/>
      <c r="AL135" s="748"/>
      <c r="AM135" s="748"/>
      <c r="AN135" s="748"/>
      <c r="AO135" s="748"/>
      <c r="AP135" s="748"/>
      <c r="AQ135" s="748"/>
      <c r="AR135" s="748"/>
      <c r="AS135" s="748"/>
      <c r="AT135" s="748"/>
      <c r="AU135" s="748"/>
      <c r="AV135" s="748"/>
      <c r="AW135" s="748"/>
      <c r="AX135" s="748"/>
      <c r="AY135" s="748"/>
      <c r="AZ135" s="748"/>
      <c r="BA135" s="748"/>
      <c r="BB135" s="748"/>
      <c r="BC135" s="748"/>
      <c r="BD135" s="748"/>
      <c r="BE135" s="748"/>
      <c r="BF135" s="748"/>
      <c r="BG135" s="748"/>
      <c r="BH135" s="748"/>
      <c r="BI135" s="748"/>
      <c r="BJ135" s="748"/>
      <c r="BK135" s="748"/>
      <c r="BL135" s="748"/>
      <c r="BM135" s="748"/>
      <c r="BN135" s="748"/>
      <c r="BO135" s="748"/>
      <c r="BP135" s="748"/>
      <c r="BQ135" s="748"/>
      <c r="BR135" s="748"/>
      <c r="BS135" s="748"/>
      <c r="BT135" s="748"/>
      <c r="BU135" s="748"/>
      <c r="BV135" s="748"/>
      <c r="BW135" s="748"/>
      <c r="BX135" s="748"/>
      <c r="BY135" s="748"/>
      <c r="BZ135" s="748"/>
      <c r="CA135" s="748"/>
      <c r="CB135" s="748"/>
      <c r="CC135" s="748"/>
      <c r="CD135" s="748"/>
      <c r="CE135" s="748"/>
    </row>
    <row customHeight="1" ht="11.25" hidden="1">
      <c r="A136" s="870"/>
      <c r="B136" s="653"/>
      <c r="C136" s="648"/>
      <c r="D136" s="2391"/>
      <c r="E136" s="886" t="s">
        <v>17</v>
      </c>
      <c r="F136" s="887" t="s">
        <v>17</v>
      </c>
      <c r="G136" s="887" t="s">
        <v>1482</v>
      </c>
      <c r="H136" s="888" t="s">
        <v>17</v>
      </c>
      <c r="I136" s="888"/>
      <c r="J136" s="888"/>
      <c r="K136" s="888"/>
      <c r="L136" s="888"/>
      <c r="M136" s="888"/>
      <c r="N136" s="888"/>
      <c r="O136" s="888"/>
      <c r="P136" s="888"/>
      <c r="Q136" s="888"/>
      <c r="R136" s="889"/>
      <c r="S136" s="890"/>
      <c r="T136" s="955"/>
      <c r="U136" s="2389"/>
      <c r="V136" s="2389"/>
      <c r="W136" s="653"/>
      <c r="X136" s="653"/>
      <c r="Y136" s="653"/>
      <c r="Z136" s="653"/>
      <c r="AA136" s="748"/>
      <c r="AB136" s="653"/>
      <c r="AC136" s="2373"/>
      <c r="AD136" s="866"/>
      <c r="AE136" s="653"/>
      <c r="AF136" s="653"/>
      <c r="AG136" s="748"/>
      <c r="AH136" s="748"/>
      <c r="AI136" s="748"/>
      <c r="AJ136" s="748"/>
      <c r="AK136" s="748"/>
      <c r="AL136" s="748"/>
      <c r="AM136" s="748"/>
      <c r="AN136" s="748"/>
      <c r="AO136" s="748"/>
      <c r="AP136" s="748"/>
      <c r="AQ136" s="748"/>
      <c r="AR136" s="748"/>
      <c r="AS136" s="748"/>
      <c r="AT136" s="748"/>
      <c r="AU136" s="748"/>
      <c r="AV136" s="748"/>
      <c r="AW136" s="748"/>
      <c r="AX136" s="748"/>
      <c r="AY136" s="748"/>
      <c r="AZ136" s="748"/>
      <c r="BA136" s="748"/>
      <c r="BB136" s="748"/>
      <c r="BC136" s="748"/>
      <c r="BD136" s="748"/>
      <c r="BE136" s="748"/>
      <c r="BF136" s="748"/>
      <c r="BG136" s="748"/>
      <c r="BH136" s="748"/>
      <c r="BI136" s="748"/>
      <c r="BJ136" s="748"/>
      <c r="BK136" s="748"/>
      <c r="BL136" s="748"/>
      <c r="BM136" s="748"/>
      <c r="BN136" s="748"/>
      <c r="BO136" s="748"/>
      <c r="BP136" s="748"/>
      <c r="BQ136" s="748"/>
      <c r="BR136" s="748"/>
      <c r="BS136" s="748"/>
      <c r="BT136" s="748"/>
      <c r="BU136" s="748"/>
      <c r="BV136" s="653"/>
      <c r="BW136" s="653"/>
      <c r="BX136" s="653"/>
      <c r="BY136" s="653"/>
      <c r="BZ136" s="653"/>
      <c r="CA136" s="653"/>
      <c r="CB136" s="653"/>
      <c r="CC136" s="653"/>
      <c r="CD136" s="653"/>
      <c r="CE136" s="653"/>
    </row>
    <row customHeight="1" ht="5.25" hidden="1">
      <c r="A137" s="1277"/>
      <c r="B137" s="748"/>
      <c r="C137" s="748"/>
      <c r="D137" s="2391"/>
      <c r="E137" s="1297"/>
      <c r="F137" s="1297"/>
      <c r="G137" s="1297"/>
      <c r="H137" s="1297"/>
      <c r="I137" s="1297"/>
      <c r="J137" s="1297"/>
      <c r="K137" s="1297"/>
      <c r="L137" s="1297"/>
      <c r="M137" s="1297"/>
      <c r="N137" s="1297"/>
      <c r="O137" s="1297"/>
      <c r="P137" s="1297"/>
      <c r="Q137" s="1298"/>
      <c r="R137" s="1299"/>
      <c r="S137" s="1300"/>
      <c r="T137" s="954" t="s">
        <v>1480</v>
      </c>
      <c r="U137" s="2389">
        <v>1</v>
      </c>
      <c r="V137" s="2389" t="s">
        <v>1481</v>
      </c>
      <c r="W137" s="748"/>
      <c r="X137" s="748"/>
      <c r="Y137" s="748"/>
      <c r="Z137" s="748"/>
      <c r="AA137" s="748"/>
      <c r="AB137" s="748"/>
      <c r="AC137" s="1295"/>
      <c r="AD137" s="1296"/>
      <c r="AE137" s="748"/>
      <c r="AF137" s="748"/>
      <c r="AG137" s="748"/>
      <c r="AH137" s="748"/>
      <c r="AI137" s="748"/>
      <c r="AJ137" s="748"/>
      <c r="AK137" s="748"/>
      <c r="AL137" s="748"/>
      <c r="AM137" s="748"/>
      <c r="AN137" s="748"/>
      <c r="AO137" s="748"/>
      <c r="AP137" s="748"/>
      <c r="AQ137" s="748"/>
      <c r="AR137" s="748"/>
      <c r="AS137" s="748"/>
      <c r="AT137" s="748"/>
      <c r="AU137" s="748"/>
      <c r="AV137" s="748"/>
      <c r="AW137" s="748"/>
      <c r="AX137" s="748"/>
      <c r="AY137" s="748"/>
      <c r="AZ137" s="748"/>
      <c r="BA137" s="748"/>
      <c r="BB137" s="748"/>
      <c r="BC137" s="748"/>
      <c r="BD137" s="748"/>
      <c r="BE137" s="748"/>
      <c r="BF137" s="748"/>
      <c r="BG137" s="748"/>
      <c r="BH137" s="748"/>
      <c r="BI137" s="748"/>
      <c r="BJ137" s="748"/>
      <c r="BK137" s="748"/>
      <c r="BL137" s="748"/>
      <c r="BM137" s="748"/>
      <c r="BN137" s="748"/>
      <c r="BO137" s="748"/>
      <c r="BP137" s="748"/>
      <c r="BQ137" s="748"/>
      <c r="BR137" s="748"/>
      <c r="BS137" s="748"/>
      <c r="BT137" s="748"/>
      <c r="BU137" s="748"/>
      <c r="BV137" s="748"/>
      <c r="BW137" s="748"/>
      <c r="BX137" s="748"/>
      <c r="BY137" s="748"/>
      <c r="BZ137" s="748"/>
      <c r="CA137" s="748"/>
      <c r="CB137" s="748"/>
      <c r="CC137" s="748"/>
      <c r="CD137" s="748"/>
      <c r="CE137" s="748"/>
    </row>
    <row customHeight="1" ht="5.25" hidden="1">
      <c r="A138" s="1277"/>
      <c r="B138" s="748"/>
      <c r="C138" s="748"/>
      <c r="D138" s="2391"/>
      <c r="E138" s="872"/>
      <c r="F138" s="872"/>
      <c r="G138" s="872"/>
      <c r="H138" s="872"/>
      <c r="I138" s="872"/>
      <c r="J138" s="872"/>
      <c r="K138" s="872"/>
      <c r="L138" s="872"/>
      <c r="M138" s="872"/>
      <c r="N138" s="872"/>
      <c r="O138" s="872"/>
      <c r="P138" s="872"/>
      <c r="Q138" s="872"/>
      <c r="R138" s="872"/>
      <c r="S138" s="873"/>
      <c r="T138" s="955"/>
      <c r="U138" s="2389"/>
      <c r="V138" s="2389"/>
      <c r="W138" s="748"/>
      <c r="X138" s="748"/>
      <c r="Y138" s="748"/>
      <c r="Z138" s="748"/>
      <c r="AA138" s="748"/>
      <c r="AB138" s="748"/>
      <c r="AC138" s="1295"/>
      <c r="AD138" s="1296"/>
      <c r="AE138" s="748"/>
      <c r="AF138" s="748"/>
      <c r="AG138" s="748"/>
      <c r="AH138" s="748"/>
      <c r="AI138" s="748"/>
      <c r="AJ138" s="748"/>
      <c r="AK138" s="748"/>
      <c r="AL138" s="748"/>
      <c r="AM138" s="748"/>
      <c r="AN138" s="748"/>
      <c r="AO138" s="748"/>
      <c r="AP138" s="748"/>
      <c r="AQ138" s="748"/>
      <c r="AR138" s="748"/>
      <c r="AS138" s="748"/>
      <c r="AT138" s="748"/>
      <c r="AU138" s="748"/>
      <c r="AV138" s="748"/>
      <c r="AW138" s="748"/>
      <c r="AX138" s="748"/>
      <c r="AY138" s="748"/>
      <c r="AZ138" s="748"/>
      <c r="BA138" s="748"/>
      <c r="BB138" s="748"/>
      <c r="BC138" s="748"/>
      <c r="BD138" s="748"/>
      <c r="BE138" s="748"/>
      <c r="BF138" s="748"/>
      <c r="BG138" s="748"/>
      <c r="BH138" s="748"/>
      <c r="BI138" s="748"/>
      <c r="BJ138" s="748"/>
      <c r="BK138" s="748"/>
      <c r="BL138" s="748"/>
      <c r="BM138" s="748"/>
      <c r="BN138" s="748"/>
      <c r="BO138" s="748"/>
      <c r="BP138" s="748"/>
      <c r="BQ138" s="748"/>
      <c r="BR138" s="748"/>
      <c r="BS138" s="748"/>
      <c r="BT138" s="748"/>
      <c r="BU138" s="748"/>
      <c r="BV138" s="748"/>
      <c r="BW138" s="748"/>
      <c r="BX138" s="748"/>
      <c r="BY138" s="748"/>
      <c r="BZ138" s="748"/>
      <c r="CA138" s="748"/>
      <c r="CB138" s="748"/>
      <c r="CC138" s="748"/>
      <c r="CD138" s="748"/>
      <c r="CE138" s="748"/>
    </row>
    <row customHeight="1" ht="5.25" hidden="1">
      <c r="A139" s="1277"/>
      <c r="B139" s="748"/>
      <c r="C139" s="748"/>
      <c r="D139" s="2392"/>
      <c r="E139" s="1301"/>
      <c r="F139" s="1302"/>
      <c r="G139" s="1302"/>
      <c r="H139" s="1303"/>
      <c r="I139" s="1303"/>
      <c r="J139" s="1303"/>
      <c r="K139" s="1303"/>
      <c r="L139" s="1303"/>
      <c r="M139" s="1303"/>
      <c r="N139" s="1303"/>
      <c r="O139" s="1303"/>
      <c r="P139" s="1303"/>
      <c r="Q139" s="1303"/>
      <c r="R139" s="1202"/>
      <c r="S139" s="1304"/>
      <c r="T139" s="955"/>
      <c r="U139" s="2389"/>
      <c r="V139" s="2389"/>
      <c r="W139" s="748"/>
      <c r="X139" s="748"/>
      <c r="Y139" s="748"/>
      <c r="Z139" s="748"/>
      <c r="AA139" s="748"/>
      <c r="AB139" s="748"/>
      <c r="AC139" s="1295"/>
      <c r="AD139" s="1296"/>
      <c r="AE139" s="748"/>
      <c r="AF139" s="748"/>
      <c r="AG139" s="748"/>
      <c r="AH139" s="748"/>
      <c r="AI139" s="748"/>
      <c r="AJ139" s="748"/>
      <c r="AK139" s="748"/>
      <c r="AL139" s="748"/>
      <c r="AM139" s="748"/>
      <c r="AN139" s="748"/>
      <c r="AO139" s="748"/>
      <c r="AP139" s="748"/>
      <c r="AQ139" s="748"/>
      <c r="AR139" s="748"/>
      <c r="AS139" s="748"/>
      <c r="AT139" s="748"/>
      <c r="AU139" s="748"/>
      <c r="AV139" s="748"/>
      <c r="AW139" s="748"/>
      <c r="AX139" s="748"/>
      <c r="AY139" s="748"/>
      <c r="AZ139" s="748"/>
      <c r="BA139" s="748"/>
      <c r="BB139" s="748"/>
      <c r="BC139" s="748"/>
      <c r="BD139" s="748"/>
      <c r="BE139" s="748"/>
      <c r="BF139" s="748"/>
      <c r="BG139" s="748"/>
      <c r="BH139" s="748"/>
      <c r="BI139" s="748"/>
      <c r="BJ139" s="748"/>
      <c r="BK139" s="748"/>
      <c r="BL139" s="748"/>
      <c r="BM139" s="748"/>
      <c r="BN139" s="748"/>
      <c r="BO139" s="748"/>
      <c r="BP139" s="748"/>
      <c r="BQ139" s="748"/>
      <c r="BR139" s="748"/>
      <c r="BS139" s="748"/>
      <c r="BT139" s="748"/>
      <c r="BU139" s="748"/>
      <c r="BV139" s="748"/>
      <c r="BW139" s="748"/>
      <c r="BX139" s="748"/>
      <c r="BY139" s="748"/>
      <c r="BZ139" s="748"/>
      <c r="CA139" s="748"/>
      <c r="CB139" s="748"/>
      <c r="CC139" s="748"/>
      <c r="CD139" s="748"/>
      <c r="CE139" s="748"/>
    </row>
    <row customHeight="1" ht="15" hidden="1">
      <c r="A140" s="860" t="s">
        <v>156</v>
      </c>
      <c r="B140" s="861"/>
      <c r="C140" s="861" t="s">
        <v>17</v>
      </c>
      <c r="D140" s="2390" t="s">
        <v>1823</v>
      </c>
      <c r="E140" s="2374" t="s">
        <v>105</v>
      </c>
      <c r="F140" s="2375"/>
      <c r="G140" s="2376"/>
      <c r="H140" s="2377" t="str">
        <f>IF(A140="","",INDEX(DIFFERENTIATION_UNMERGE_VD,MATCH(A140,DIFFERENTIATION_ID_DIFF,0)))</f>
        <v>Производство тепловой энергии. Некомбинированная выработка</v>
      </c>
      <c r="I140" s="2377"/>
      <c r="J140" s="2377"/>
      <c r="K140" s="2377"/>
      <c r="L140" s="2377"/>
      <c r="M140" s="2377"/>
      <c r="N140" s="2377"/>
      <c r="O140" s="2377"/>
      <c r="P140" s="2377"/>
      <c r="Q140" s="2377"/>
      <c r="R140" s="2377"/>
      <c r="S140" s="956"/>
      <c r="T140" s="953"/>
      <c r="U140" s="862"/>
      <c r="V140" s="862"/>
      <c r="W140" s="863"/>
      <c r="X140" s="863"/>
      <c r="Y140" s="863"/>
      <c r="Z140" s="863"/>
      <c r="AA140" s="864"/>
      <c r="AB140" s="865"/>
      <c r="AC140" s="2373"/>
      <c r="AD140" s="866"/>
      <c r="AE140" s="867" t="s">
        <v>17</v>
      </c>
      <c r="AF140" s="867"/>
      <c r="AG140" s="868" t="s">
        <v>1475</v>
      </c>
      <c r="AH140" s="869">
        <v>3</v>
      </c>
      <c r="AI140" s="862"/>
      <c r="AJ140" s="862"/>
      <c r="AK140" s="862"/>
      <c r="AL140" s="862"/>
      <c r="AM140" s="862"/>
      <c r="AN140" s="862"/>
      <c r="AO140" s="862"/>
      <c r="AP140" s="862"/>
      <c r="AQ140" s="862"/>
      <c r="AR140" s="862"/>
      <c r="AS140" s="862"/>
      <c r="AT140" s="862"/>
      <c r="AU140" s="862"/>
      <c r="AV140" s="862"/>
      <c r="AW140" s="862"/>
      <c r="AX140" s="862"/>
      <c r="AY140" s="862"/>
      <c r="AZ140" s="862"/>
      <c r="BA140" s="862"/>
      <c r="BB140" s="862"/>
      <c r="BC140" s="862"/>
      <c r="BD140" s="862"/>
      <c r="BE140" s="862"/>
      <c r="BF140" s="862"/>
      <c r="BG140" s="862"/>
      <c r="BH140" s="862"/>
      <c r="BI140" s="862"/>
      <c r="BJ140" s="862"/>
      <c r="BK140" s="862"/>
      <c r="BL140" s="862"/>
      <c r="BM140" s="862"/>
      <c r="BN140" s="862"/>
      <c r="BO140" s="862"/>
      <c r="BP140" s="862"/>
      <c r="BQ140" s="862"/>
      <c r="BR140" s="862"/>
      <c r="BS140" s="862"/>
      <c r="BT140" s="862"/>
      <c r="BU140" s="862"/>
      <c r="BV140" s="863"/>
      <c r="BW140" s="863"/>
      <c r="BX140" s="863"/>
      <c r="BY140" s="863"/>
      <c r="BZ140" s="863"/>
      <c r="CA140" s="863"/>
      <c r="CB140" s="863"/>
      <c r="CC140" s="863"/>
      <c r="CD140" s="863"/>
      <c r="CE140" s="863"/>
    </row>
    <row customHeight="1" ht="15" hidden="1">
      <c r="A141" s="860"/>
      <c r="B141" s="861"/>
      <c r="C141" s="861"/>
      <c r="D141" s="2391"/>
      <c r="E141" s="2374" t="s">
        <v>1476</v>
      </c>
      <c r="F141" s="2375"/>
      <c r="G141" s="2376"/>
      <c r="H141" s="2377" t="str">
        <f>IF(A140="","",INDEX(DIFFERENTIATION_UNMERGE_AREA,MATCH(A140,DIFFERENTIATION_ID_DIFF,0)))</f>
        <v>Территория 1</v>
      </c>
      <c r="I141" s="2377"/>
      <c r="J141" s="2377"/>
      <c r="K141" s="2377"/>
      <c r="L141" s="2377"/>
      <c r="M141" s="2377"/>
      <c r="N141" s="2377"/>
      <c r="O141" s="2377"/>
      <c r="P141" s="2377"/>
      <c r="Q141" s="2377"/>
      <c r="R141" s="2377"/>
      <c r="S141" s="956"/>
      <c r="T141" s="953"/>
      <c r="U141" s="862"/>
      <c r="V141" s="862"/>
      <c r="W141" s="863"/>
      <c r="X141" s="863"/>
      <c r="Y141" s="863"/>
      <c r="Z141" s="863"/>
      <c r="AA141" s="864"/>
      <c r="AB141" s="865"/>
      <c r="AC141" s="2373"/>
      <c r="AD141" s="866"/>
      <c r="AE141" s="867"/>
      <c r="AF141" s="867"/>
      <c r="AG141" s="868"/>
      <c r="AH141" s="869"/>
      <c r="AI141" s="862"/>
      <c r="AJ141" s="862"/>
      <c r="AK141" s="862"/>
      <c r="AL141" s="862"/>
      <c r="AM141" s="862"/>
      <c r="AN141" s="862"/>
      <c r="AO141" s="862"/>
      <c r="AP141" s="862"/>
      <c r="AQ141" s="862"/>
      <c r="AR141" s="862"/>
      <c r="AS141" s="862"/>
      <c r="AT141" s="862"/>
      <c r="AU141" s="862"/>
      <c r="AV141" s="862"/>
      <c r="AW141" s="862"/>
      <c r="AX141" s="862"/>
      <c r="AY141" s="862"/>
      <c r="AZ141" s="862"/>
      <c r="BA141" s="862"/>
      <c r="BB141" s="862"/>
      <c r="BC141" s="862"/>
      <c r="BD141" s="862"/>
      <c r="BE141" s="862"/>
      <c r="BF141" s="862"/>
      <c r="BG141" s="862"/>
      <c r="BH141" s="862"/>
      <c r="BI141" s="862"/>
      <c r="BJ141" s="862"/>
      <c r="BK141" s="862"/>
      <c r="BL141" s="862"/>
      <c r="BM141" s="862"/>
      <c r="BN141" s="862"/>
      <c r="BO141" s="862"/>
      <c r="BP141" s="862"/>
      <c r="BQ141" s="862"/>
      <c r="BR141" s="862"/>
      <c r="BS141" s="862"/>
      <c r="BT141" s="862"/>
      <c r="BU141" s="862"/>
      <c r="BV141" s="863"/>
      <c r="BW141" s="863"/>
      <c r="BX141" s="863"/>
      <c r="BY141" s="863"/>
      <c r="BZ141" s="863"/>
      <c r="CA141" s="863"/>
      <c r="CB141" s="863"/>
      <c r="CC141" s="863"/>
      <c r="CD141" s="863"/>
      <c r="CE141" s="863"/>
    </row>
    <row customHeight="1" ht="15" hidden="1">
      <c r="A142" s="860"/>
      <c r="B142" s="861"/>
      <c r="C142" s="861"/>
      <c r="D142" s="2391"/>
      <c r="E142" s="2374" t="s">
        <v>1477</v>
      </c>
      <c r="F142" s="2375"/>
      <c r="G142" s="2376"/>
      <c r="H142" s="2377" t="str">
        <f>IF(A140="","",INDEX(DIFFERENTIATION_UNMERGE_SYSTEM,MATCH(A140,DIFFERENTIATION_ID_DIFF,0)))</f>
        <v>ЦТП-9, ул.Пролетарская д.23/ул.Транспортная д.10</v>
      </c>
      <c r="I142" s="2377"/>
      <c r="J142" s="2377"/>
      <c r="K142" s="2377"/>
      <c r="L142" s="2377"/>
      <c r="M142" s="2377"/>
      <c r="N142" s="2377"/>
      <c r="O142" s="2377"/>
      <c r="P142" s="2377"/>
      <c r="Q142" s="2377"/>
      <c r="R142" s="2377"/>
      <c r="S142" s="956"/>
      <c r="T142" s="953"/>
      <c r="U142" s="862"/>
      <c r="V142" s="862"/>
      <c r="W142" s="863"/>
      <c r="X142" s="863"/>
      <c r="Y142" s="863"/>
      <c r="Z142" s="863"/>
      <c r="AA142" s="864"/>
      <c r="AB142" s="865"/>
      <c r="AC142" s="2373"/>
      <c r="AD142" s="866"/>
      <c r="AE142" s="867"/>
      <c r="AF142" s="867"/>
      <c r="AG142" s="868"/>
      <c r="AH142" s="869"/>
      <c r="AI142" s="862"/>
      <c r="AJ142" s="862"/>
      <c r="AK142" s="862"/>
      <c r="AL142" s="862"/>
      <c r="AM142" s="862"/>
      <c r="AN142" s="862"/>
      <c r="AO142" s="862"/>
      <c r="AP142" s="862"/>
      <c r="AQ142" s="862"/>
      <c r="AR142" s="862"/>
      <c r="AS142" s="862"/>
      <c r="AT142" s="862"/>
      <c r="AU142" s="862"/>
      <c r="AV142" s="862"/>
      <c r="AW142" s="862"/>
      <c r="AX142" s="862"/>
      <c r="AY142" s="862"/>
      <c r="AZ142" s="862"/>
      <c r="BA142" s="862"/>
      <c r="BB142" s="862"/>
      <c r="BC142" s="862"/>
      <c r="BD142" s="862"/>
      <c r="BE142" s="862"/>
      <c r="BF142" s="862"/>
      <c r="BG142" s="862"/>
      <c r="BH142" s="862"/>
      <c r="BI142" s="862"/>
      <c r="BJ142" s="862"/>
      <c r="BK142" s="862"/>
      <c r="BL142" s="862"/>
      <c r="BM142" s="862"/>
      <c r="BN142" s="862"/>
      <c r="BO142" s="862"/>
      <c r="BP142" s="862"/>
      <c r="BQ142" s="862"/>
      <c r="BR142" s="862"/>
      <c r="BS142" s="862"/>
      <c r="BT142" s="862"/>
      <c r="BU142" s="862"/>
      <c r="BV142" s="863"/>
      <c r="BW142" s="863"/>
      <c r="BX142" s="863"/>
      <c r="BY142" s="863"/>
      <c r="BZ142" s="863"/>
      <c r="CA142" s="863"/>
      <c r="CB142" s="863"/>
      <c r="CC142" s="863"/>
      <c r="CD142" s="863"/>
      <c r="CE142" s="863"/>
    </row>
    <row customHeight="1" ht="24.75" hidden="1">
      <c r="A143" s="870"/>
      <c r="B143" s="653"/>
      <c r="C143" s="648"/>
      <c r="D143" s="2391"/>
      <c r="E143" s="2388" t="s">
        <v>1478</v>
      </c>
      <c r="F143" s="2388"/>
      <c r="G143" s="2388"/>
      <c r="H143" s="2388"/>
      <c r="I143" s="2388"/>
      <c r="J143" s="2388"/>
      <c r="K143" s="2388"/>
      <c r="L143" s="2388"/>
      <c r="M143" s="2388"/>
      <c r="N143" s="2388"/>
      <c r="O143" s="2388"/>
      <c r="P143" s="2388"/>
      <c r="Q143" s="795">
        <f>SUMIF(T144:T145,"i",Q144:Q145)</f>
        <v>0</v>
      </c>
      <c r="R143" s="1273"/>
      <c r="S143" s="1278" t="s">
        <v>1479</v>
      </c>
      <c r="T143" s="954" t="s">
        <v>1480</v>
      </c>
      <c r="U143" s="2389">
        <v>1</v>
      </c>
      <c r="V143" s="2389" t="s">
        <v>1481</v>
      </c>
      <c r="W143" s="653"/>
      <c r="X143" s="653"/>
      <c r="Y143" s="653"/>
      <c r="Z143" s="653"/>
      <c r="AA143" s="748"/>
      <c r="AB143" s="653"/>
      <c r="AC143" s="2373"/>
      <c r="AD143" s="866"/>
      <c r="AE143" s="653"/>
      <c r="AF143" s="653"/>
      <c r="AG143" s="748"/>
      <c r="AH143" s="748"/>
      <c r="AI143" s="748"/>
      <c r="AJ143" s="748"/>
      <c r="AK143" s="748"/>
      <c r="AL143" s="748"/>
      <c r="AM143" s="748"/>
      <c r="AN143" s="748"/>
      <c r="AO143" s="748"/>
      <c r="AP143" s="748"/>
      <c r="AQ143" s="748"/>
      <c r="AR143" s="748"/>
      <c r="AS143" s="748"/>
      <c r="AT143" s="748"/>
      <c r="AU143" s="748"/>
      <c r="AV143" s="748"/>
      <c r="AW143" s="748"/>
      <c r="AX143" s="748"/>
      <c r="AY143" s="748"/>
      <c r="AZ143" s="748"/>
      <c r="BA143" s="748"/>
      <c r="BB143" s="748"/>
      <c r="BC143" s="748"/>
      <c r="BD143" s="748"/>
      <c r="BE143" s="748"/>
      <c r="BF143" s="748"/>
      <c r="BG143" s="748"/>
      <c r="BH143" s="748"/>
      <c r="BI143" s="748"/>
      <c r="BJ143" s="748"/>
      <c r="BK143" s="748"/>
      <c r="BL143" s="748"/>
      <c r="BM143" s="748"/>
      <c r="BN143" s="748"/>
      <c r="BO143" s="748"/>
      <c r="BP143" s="748"/>
      <c r="BQ143" s="748"/>
      <c r="BR143" s="748"/>
      <c r="BS143" s="748"/>
      <c r="BT143" s="748"/>
      <c r="BU143" s="748"/>
      <c r="BV143" s="653"/>
      <c r="BW143" s="653"/>
      <c r="BX143" s="653"/>
      <c r="BY143" s="653"/>
      <c r="BZ143" s="653"/>
      <c r="CA143" s="653"/>
      <c r="CB143" s="653"/>
      <c r="CC143" s="653"/>
      <c r="CD143" s="653"/>
      <c r="CE143" s="653"/>
    </row>
    <row customHeight="1" ht="11.25" hidden="1">
      <c r="A144" s="1277"/>
      <c r="B144" s="748"/>
      <c r="C144" s="748"/>
      <c r="D144" s="2391"/>
      <c r="E144" s="872"/>
      <c r="F144" s="872">
        <v>0</v>
      </c>
      <c r="G144" s="872"/>
      <c r="H144" s="872"/>
      <c r="I144" s="872"/>
      <c r="J144" s="872"/>
      <c r="K144" s="872"/>
      <c r="L144" s="872"/>
      <c r="M144" s="872"/>
      <c r="N144" s="872"/>
      <c r="O144" s="872"/>
      <c r="P144" s="872"/>
      <c r="Q144" s="872"/>
      <c r="R144" s="872"/>
      <c r="S144" s="873"/>
      <c r="T144" s="955"/>
      <c r="U144" s="2389"/>
      <c r="V144" s="2389"/>
      <c r="W144" s="748"/>
      <c r="X144" s="748"/>
      <c r="Y144" s="748"/>
      <c r="Z144" s="748"/>
      <c r="AA144" s="748"/>
      <c r="AB144" s="653"/>
      <c r="AC144" s="2373"/>
      <c r="AD144" s="866"/>
      <c r="AE144" s="653"/>
      <c r="AF144" s="653"/>
      <c r="AG144" s="748"/>
      <c r="AH144" s="748"/>
      <c r="AI144" s="748"/>
      <c r="AJ144" s="748"/>
      <c r="AK144" s="748"/>
      <c r="AL144" s="748"/>
      <c r="AM144" s="748"/>
      <c r="AN144" s="748"/>
      <c r="AO144" s="748"/>
      <c r="AP144" s="748"/>
      <c r="AQ144" s="748"/>
      <c r="AR144" s="748"/>
      <c r="AS144" s="748"/>
      <c r="AT144" s="748"/>
      <c r="AU144" s="748"/>
      <c r="AV144" s="748"/>
      <c r="AW144" s="748"/>
      <c r="AX144" s="748"/>
      <c r="AY144" s="748"/>
      <c r="AZ144" s="748"/>
      <c r="BA144" s="748"/>
      <c r="BB144" s="748"/>
      <c r="BC144" s="748"/>
      <c r="BD144" s="748"/>
      <c r="BE144" s="748"/>
      <c r="BF144" s="748"/>
      <c r="BG144" s="748"/>
      <c r="BH144" s="748"/>
      <c r="BI144" s="748"/>
      <c r="BJ144" s="748"/>
      <c r="BK144" s="748"/>
      <c r="BL144" s="748"/>
      <c r="BM144" s="748"/>
      <c r="BN144" s="748"/>
      <c r="BO144" s="748"/>
      <c r="BP144" s="748"/>
      <c r="BQ144" s="748"/>
      <c r="BR144" s="748"/>
      <c r="BS144" s="748"/>
      <c r="BT144" s="748"/>
      <c r="BU144" s="748"/>
      <c r="BV144" s="748"/>
      <c r="BW144" s="748"/>
      <c r="BX144" s="748"/>
      <c r="BY144" s="748"/>
      <c r="BZ144" s="748"/>
      <c r="CA144" s="748"/>
      <c r="CB144" s="748"/>
      <c r="CC144" s="748"/>
      <c r="CD144" s="748"/>
      <c r="CE144" s="748"/>
    </row>
    <row customHeight="1" ht="11.25" hidden="1">
      <c r="A145" s="870"/>
      <c r="B145" s="653"/>
      <c r="C145" s="648"/>
      <c r="D145" s="2391"/>
      <c r="E145" s="886" t="s">
        <v>17</v>
      </c>
      <c r="F145" s="887" t="s">
        <v>17</v>
      </c>
      <c r="G145" s="887" t="s">
        <v>1482</v>
      </c>
      <c r="H145" s="888" t="s">
        <v>17</v>
      </c>
      <c r="I145" s="888"/>
      <c r="J145" s="888"/>
      <c r="K145" s="888"/>
      <c r="L145" s="888"/>
      <c r="M145" s="888"/>
      <c r="N145" s="888"/>
      <c r="O145" s="888"/>
      <c r="P145" s="888"/>
      <c r="Q145" s="888"/>
      <c r="R145" s="889"/>
      <c r="S145" s="890"/>
      <c r="T145" s="955"/>
      <c r="U145" s="2389"/>
      <c r="V145" s="2389"/>
      <c r="W145" s="653"/>
      <c r="X145" s="653"/>
      <c r="Y145" s="653"/>
      <c r="Z145" s="653"/>
      <c r="AA145" s="748"/>
      <c r="AB145" s="653"/>
      <c r="AC145" s="2373"/>
      <c r="AD145" s="866"/>
      <c r="AE145" s="653"/>
      <c r="AF145" s="653"/>
      <c r="AG145" s="748"/>
      <c r="AH145" s="748"/>
      <c r="AI145" s="748"/>
      <c r="AJ145" s="748"/>
      <c r="AK145" s="748"/>
      <c r="AL145" s="748"/>
      <c r="AM145" s="748"/>
      <c r="AN145" s="748"/>
      <c r="AO145" s="748"/>
      <c r="AP145" s="748"/>
      <c r="AQ145" s="748"/>
      <c r="AR145" s="748"/>
      <c r="AS145" s="748"/>
      <c r="AT145" s="748"/>
      <c r="AU145" s="748"/>
      <c r="AV145" s="748"/>
      <c r="AW145" s="748"/>
      <c r="AX145" s="748"/>
      <c r="AY145" s="748"/>
      <c r="AZ145" s="748"/>
      <c r="BA145" s="748"/>
      <c r="BB145" s="748"/>
      <c r="BC145" s="748"/>
      <c r="BD145" s="748"/>
      <c r="BE145" s="748"/>
      <c r="BF145" s="748"/>
      <c r="BG145" s="748"/>
      <c r="BH145" s="748"/>
      <c r="BI145" s="748"/>
      <c r="BJ145" s="748"/>
      <c r="BK145" s="748"/>
      <c r="BL145" s="748"/>
      <c r="BM145" s="748"/>
      <c r="BN145" s="748"/>
      <c r="BO145" s="748"/>
      <c r="BP145" s="748"/>
      <c r="BQ145" s="748"/>
      <c r="BR145" s="748"/>
      <c r="BS145" s="748"/>
      <c r="BT145" s="748"/>
      <c r="BU145" s="748"/>
      <c r="BV145" s="653"/>
      <c r="BW145" s="653"/>
      <c r="BX145" s="653"/>
      <c r="BY145" s="653"/>
      <c r="BZ145" s="653"/>
      <c r="CA145" s="653"/>
      <c r="CB145" s="653"/>
      <c r="CC145" s="653"/>
      <c r="CD145" s="653"/>
      <c r="CE145" s="653"/>
    </row>
    <row customHeight="1" ht="5.25" hidden="1">
      <c r="A146" s="1277"/>
      <c r="B146" s="748"/>
      <c r="C146" s="748"/>
      <c r="D146" s="2391"/>
      <c r="E146" s="1297"/>
      <c r="F146" s="1297"/>
      <c r="G146" s="1297"/>
      <c r="H146" s="1297"/>
      <c r="I146" s="1297"/>
      <c r="J146" s="1297"/>
      <c r="K146" s="1297"/>
      <c r="L146" s="1297"/>
      <c r="M146" s="1297"/>
      <c r="N146" s="1297"/>
      <c r="O146" s="1297"/>
      <c r="P146" s="1297"/>
      <c r="Q146" s="1298"/>
      <c r="R146" s="1299"/>
      <c r="S146" s="1300"/>
      <c r="T146" s="954" t="s">
        <v>1480</v>
      </c>
      <c r="U146" s="2389">
        <v>1</v>
      </c>
      <c r="V146" s="2389" t="s">
        <v>1481</v>
      </c>
      <c r="W146" s="748"/>
      <c r="X146" s="748"/>
      <c r="Y146" s="748"/>
      <c r="Z146" s="748"/>
      <c r="AA146" s="748"/>
      <c r="AB146" s="748"/>
      <c r="AC146" s="1295"/>
      <c r="AD146" s="1296"/>
      <c r="AE146" s="748"/>
      <c r="AF146" s="748"/>
      <c r="AG146" s="748"/>
      <c r="AH146" s="748"/>
      <c r="AI146" s="748"/>
      <c r="AJ146" s="748"/>
      <c r="AK146" s="748"/>
      <c r="AL146" s="748"/>
      <c r="AM146" s="748"/>
      <c r="AN146" s="748"/>
      <c r="AO146" s="748"/>
      <c r="AP146" s="748"/>
      <c r="AQ146" s="748"/>
      <c r="AR146" s="748"/>
      <c r="AS146" s="748"/>
      <c r="AT146" s="748"/>
      <c r="AU146" s="748"/>
      <c r="AV146" s="748"/>
      <c r="AW146" s="748"/>
      <c r="AX146" s="748"/>
      <c r="AY146" s="748"/>
      <c r="AZ146" s="748"/>
      <c r="BA146" s="748"/>
      <c r="BB146" s="748"/>
      <c r="BC146" s="748"/>
      <c r="BD146" s="748"/>
      <c r="BE146" s="748"/>
      <c r="BF146" s="748"/>
      <c r="BG146" s="748"/>
      <c r="BH146" s="748"/>
      <c r="BI146" s="748"/>
      <c r="BJ146" s="748"/>
      <c r="BK146" s="748"/>
      <c r="BL146" s="748"/>
      <c r="BM146" s="748"/>
      <c r="BN146" s="748"/>
      <c r="BO146" s="748"/>
      <c r="BP146" s="748"/>
      <c r="BQ146" s="748"/>
      <c r="BR146" s="748"/>
      <c r="BS146" s="748"/>
      <c r="BT146" s="748"/>
      <c r="BU146" s="748"/>
      <c r="BV146" s="748"/>
      <c r="BW146" s="748"/>
      <c r="BX146" s="748"/>
      <c r="BY146" s="748"/>
      <c r="BZ146" s="748"/>
      <c r="CA146" s="748"/>
      <c r="CB146" s="748"/>
      <c r="CC146" s="748"/>
      <c r="CD146" s="748"/>
      <c r="CE146" s="748"/>
    </row>
    <row customHeight="1" ht="5.25" hidden="1">
      <c r="A147" s="1277"/>
      <c r="B147" s="748"/>
      <c r="C147" s="748"/>
      <c r="D147" s="2391"/>
      <c r="E147" s="872"/>
      <c r="F147" s="872"/>
      <c r="G147" s="872"/>
      <c r="H147" s="872"/>
      <c r="I147" s="872"/>
      <c r="J147" s="872"/>
      <c r="K147" s="872"/>
      <c r="L147" s="872"/>
      <c r="M147" s="872"/>
      <c r="N147" s="872"/>
      <c r="O147" s="872"/>
      <c r="P147" s="872"/>
      <c r="Q147" s="872"/>
      <c r="R147" s="872"/>
      <c r="S147" s="873"/>
      <c r="T147" s="955"/>
      <c r="U147" s="2389"/>
      <c r="V147" s="2389"/>
      <c r="W147" s="748"/>
      <c r="X147" s="748"/>
      <c r="Y147" s="748"/>
      <c r="Z147" s="748"/>
      <c r="AA147" s="748"/>
      <c r="AB147" s="748"/>
      <c r="AC147" s="1295"/>
      <c r="AD147" s="1296"/>
      <c r="AE147" s="748"/>
      <c r="AF147" s="748"/>
      <c r="AG147" s="748"/>
      <c r="AH147" s="748"/>
      <c r="AI147" s="748"/>
      <c r="AJ147" s="748"/>
      <c r="AK147" s="748"/>
      <c r="AL147" s="748"/>
      <c r="AM147" s="748"/>
      <c r="AN147" s="748"/>
      <c r="AO147" s="748"/>
      <c r="AP147" s="748"/>
      <c r="AQ147" s="748"/>
      <c r="AR147" s="748"/>
      <c r="AS147" s="748"/>
      <c r="AT147" s="748"/>
      <c r="AU147" s="748"/>
      <c r="AV147" s="748"/>
      <c r="AW147" s="748"/>
      <c r="AX147" s="748"/>
      <c r="AY147" s="748"/>
      <c r="AZ147" s="748"/>
      <c r="BA147" s="748"/>
      <c r="BB147" s="748"/>
      <c r="BC147" s="748"/>
      <c r="BD147" s="748"/>
      <c r="BE147" s="748"/>
      <c r="BF147" s="748"/>
      <c r="BG147" s="748"/>
      <c r="BH147" s="748"/>
      <c r="BI147" s="748"/>
      <c r="BJ147" s="748"/>
      <c r="BK147" s="748"/>
      <c r="BL147" s="748"/>
      <c r="BM147" s="748"/>
      <c r="BN147" s="748"/>
      <c r="BO147" s="748"/>
      <c r="BP147" s="748"/>
      <c r="BQ147" s="748"/>
      <c r="BR147" s="748"/>
      <c r="BS147" s="748"/>
      <c r="BT147" s="748"/>
      <c r="BU147" s="748"/>
      <c r="BV147" s="748"/>
      <c r="BW147" s="748"/>
      <c r="BX147" s="748"/>
      <c r="BY147" s="748"/>
      <c r="BZ147" s="748"/>
      <c r="CA147" s="748"/>
      <c r="CB147" s="748"/>
      <c r="CC147" s="748"/>
      <c r="CD147" s="748"/>
      <c r="CE147" s="748"/>
    </row>
    <row customHeight="1" ht="5.25" hidden="1">
      <c r="A148" s="1277"/>
      <c r="B148" s="748"/>
      <c r="C148" s="748"/>
      <c r="D148" s="2392"/>
      <c r="E148" s="1301"/>
      <c r="F148" s="1302"/>
      <c r="G148" s="1302"/>
      <c r="H148" s="1303"/>
      <c r="I148" s="1303"/>
      <c r="J148" s="1303"/>
      <c r="K148" s="1303"/>
      <c r="L148" s="1303"/>
      <c r="M148" s="1303"/>
      <c r="N148" s="1303"/>
      <c r="O148" s="1303"/>
      <c r="P148" s="1303"/>
      <c r="Q148" s="1303"/>
      <c r="R148" s="1202"/>
      <c r="S148" s="1304"/>
      <c r="T148" s="955"/>
      <c r="U148" s="2389"/>
      <c r="V148" s="2389"/>
      <c r="W148" s="748"/>
      <c r="X148" s="748"/>
      <c r="Y148" s="748"/>
      <c r="Z148" s="748"/>
      <c r="AA148" s="748"/>
      <c r="AB148" s="748"/>
      <c r="AC148" s="1295"/>
      <c r="AD148" s="1296"/>
      <c r="AE148" s="748"/>
      <c r="AF148" s="748"/>
      <c r="AG148" s="748"/>
      <c r="AH148" s="748"/>
      <c r="AI148" s="748"/>
      <c r="AJ148" s="748"/>
      <c r="AK148" s="748"/>
      <c r="AL148" s="748"/>
      <c r="AM148" s="748"/>
      <c r="AN148" s="748"/>
      <c r="AO148" s="748"/>
      <c r="AP148" s="748"/>
      <c r="AQ148" s="748"/>
      <c r="AR148" s="748"/>
      <c r="AS148" s="748"/>
      <c r="AT148" s="748"/>
      <c r="AU148" s="748"/>
      <c r="AV148" s="748"/>
      <c r="AW148" s="748"/>
      <c r="AX148" s="748"/>
      <c r="AY148" s="748"/>
      <c r="AZ148" s="748"/>
      <c r="BA148" s="748"/>
      <c r="BB148" s="748"/>
      <c r="BC148" s="748"/>
      <c r="BD148" s="748"/>
      <c r="BE148" s="748"/>
      <c r="BF148" s="748"/>
      <c r="BG148" s="748"/>
      <c r="BH148" s="748"/>
      <c r="BI148" s="748"/>
      <c r="BJ148" s="748"/>
      <c r="BK148" s="748"/>
      <c r="BL148" s="748"/>
      <c r="BM148" s="748"/>
      <c r="BN148" s="748"/>
      <c r="BO148" s="748"/>
      <c r="BP148" s="748"/>
      <c r="BQ148" s="748"/>
      <c r="BR148" s="748"/>
      <c r="BS148" s="748"/>
      <c r="BT148" s="748"/>
      <c r="BU148" s="748"/>
      <c r="BV148" s="748"/>
      <c r="BW148" s="748"/>
      <c r="BX148" s="748"/>
      <c r="BY148" s="748"/>
      <c r="BZ148" s="748"/>
      <c r="CA148" s="748"/>
      <c r="CB148" s="748"/>
      <c r="CC148" s="748"/>
      <c r="CD148" s="748"/>
      <c r="CE148" s="748"/>
    </row>
    <row customHeight="1" ht="15" hidden="1">
      <c r="A149" s="860" t="s">
        <v>159</v>
      </c>
      <c r="B149" s="861"/>
      <c r="C149" s="861" t="s">
        <v>17</v>
      </c>
      <c r="D149" s="2390" t="s">
        <v>1824</v>
      </c>
      <c r="E149" s="2374" t="s">
        <v>105</v>
      </c>
      <c r="F149" s="2375"/>
      <c r="G149" s="2376"/>
      <c r="H149" s="2377" t="str">
        <f>IF(A149="","",INDEX(DIFFERENTIATION_UNMERGE_VD,MATCH(A149,DIFFERENTIATION_ID_DIFF,0)))</f>
        <v>Производство тепловой энергии. Некомбинированная выработка</v>
      </c>
      <c r="I149" s="2377"/>
      <c r="J149" s="2377"/>
      <c r="K149" s="2377"/>
      <c r="L149" s="2377"/>
      <c r="M149" s="2377"/>
      <c r="N149" s="2377"/>
      <c r="O149" s="2377"/>
      <c r="P149" s="2377"/>
      <c r="Q149" s="2377"/>
      <c r="R149" s="2377"/>
      <c r="S149" s="956"/>
      <c r="T149" s="953"/>
      <c r="U149" s="862"/>
      <c r="V149" s="862"/>
      <c r="W149" s="863"/>
      <c r="X149" s="863"/>
      <c r="Y149" s="863"/>
      <c r="Z149" s="863"/>
      <c r="AA149" s="864"/>
      <c r="AB149" s="865"/>
      <c r="AC149" s="2373"/>
      <c r="AD149" s="866"/>
      <c r="AE149" s="867" t="s">
        <v>17</v>
      </c>
      <c r="AF149" s="867"/>
      <c r="AG149" s="868" t="s">
        <v>1475</v>
      </c>
      <c r="AH149" s="869">
        <v>3</v>
      </c>
      <c r="AI149" s="862"/>
      <c r="AJ149" s="862"/>
      <c r="AK149" s="862"/>
      <c r="AL149" s="862"/>
      <c r="AM149" s="862"/>
      <c r="AN149" s="862"/>
      <c r="AO149" s="862"/>
      <c r="AP149" s="862"/>
      <c r="AQ149" s="862"/>
      <c r="AR149" s="862"/>
      <c r="AS149" s="862"/>
      <c r="AT149" s="862"/>
      <c r="AU149" s="862"/>
      <c r="AV149" s="862"/>
      <c r="AW149" s="862"/>
      <c r="AX149" s="862"/>
      <c r="AY149" s="862"/>
      <c r="AZ149" s="862"/>
      <c r="BA149" s="862"/>
      <c r="BB149" s="862"/>
      <c r="BC149" s="862"/>
      <c r="BD149" s="862"/>
      <c r="BE149" s="862"/>
      <c r="BF149" s="862"/>
      <c r="BG149" s="862"/>
      <c r="BH149" s="862"/>
      <c r="BI149" s="862"/>
      <c r="BJ149" s="862"/>
      <c r="BK149" s="862"/>
      <c r="BL149" s="862"/>
      <c r="BM149" s="862"/>
      <c r="BN149" s="862"/>
      <c r="BO149" s="862"/>
      <c r="BP149" s="862"/>
      <c r="BQ149" s="862"/>
      <c r="BR149" s="862"/>
      <c r="BS149" s="862"/>
      <c r="BT149" s="862"/>
      <c r="BU149" s="862"/>
      <c r="BV149" s="863"/>
      <c r="BW149" s="863"/>
      <c r="BX149" s="863"/>
      <c r="BY149" s="863"/>
      <c r="BZ149" s="863"/>
      <c r="CA149" s="863"/>
      <c r="CB149" s="863"/>
      <c r="CC149" s="863"/>
      <c r="CD149" s="863"/>
      <c r="CE149" s="863"/>
    </row>
    <row customHeight="1" ht="15" hidden="1">
      <c r="A150" s="860"/>
      <c r="B150" s="861"/>
      <c r="C150" s="861"/>
      <c r="D150" s="2391"/>
      <c r="E150" s="2374" t="s">
        <v>1476</v>
      </c>
      <c r="F150" s="2375"/>
      <c r="G150" s="2376"/>
      <c r="H150" s="2377" t="str">
        <f>IF(A149="","",INDEX(DIFFERENTIATION_UNMERGE_AREA,MATCH(A149,DIFFERENTIATION_ID_DIFF,0)))</f>
        <v>Территория 1</v>
      </c>
      <c r="I150" s="2377"/>
      <c r="J150" s="2377"/>
      <c r="K150" s="2377"/>
      <c r="L150" s="2377"/>
      <c r="M150" s="2377"/>
      <c r="N150" s="2377"/>
      <c r="O150" s="2377"/>
      <c r="P150" s="2377"/>
      <c r="Q150" s="2377"/>
      <c r="R150" s="2377"/>
      <c r="S150" s="956"/>
      <c r="T150" s="953"/>
      <c r="U150" s="862"/>
      <c r="V150" s="862"/>
      <c r="W150" s="863"/>
      <c r="X150" s="863"/>
      <c r="Y150" s="863"/>
      <c r="Z150" s="863"/>
      <c r="AA150" s="864"/>
      <c r="AB150" s="865"/>
      <c r="AC150" s="2373"/>
      <c r="AD150" s="866"/>
      <c r="AE150" s="867"/>
      <c r="AF150" s="867"/>
      <c r="AG150" s="868"/>
      <c r="AH150" s="869"/>
      <c r="AI150" s="862"/>
      <c r="AJ150" s="862"/>
      <c r="AK150" s="862"/>
      <c r="AL150" s="862"/>
      <c r="AM150" s="862"/>
      <c r="AN150" s="862"/>
      <c r="AO150" s="862"/>
      <c r="AP150" s="862"/>
      <c r="AQ150" s="862"/>
      <c r="AR150" s="862"/>
      <c r="AS150" s="862"/>
      <c r="AT150" s="862"/>
      <c r="AU150" s="862"/>
      <c r="AV150" s="862"/>
      <c r="AW150" s="862"/>
      <c r="AX150" s="862"/>
      <c r="AY150" s="862"/>
      <c r="AZ150" s="862"/>
      <c r="BA150" s="862"/>
      <c r="BB150" s="862"/>
      <c r="BC150" s="862"/>
      <c r="BD150" s="862"/>
      <c r="BE150" s="862"/>
      <c r="BF150" s="862"/>
      <c r="BG150" s="862"/>
      <c r="BH150" s="862"/>
      <c r="BI150" s="862"/>
      <c r="BJ150" s="862"/>
      <c r="BK150" s="862"/>
      <c r="BL150" s="862"/>
      <c r="BM150" s="862"/>
      <c r="BN150" s="862"/>
      <c r="BO150" s="862"/>
      <c r="BP150" s="862"/>
      <c r="BQ150" s="862"/>
      <c r="BR150" s="862"/>
      <c r="BS150" s="862"/>
      <c r="BT150" s="862"/>
      <c r="BU150" s="862"/>
      <c r="BV150" s="863"/>
      <c r="BW150" s="863"/>
      <c r="BX150" s="863"/>
      <c r="BY150" s="863"/>
      <c r="BZ150" s="863"/>
      <c r="CA150" s="863"/>
      <c r="CB150" s="863"/>
      <c r="CC150" s="863"/>
      <c r="CD150" s="863"/>
      <c r="CE150" s="863"/>
    </row>
    <row customHeight="1" ht="15" hidden="1">
      <c r="A151" s="860"/>
      <c r="B151" s="861"/>
      <c r="C151" s="861"/>
      <c r="D151" s="2391"/>
      <c r="E151" s="2374" t="s">
        <v>1477</v>
      </c>
      <c r="F151" s="2375"/>
      <c r="G151" s="2376"/>
      <c r="H151" s="2377" t="str">
        <f>IF(A149="","",INDEX(DIFFERENTIATION_UNMERGE_SYSTEM,MATCH(A149,DIFFERENTIATION_ID_DIFF,0)))</f>
        <v>ПНС№1-  Пролет, 5</v>
      </c>
      <c r="I151" s="2377"/>
      <c r="J151" s="2377"/>
      <c r="K151" s="2377"/>
      <c r="L151" s="2377"/>
      <c r="M151" s="2377"/>
      <c r="N151" s="2377"/>
      <c r="O151" s="2377"/>
      <c r="P151" s="2377"/>
      <c r="Q151" s="2377"/>
      <c r="R151" s="2377"/>
      <c r="S151" s="956"/>
      <c r="T151" s="953"/>
      <c r="U151" s="862"/>
      <c r="V151" s="862"/>
      <c r="W151" s="863"/>
      <c r="X151" s="863"/>
      <c r="Y151" s="863"/>
      <c r="Z151" s="863"/>
      <c r="AA151" s="864"/>
      <c r="AB151" s="865"/>
      <c r="AC151" s="2373"/>
      <c r="AD151" s="866"/>
      <c r="AE151" s="867"/>
      <c r="AF151" s="867"/>
      <c r="AG151" s="868"/>
      <c r="AH151" s="869"/>
      <c r="AI151" s="862"/>
      <c r="AJ151" s="862"/>
      <c r="AK151" s="862"/>
      <c r="AL151" s="862"/>
      <c r="AM151" s="862"/>
      <c r="AN151" s="862"/>
      <c r="AO151" s="862"/>
      <c r="AP151" s="862"/>
      <c r="AQ151" s="862"/>
      <c r="AR151" s="862"/>
      <c r="AS151" s="862"/>
      <c r="AT151" s="862"/>
      <c r="AU151" s="862"/>
      <c r="AV151" s="862"/>
      <c r="AW151" s="862"/>
      <c r="AX151" s="862"/>
      <c r="AY151" s="862"/>
      <c r="AZ151" s="862"/>
      <c r="BA151" s="862"/>
      <c r="BB151" s="862"/>
      <c r="BC151" s="862"/>
      <c r="BD151" s="862"/>
      <c r="BE151" s="862"/>
      <c r="BF151" s="862"/>
      <c r="BG151" s="862"/>
      <c r="BH151" s="862"/>
      <c r="BI151" s="862"/>
      <c r="BJ151" s="862"/>
      <c r="BK151" s="862"/>
      <c r="BL151" s="862"/>
      <c r="BM151" s="862"/>
      <c r="BN151" s="862"/>
      <c r="BO151" s="862"/>
      <c r="BP151" s="862"/>
      <c r="BQ151" s="862"/>
      <c r="BR151" s="862"/>
      <c r="BS151" s="862"/>
      <c r="BT151" s="862"/>
      <c r="BU151" s="862"/>
      <c r="BV151" s="863"/>
      <c r="BW151" s="863"/>
      <c r="BX151" s="863"/>
      <c r="BY151" s="863"/>
      <c r="BZ151" s="863"/>
      <c r="CA151" s="863"/>
      <c r="CB151" s="863"/>
      <c r="CC151" s="863"/>
      <c r="CD151" s="863"/>
      <c r="CE151" s="863"/>
    </row>
    <row customHeight="1" ht="24.75" hidden="1">
      <c r="A152" s="870"/>
      <c r="B152" s="653"/>
      <c r="C152" s="648"/>
      <c r="D152" s="2391"/>
      <c r="E152" s="2388" t="s">
        <v>1478</v>
      </c>
      <c r="F152" s="2388"/>
      <c r="G152" s="2388"/>
      <c r="H152" s="2388"/>
      <c r="I152" s="2388"/>
      <c r="J152" s="2388"/>
      <c r="K152" s="2388"/>
      <c r="L152" s="2388"/>
      <c r="M152" s="2388"/>
      <c r="N152" s="2388"/>
      <c r="O152" s="2388"/>
      <c r="P152" s="2388"/>
      <c r="Q152" s="795">
        <f>SUMIF(T153:T154,"i",Q153:Q154)</f>
        <v>0</v>
      </c>
      <c r="R152" s="1273"/>
      <c r="S152" s="1278" t="s">
        <v>1479</v>
      </c>
      <c r="T152" s="954" t="s">
        <v>1480</v>
      </c>
      <c r="U152" s="2389">
        <v>1</v>
      </c>
      <c r="V152" s="2389" t="s">
        <v>1481</v>
      </c>
      <c r="W152" s="653"/>
      <c r="X152" s="653"/>
      <c r="Y152" s="653"/>
      <c r="Z152" s="653"/>
      <c r="AA152" s="748"/>
      <c r="AB152" s="653"/>
      <c r="AC152" s="2373"/>
      <c r="AD152" s="866"/>
      <c r="AE152" s="653"/>
      <c r="AF152" s="653"/>
      <c r="AG152" s="748"/>
      <c r="AH152" s="748"/>
      <c r="AI152" s="748"/>
      <c r="AJ152" s="748"/>
      <c r="AK152" s="748"/>
      <c r="AL152" s="748"/>
      <c r="AM152" s="748"/>
      <c r="AN152" s="748"/>
      <c r="AO152" s="748"/>
      <c r="AP152" s="748"/>
      <c r="AQ152" s="748"/>
      <c r="AR152" s="748"/>
      <c r="AS152" s="748"/>
      <c r="AT152" s="748"/>
      <c r="AU152" s="748"/>
      <c r="AV152" s="748"/>
      <c r="AW152" s="748"/>
      <c r="AX152" s="748"/>
      <c r="AY152" s="748"/>
      <c r="AZ152" s="748"/>
      <c r="BA152" s="748"/>
      <c r="BB152" s="748"/>
      <c r="BC152" s="748"/>
      <c r="BD152" s="748"/>
      <c r="BE152" s="748"/>
      <c r="BF152" s="748"/>
      <c r="BG152" s="748"/>
      <c r="BH152" s="748"/>
      <c r="BI152" s="748"/>
      <c r="BJ152" s="748"/>
      <c r="BK152" s="748"/>
      <c r="BL152" s="748"/>
      <c r="BM152" s="748"/>
      <c r="BN152" s="748"/>
      <c r="BO152" s="748"/>
      <c r="BP152" s="748"/>
      <c r="BQ152" s="748"/>
      <c r="BR152" s="748"/>
      <c r="BS152" s="748"/>
      <c r="BT152" s="748"/>
      <c r="BU152" s="748"/>
      <c r="BV152" s="653"/>
      <c r="BW152" s="653"/>
      <c r="BX152" s="653"/>
      <c r="BY152" s="653"/>
      <c r="BZ152" s="653"/>
      <c r="CA152" s="653"/>
      <c r="CB152" s="653"/>
      <c r="CC152" s="653"/>
      <c r="CD152" s="653"/>
      <c r="CE152" s="653"/>
    </row>
    <row customHeight="1" ht="11.25" hidden="1">
      <c r="A153" s="1277"/>
      <c r="B153" s="748"/>
      <c r="C153" s="748"/>
      <c r="D153" s="2391"/>
      <c r="E153" s="872"/>
      <c r="F153" s="872">
        <v>0</v>
      </c>
      <c r="G153" s="872"/>
      <c r="H153" s="872"/>
      <c r="I153" s="872"/>
      <c r="J153" s="872"/>
      <c r="K153" s="872"/>
      <c r="L153" s="872"/>
      <c r="M153" s="872"/>
      <c r="N153" s="872"/>
      <c r="O153" s="872"/>
      <c r="P153" s="872"/>
      <c r="Q153" s="872"/>
      <c r="R153" s="872"/>
      <c r="S153" s="873"/>
      <c r="T153" s="955"/>
      <c r="U153" s="2389"/>
      <c r="V153" s="2389"/>
      <c r="W153" s="748"/>
      <c r="X153" s="748"/>
      <c r="Y153" s="748"/>
      <c r="Z153" s="748"/>
      <c r="AA153" s="748"/>
      <c r="AB153" s="653"/>
      <c r="AC153" s="2373"/>
      <c r="AD153" s="866"/>
      <c r="AE153" s="653"/>
      <c r="AF153" s="653"/>
      <c r="AG153" s="748"/>
      <c r="AH153" s="748"/>
      <c r="AI153" s="748"/>
      <c r="AJ153" s="748"/>
      <c r="AK153" s="748"/>
      <c r="AL153" s="748"/>
      <c r="AM153" s="748"/>
      <c r="AN153" s="748"/>
      <c r="AO153" s="748"/>
      <c r="AP153" s="748"/>
      <c r="AQ153" s="748"/>
      <c r="AR153" s="748"/>
      <c r="AS153" s="748"/>
      <c r="AT153" s="748"/>
      <c r="AU153" s="748"/>
      <c r="AV153" s="748"/>
      <c r="AW153" s="748"/>
      <c r="AX153" s="748"/>
      <c r="AY153" s="748"/>
      <c r="AZ153" s="748"/>
      <c r="BA153" s="748"/>
      <c r="BB153" s="748"/>
      <c r="BC153" s="748"/>
      <c r="BD153" s="748"/>
      <c r="BE153" s="748"/>
      <c r="BF153" s="748"/>
      <c r="BG153" s="748"/>
      <c r="BH153" s="748"/>
      <c r="BI153" s="748"/>
      <c r="BJ153" s="748"/>
      <c r="BK153" s="748"/>
      <c r="BL153" s="748"/>
      <c r="BM153" s="748"/>
      <c r="BN153" s="748"/>
      <c r="BO153" s="748"/>
      <c r="BP153" s="748"/>
      <c r="BQ153" s="748"/>
      <c r="BR153" s="748"/>
      <c r="BS153" s="748"/>
      <c r="BT153" s="748"/>
      <c r="BU153" s="748"/>
      <c r="BV153" s="748"/>
      <c r="BW153" s="748"/>
      <c r="BX153" s="748"/>
      <c r="BY153" s="748"/>
      <c r="BZ153" s="748"/>
      <c r="CA153" s="748"/>
      <c r="CB153" s="748"/>
      <c r="CC153" s="748"/>
      <c r="CD153" s="748"/>
      <c r="CE153" s="748"/>
    </row>
    <row customHeight="1" ht="11.25" hidden="1">
      <c r="A154" s="870"/>
      <c r="B154" s="653"/>
      <c r="C154" s="648"/>
      <c r="D154" s="2391"/>
      <c r="E154" s="886" t="s">
        <v>17</v>
      </c>
      <c r="F154" s="887" t="s">
        <v>17</v>
      </c>
      <c r="G154" s="887" t="s">
        <v>1482</v>
      </c>
      <c r="H154" s="888" t="s">
        <v>17</v>
      </c>
      <c r="I154" s="888"/>
      <c r="J154" s="888"/>
      <c r="K154" s="888"/>
      <c r="L154" s="888"/>
      <c r="M154" s="888"/>
      <c r="N154" s="888"/>
      <c r="O154" s="888"/>
      <c r="P154" s="888"/>
      <c r="Q154" s="888"/>
      <c r="R154" s="889"/>
      <c r="S154" s="890"/>
      <c r="T154" s="955"/>
      <c r="U154" s="2389"/>
      <c r="V154" s="2389"/>
      <c r="W154" s="653"/>
      <c r="X154" s="653"/>
      <c r="Y154" s="653"/>
      <c r="Z154" s="653"/>
      <c r="AA154" s="748"/>
      <c r="AB154" s="653"/>
      <c r="AC154" s="2373"/>
      <c r="AD154" s="866"/>
      <c r="AE154" s="653"/>
      <c r="AF154" s="653"/>
      <c r="AG154" s="748"/>
      <c r="AH154" s="748"/>
      <c r="AI154" s="748"/>
      <c r="AJ154" s="748"/>
      <c r="AK154" s="748"/>
      <c r="AL154" s="748"/>
      <c r="AM154" s="748"/>
      <c r="AN154" s="748"/>
      <c r="AO154" s="748"/>
      <c r="AP154" s="748"/>
      <c r="AQ154" s="748"/>
      <c r="AR154" s="748"/>
      <c r="AS154" s="748"/>
      <c r="AT154" s="748"/>
      <c r="AU154" s="748"/>
      <c r="AV154" s="748"/>
      <c r="AW154" s="748"/>
      <c r="AX154" s="748"/>
      <c r="AY154" s="748"/>
      <c r="AZ154" s="748"/>
      <c r="BA154" s="748"/>
      <c r="BB154" s="748"/>
      <c r="BC154" s="748"/>
      <c r="BD154" s="748"/>
      <c r="BE154" s="748"/>
      <c r="BF154" s="748"/>
      <c r="BG154" s="748"/>
      <c r="BH154" s="748"/>
      <c r="BI154" s="748"/>
      <c r="BJ154" s="748"/>
      <c r="BK154" s="748"/>
      <c r="BL154" s="748"/>
      <c r="BM154" s="748"/>
      <c r="BN154" s="748"/>
      <c r="BO154" s="748"/>
      <c r="BP154" s="748"/>
      <c r="BQ154" s="748"/>
      <c r="BR154" s="748"/>
      <c r="BS154" s="748"/>
      <c r="BT154" s="748"/>
      <c r="BU154" s="748"/>
      <c r="BV154" s="653"/>
      <c r="BW154" s="653"/>
      <c r="BX154" s="653"/>
      <c r="BY154" s="653"/>
      <c r="BZ154" s="653"/>
      <c r="CA154" s="653"/>
      <c r="CB154" s="653"/>
      <c r="CC154" s="653"/>
      <c r="CD154" s="653"/>
      <c r="CE154" s="653"/>
    </row>
    <row customHeight="1" ht="5.25" hidden="1">
      <c r="A155" s="1277"/>
      <c r="B155" s="748"/>
      <c r="C155" s="748"/>
      <c r="D155" s="2391"/>
      <c r="E155" s="1297"/>
      <c r="F155" s="1297"/>
      <c r="G155" s="1297"/>
      <c r="H155" s="1297"/>
      <c r="I155" s="1297"/>
      <c r="J155" s="1297"/>
      <c r="K155" s="1297"/>
      <c r="L155" s="1297"/>
      <c r="M155" s="1297"/>
      <c r="N155" s="1297"/>
      <c r="O155" s="1297"/>
      <c r="P155" s="1297"/>
      <c r="Q155" s="1298"/>
      <c r="R155" s="1299"/>
      <c r="S155" s="1300"/>
      <c r="T155" s="954" t="s">
        <v>1480</v>
      </c>
      <c r="U155" s="2389">
        <v>1</v>
      </c>
      <c r="V155" s="2389" t="s">
        <v>1481</v>
      </c>
      <c r="W155" s="748"/>
      <c r="X155" s="748"/>
      <c r="Y155" s="748"/>
      <c r="Z155" s="748"/>
      <c r="AA155" s="748"/>
      <c r="AB155" s="748"/>
      <c r="AC155" s="1295"/>
      <c r="AD155" s="1296"/>
      <c r="AE155" s="748"/>
      <c r="AF155" s="748"/>
      <c r="AG155" s="748"/>
      <c r="AH155" s="748"/>
      <c r="AI155" s="748"/>
      <c r="AJ155" s="748"/>
      <c r="AK155" s="748"/>
      <c r="AL155" s="748"/>
      <c r="AM155" s="748"/>
      <c r="AN155" s="748"/>
      <c r="AO155" s="748"/>
      <c r="AP155" s="748"/>
      <c r="AQ155" s="748"/>
      <c r="AR155" s="748"/>
      <c r="AS155" s="748"/>
      <c r="AT155" s="748"/>
      <c r="AU155" s="748"/>
      <c r="AV155" s="748"/>
      <c r="AW155" s="748"/>
      <c r="AX155" s="748"/>
      <c r="AY155" s="748"/>
      <c r="AZ155" s="748"/>
      <c r="BA155" s="748"/>
      <c r="BB155" s="748"/>
      <c r="BC155" s="748"/>
      <c r="BD155" s="748"/>
      <c r="BE155" s="748"/>
      <c r="BF155" s="748"/>
      <c r="BG155" s="748"/>
      <c r="BH155" s="748"/>
      <c r="BI155" s="748"/>
      <c r="BJ155" s="748"/>
      <c r="BK155" s="748"/>
      <c r="BL155" s="748"/>
      <c r="BM155" s="748"/>
      <c r="BN155" s="748"/>
      <c r="BO155" s="748"/>
      <c r="BP155" s="748"/>
      <c r="BQ155" s="748"/>
      <c r="BR155" s="748"/>
      <c r="BS155" s="748"/>
      <c r="BT155" s="748"/>
      <c r="BU155" s="748"/>
      <c r="BV155" s="748"/>
      <c r="BW155" s="748"/>
      <c r="BX155" s="748"/>
      <c r="BY155" s="748"/>
      <c r="BZ155" s="748"/>
      <c r="CA155" s="748"/>
      <c r="CB155" s="748"/>
      <c r="CC155" s="748"/>
      <c r="CD155" s="748"/>
      <c r="CE155" s="748"/>
    </row>
    <row customHeight="1" ht="5.25" hidden="1">
      <c r="A156" s="1277"/>
      <c r="B156" s="748"/>
      <c r="C156" s="748"/>
      <c r="D156" s="2391"/>
      <c r="E156" s="872"/>
      <c r="F156" s="872"/>
      <c r="G156" s="872"/>
      <c r="H156" s="872"/>
      <c r="I156" s="872"/>
      <c r="J156" s="872"/>
      <c r="K156" s="872"/>
      <c r="L156" s="872"/>
      <c r="M156" s="872"/>
      <c r="N156" s="872"/>
      <c r="O156" s="872"/>
      <c r="P156" s="872"/>
      <c r="Q156" s="872"/>
      <c r="R156" s="872"/>
      <c r="S156" s="873"/>
      <c r="T156" s="955"/>
      <c r="U156" s="2389"/>
      <c r="V156" s="2389"/>
      <c r="W156" s="748"/>
      <c r="X156" s="748"/>
      <c r="Y156" s="748"/>
      <c r="Z156" s="748"/>
      <c r="AA156" s="748"/>
      <c r="AB156" s="748"/>
      <c r="AC156" s="1295"/>
      <c r="AD156" s="1296"/>
      <c r="AE156" s="748"/>
      <c r="AF156" s="748"/>
      <c r="AG156" s="748"/>
      <c r="AH156" s="748"/>
      <c r="AI156" s="748"/>
      <c r="AJ156" s="748"/>
      <c r="AK156" s="748"/>
      <c r="AL156" s="748"/>
      <c r="AM156" s="748"/>
      <c r="AN156" s="748"/>
      <c r="AO156" s="748"/>
      <c r="AP156" s="748"/>
      <c r="AQ156" s="748"/>
      <c r="AR156" s="748"/>
      <c r="AS156" s="748"/>
      <c r="AT156" s="748"/>
      <c r="AU156" s="748"/>
      <c r="AV156" s="748"/>
      <c r="AW156" s="748"/>
      <c r="AX156" s="748"/>
      <c r="AY156" s="748"/>
      <c r="AZ156" s="748"/>
      <c r="BA156" s="748"/>
      <c r="BB156" s="748"/>
      <c r="BC156" s="748"/>
      <c r="BD156" s="748"/>
      <c r="BE156" s="748"/>
      <c r="BF156" s="748"/>
      <c r="BG156" s="748"/>
      <c r="BH156" s="748"/>
      <c r="BI156" s="748"/>
      <c r="BJ156" s="748"/>
      <c r="BK156" s="748"/>
      <c r="BL156" s="748"/>
      <c r="BM156" s="748"/>
      <c r="BN156" s="748"/>
      <c r="BO156" s="748"/>
      <c r="BP156" s="748"/>
      <c r="BQ156" s="748"/>
      <c r="BR156" s="748"/>
      <c r="BS156" s="748"/>
      <c r="BT156" s="748"/>
      <c r="BU156" s="748"/>
      <c r="BV156" s="748"/>
      <c r="BW156" s="748"/>
      <c r="BX156" s="748"/>
      <c r="BY156" s="748"/>
      <c r="BZ156" s="748"/>
      <c r="CA156" s="748"/>
      <c r="CB156" s="748"/>
      <c r="CC156" s="748"/>
      <c r="CD156" s="748"/>
      <c r="CE156" s="748"/>
    </row>
    <row customHeight="1" ht="5.25" hidden="1">
      <c r="A157" s="1277"/>
      <c r="B157" s="748"/>
      <c r="C157" s="748"/>
      <c r="D157" s="2392"/>
      <c r="E157" s="1301"/>
      <c r="F157" s="1302"/>
      <c r="G157" s="1302"/>
      <c r="H157" s="1303"/>
      <c r="I157" s="1303"/>
      <c r="J157" s="1303"/>
      <c r="K157" s="1303"/>
      <c r="L157" s="1303"/>
      <c r="M157" s="1303"/>
      <c r="N157" s="1303"/>
      <c r="O157" s="1303"/>
      <c r="P157" s="1303"/>
      <c r="Q157" s="1303"/>
      <c r="R157" s="1202"/>
      <c r="S157" s="1304"/>
      <c r="T157" s="955"/>
      <c r="U157" s="2389"/>
      <c r="V157" s="2389"/>
      <c r="W157" s="748"/>
      <c r="X157" s="748"/>
      <c r="Y157" s="748"/>
      <c r="Z157" s="748"/>
      <c r="AA157" s="748"/>
      <c r="AB157" s="748"/>
      <c r="AC157" s="1295"/>
      <c r="AD157" s="1296"/>
      <c r="AE157" s="748"/>
      <c r="AF157" s="748"/>
      <c r="AG157" s="748"/>
      <c r="AH157" s="748"/>
      <c r="AI157" s="748"/>
      <c r="AJ157" s="748"/>
      <c r="AK157" s="748"/>
      <c r="AL157" s="748"/>
      <c r="AM157" s="748"/>
      <c r="AN157" s="748"/>
      <c r="AO157" s="748"/>
      <c r="AP157" s="748"/>
      <c r="AQ157" s="748"/>
      <c r="AR157" s="748"/>
      <c r="AS157" s="748"/>
      <c r="AT157" s="748"/>
      <c r="AU157" s="748"/>
      <c r="AV157" s="748"/>
      <c r="AW157" s="748"/>
      <c r="AX157" s="748"/>
      <c r="AY157" s="748"/>
      <c r="AZ157" s="748"/>
      <c r="BA157" s="748"/>
      <c r="BB157" s="748"/>
      <c r="BC157" s="748"/>
      <c r="BD157" s="748"/>
      <c r="BE157" s="748"/>
      <c r="BF157" s="748"/>
      <c r="BG157" s="748"/>
      <c r="BH157" s="748"/>
      <c r="BI157" s="748"/>
      <c r="BJ157" s="748"/>
      <c r="BK157" s="748"/>
      <c r="BL157" s="748"/>
      <c r="BM157" s="748"/>
      <c r="BN157" s="748"/>
      <c r="BO157" s="748"/>
      <c r="BP157" s="748"/>
      <c r="BQ157" s="748"/>
      <c r="BR157" s="748"/>
      <c r="BS157" s="748"/>
      <c r="BT157" s="748"/>
      <c r="BU157" s="748"/>
      <c r="BV157" s="748"/>
      <c r="BW157" s="748"/>
      <c r="BX157" s="748"/>
      <c r="BY157" s="748"/>
      <c r="BZ157" s="748"/>
      <c r="CA157" s="748"/>
      <c r="CB157" s="748"/>
      <c r="CC157" s="748"/>
      <c r="CD157" s="748"/>
      <c r="CE157" s="748"/>
    </row>
    <row customHeight="1" ht="15" hidden="1">
      <c r="A158" s="860" t="s">
        <v>162</v>
      </c>
      <c r="B158" s="861"/>
      <c r="C158" s="861" t="s">
        <v>17</v>
      </c>
      <c r="D158" s="2390" t="s">
        <v>1825</v>
      </c>
      <c r="E158" s="2374" t="s">
        <v>105</v>
      </c>
      <c r="F158" s="2375"/>
      <c r="G158" s="2376"/>
      <c r="H158" s="2377" t="str">
        <f>IF(A158="","",INDEX(DIFFERENTIATION_UNMERGE_VD,MATCH(A158,DIFFERENTIATION_ID_DIFF,0)))</f>
        <v>Производство тепловой энергии. Некомбинированная выработка</v>
      </c>
      <c r="I158" s="2377"/>
      <c r="J158" s="2377"/>
      <c r="K158" s="2377"/>
      <c r="L158" s="2377"/>
      <c r="M158" s="2377"/>
      <c r="N158" s="2377"/>
      <c r="O158" s="2377"/>
      <c r="P158" s="2377"/>
      <c r="Q158" s="2377"/>
      <c r="R158" s="2377"/>
      <c r="S158" s="956"/>
      <c r="T158" s="953"/>
      <c r="U158" s="862"/>
      <c r="V158" s="862"/>
      <c r="W158" s="863"/>
      <c r="X158" s="863"/>
      <c r="Y158" s="863"/>
      <c r="Z158" s="863"/>
      <c r="AA158" s="864"/>
      <c r="AB158" s="865"/>
      <c r="AC158" s="2373"/>
      <c r="AD158" s="866"/>
      <c r="AE158" s="867" t="s">
        <v>17</v>
      </c>
      <c r="AF158" s="867"/>
      <c r="AG158" s="868" t="s">
        <v>1475</v>
      </c>
      <c r="AH158" s="869">
        <v>3</v>
      </c>
      <c r="AI158" s="862"/>
      <c r="AJ158" s="862"/>
      <c r="AK158" s="862"/>
      <c r="AL158" s="862"/>
      <c r="AM158" s="862"/>
      <c r="AN158" s="862"/>
      <c r="AO158" s="862"/>
      <c r="AP158" s="862"/>
      <c r="AQ158" s="862"/>
      <c r="AR158" s="862"/>
      <c r="AS158" s="862"/>
      <c r="AT158" s="862"/>
      <c r="AU158" s="862"/>
      <c r="AV158" s="862"/>
      <c r="AW158" s="862"/>
      <c r="AX158" s="862"/>
      <c r="AY158" s="862"/>
      <c r="AZ158" s="862"/>
      <c r="BA158" s="862"/>
      <c r="BB158" s="862"/>
      <c r="BC158" s="862"/>
      <c r="BD158" s="862"/>
      <c r="BE158" s="862"/>
      <c r="BF158" s="862"/>
      <c r="BG158" s="862"/>
      <c r="BH158" s="862"/>
      <c r="BI158" s="862"/>
      <c r="BJ158" s="862"/>
      <c r="BK158" s="862"/>
      <c r="BL158" s="862"/>
      <c r="BM158" s="862"/>
      <c r="BN158" s="862"/>
      <c r="BO158" s="862"/>
      <c r="BP158" s="862"/>
      <c r="BQ158" s="862"/>
      <c r="BR158" s="862"/>
      <c r="BS158" s="862"/>
      <c r="BT158" s="862"/>
      <c r="BU158" s="862"/>
      <c r="BV158" s="863"/>
      <c r="BW158" s="863"/>
      <c r="BX158" s="863"/>
      <c r="BY158" s="863"/>
      <c r="BZ158" s="863"/>
      <c r="CA158" s="863"/>
      <c r="CB158" s="863"/>
      <c r="CC158" s="863"/>
      <c r="CD158" s="863"/>
      <c r="CE158" s="863"/>
    </row>
    <row customHeight="1" ht="15" hidden="1">
      <c r="A159" s="860"/>
      <c r="B159" s="861"/>
      <c r="C159" s="861"/>
      <c r="D159" s="2391"/>
      <c r="E159" s="2374" t="s">
        <v>1476</v>
      </c>
      <c r="F159" s="2375"/>
      <c r="G159" s="2376"/>
      <c r="H159" s="2377" t="str">
        <f>IF(A158="","",INDEX(DIFFERENTIATION_UNMERGE_AREA,MATCH(A158,DIFFERENTIATION_ID_DIFF,0)))</f>
        <v>Территория 1</v>
      </c>
      <c r="I159" s="2377"/>
      <c r="J159" s="2377"/>
      <c r="K159" s="2377"/>
      <c r="L159" s="2377"/>
      <c r="M159" s="2377"/>
      <c r="N159" s="2377"/>
      <c r="O159" s="2377"/>
      <c r="P159" s="2377"/>
      <c r="Q159" s="2377"/>
      <c r="R159" s="2377"/>
      <c r="S159" s="956"/>
      <c r="T159" s="953"/>
      <c r="U159" s="862"/>
      <c r="V159" s="862"/>
      <c r="W159" s="863"/>
      <c r="X159" s="863"/>
      <c r="Y159" s="863"/>
      <c r="Z159" s="863"/>
      <c r="AA159" s="864"/>
      <c r="AB159" s="865"/>
      <c r="AC159" s="2373"/>
      <c r="AD159" s="866"/>
      <c r="AE159" s="867"/>
      <c r="AF159" s="867"/>
      <c r="AG159" s="868"/>
      <c r="AH159" s="869"/>
      <c r="AI159" s="862"/>
      <c r="AJ159" s="862"/>
      <c r="AK159" s="862"/>
      <c r="AL159" s="862"/>
      <c r="AM159" s="862"/>
      <c r="AN159" s="862"/>
      <c r="AO159" s="862"/>
      <c r="AP159" s="862"/>
      <c r="AQ159" s="862"/>
      <c r="AR159" s="862"/>
      <c r="AS159" s="862"/>
      <c r="AT159" s="862"/>
      <c r="AU159" s="862"/>
      <c r="AV159" s="862"/>
      <c r="AW159" s="862"/>
      <c r="AX159" s="862"/>
      <c r="AY159" s="862"/>
      <c r="AZ159" s="862"/>
      <c r="BA159" s="862"/>
      <c r="BB159" s="862"/>
      <c r="BC159" s="862"/>
      <c r="BD159" s="862"/>
      <c r="BE159" s="862"/>
      <c r="BF159" s="862"/>
      <c r="BG159" s="862"/>
      <c r="BH159" s="862"/>
      <c r="BI159" s="862"/>
      <c r="BJ159" s="862"/>
      <c r="BK159" s="862"/>
      <c r="BL159" s="862"/>
      <c r="BM159" s="862"/>
      <c r="BN159" s="862"/>
      <c r="BO159" s="862"/>
      <c r="BP159" s="862"/>
      <c r="BQ159" s="862"/>
      <c r="BR159" s="862"/>
      <c r="BS159" s="862"/>
      <c r="BT159" s="862"/>
      <c r="BU159" s="862"/>
      <c r="BV159" s="863"/>
      <c r="BW159" s="863"/>
      <c r="BX159" s="863"/>
      <c r="BY159" s="863"/>
      <c r="BZ159" s="863"/>
      <c r="CA159" s="863"/>
      <c r="CB159" s="863"/>
      <c r="CC159" s="863"/>
      <c r="CD159" s="863"/>
      <c r="CE159" s="863"/>
    </row>
    <row customHeight="1" ht="15" hidden="1">
      <c r="A160" s="860"/>
      <c r="B160" s="861"/>
      <c r="C160" s="861"/>
      <c r="D160" s="2391"/>
      <c r="E160" s="2374" t="s">
        <v>1477</v>
      </c>
      <c r="F160" s="2375"/>
      <c r="G160" s="2376"/>
      <c r="H160" s="2377" t="str">
        <f>IF(A158="","",INDEX(DIFFERENTIATION_UNMERGE_SYSTEM,MATCH(A158,DIFFERENTIATION_ID_DIFF,0)))</f>
        <v>ПНС№2, ул.Репина,3</v>
      </c>
      <c r="I160" s="2377"/>
      <c r="J160" s="2377"/>
      <c r="K160" s="2377"/>
      <c r="L160" s="2377"/>
      <c r="M160" s="2377"/>
      <c r="N160" s="2377"/>
      <c r="O160" s="2377"/>
      <c r="P160" s="2377"/>
      <c r="Q160" s="2377"/>
      <c r="R160" s="2377"/>
      <c r="S160" s="956"/>
      <c r="T160" s="953"/>
      <c r="U160" s="862"/>
      <c r="V160" s="862"/>
      <c r="W160" s="863"/>
      <c r="X160" s="863"/>
      <c r="Y160" s="863"/>
      <c r="Z160" s="863"/>
      <c r="AA160" s="864"/>
      <c r="AB160" s="865"/>
      <c r="AC160" s="2373"/>
      <c r="AD160" s="866"/>
      <c r="AE160" s="867"/>
      <c r="AF160" s="867"/>
      <c r="AG160" s="868"/>
      <c r="AH160" s="869"/>
      <c r="AI160" s="862"/>
      <c r="AJ160" s="862"/>
      <c r="AK160" s="862"/>
      <c r="AL160" s="862"/>
      <c r="AM160" s="862"/>
      <c r="AN160" s="862"/>
      <c r="AO160" s="862"/>
      <c r="AP160" s="862"/>
      <c r="AQ160" s="862"/>
      <c r="AR160" s="862"/>
      <c r="AS160" s="862"/>
      <c r="AT160" s="862"/>
      <c r="AU160" s="862"/>
      <c r="AV160" s="862"/>
      <c r="AW160" s="862"/>
      <c r="AX160" s="862"/>
      <c r="AY160" s="862"/>
      <c r="AZ160" s="862"/>
      <c r="BA160" s="862"/>
      <c r="BB160" s="862"/>
      <c r="BC160" s="862"/>
      <c r="BD160" s="862"/>
      <c r="BE160" s="862"/>
      <c r="BF160" s="862"/>
      <c r="BG160" s="862"/>
      <c r="BH160" s="862"/>
      <c r="BI160" s="862"/>
      <c r="BJ160" s="862"/>
      <c r="BK160" s="862"/>
      <c r="BL160" s="862"/>
      <c r="BM160" s="862"/>
      <c r="BN160" s="862"/>
      <c r="BO160" s="862"/>
      <c r="BP160" s="862"/>
      <c r="BQ160" s="862"/>
      <c r="BR160" s="862"/>
      <c r="BS160" s="862"/>
      <c r="BT160" s="862"/>
      <c r="BU160" s="862"/>
      <c r="BV160" s="863"/>
      <c r="BW160" s="863"/>
      <c r="BX160" s="863"/>
      <c r="BY160" s="863"/>
      <c r="BZ160" s="863"/>
      <c r="CA160" s="863"/>
      <c r="CB160" s="863"/>
      <c r="CC160" s="863"/>
      <c r="CD160" s="863"/>
      <c r="CE160" s="863"/>
    </row>
    <row customHeight="1" ht="24.75" hidden="1">
      <c r="A161" s="870"/>
      <c r="B161" s="653"/>
      <c r="C161" s="648"/>
      <c r="D161" s="2391"/>
      <c r="E161" s="2388" t="s">
        <v>1478</v>
      </c>
      <c r="F161" s="2388"/>
      <c r="G161" s="2388"/>
      <c r="H161" s="2388"/>
      <c r="I161" s="2388"/>
      <c r="J161" s="2388"/>
      <c r="K161" s="2388"/>
      <c r="L161" s="2388"/>
      <c r="M161" s="2388"/>
      <c r="N161" s="2388"/>
      <c r="O161" s="2388"/>
      <c r="P161" s="2388"/>
      <c r="Q161" s="795">
        <f>SUMIF(T162:T163,"i",Q162:Q163)</f>
        <v>0</v>
      </c>
      <c r="R161" s="1273"/>
      <c r="S161" s="1278" t="s">
        <v>1479</v>
      </c>
      <c r="T161" s="954" t="s">
        <v>1480</v>
      </c>
      <c r="U161" s="2389">
        <v>1</v>
      </c>
      <c r="V161" s="2389" t="s">
        <v>1481</v>
      </c>
      <c r="W161" s="653"/>
      <c r="X161" s="653"/>
      <c r="Y161" s="653"/>
      <c r="Z161" s="653"/>
      <c r="AA161" s="748"/>
      <c r="AB161" s="653"/>
      <c r="AC161" s="2373"/>
      <c r="AD161" s="866"/>
      <c r="AE161" s="653"/>
      <c r="AF161" s="653"/>
      <c r="AG161" s="748"/>
      <c r="AH161" s="748"/>
      <c r="AI161" s="748"/>
      <c r="AJ161" s="748"/>
      <c r="AK161" s="748"/>
      <c r="AL161" s="748"/>
      <c r="AM161" s="748"/>
      <c r="AN161" s="748"/>
      <c r="AO161" s="748"/>
      <c r="AP161" s="748"/>
      <c r="AQ161" s="748"/>
      <c r="AR161" s="748"/>
      <c r="AS161" s="748"/>
      <c r="AT161" s="748"/>
      <c r="AU161" s="748"/>
      <c r="AV161" s="748"/>
      <c r="AW161" s="748"/>
      <c r="AX161" s="748"/>
      <c r="AY161" s="748"/>
      <c r="AZ161" s="748"/>
      <c r="BA161" s="748"/>
      <c r="BB161" s="748"/>
      <c r="BC161" s="748"/>
      <c r="BD161" s="748"/>
      <c r="BE161" s="748"/>
      <c r="BF161" s="748"/>
      <c r="BG161" s="748"/>
      <c r="BH161" s="748"/>
      <c r="BI161" s="748"/>
      <c r="BJ161" s="748"/>
      <c r="BK161" s="748"/>
      <c r="BL161" s="748"/>
      <c r="BM161" s="748"/>
      <c r="BN161" s="748"/>
      <c r="BO161" s="748"/>
      <c r="BP161" s="748"/>
      <c r="BQ161" s="748"/>
      <c r="BR161" s="748"/>
      <c r="BS161" s="748"/>
      <c r="BT161" s="748"/>
      <c r="BU161" s="748"/>
      <c r="BV161" s="653"/>
      <c r="BW161" s="653"/>
      <c r="BX161" s="653"/>
      <c r="BY161" s="653"/>
      <c r="BZ161" s="653"/>
      <c r="CA161" s="653"/>
      <c r="CB161" s="653"/>
      <c r="CC161" s="653"/>
      <c r="CD161" s="653"/>
      <c r="CE161" s="653"/>
    </row>
    <row customHeight="1" ht="11.25" hidden="1">
      <c r="A162" s="1277"/>
      <c r="B162" s="748"/>
      <c r="C162" s="748"/>
      <c r="D162" s="2391"/>
      <c r="E162" s="872"/>
      <c r="F162" s="872">
        <v>0</v>
      </c>
      <c r="G162" s="872"/>
      <c r="H162" s="872"/>
      <c r="I162" s="872"/>
      <c r="J162" s="872"/>
      <c r="K162" s="872"/>
      <c r="L162" s="872"/>
      <c r="M162" s="872"/>
      <c r="N162" s="872"/>
      <c r="O162" s="872"/>
      <c r="P162" s="872"/>
      <c r="Q162" s="872"/>
      <c r="R162" s="872"/>
      <c r="S162" s="873"/>
      <c r="T162" s="955"/>
      <c r="U162" s="2389"/>
      <c r="V162" s="2389"/>
      <c r="W162" s="748"/>
      <c r="X162" s="748"/>
      <c r="Y162" s="748"/>
      <c r="Z162" s="748"/>
      <c r="AA162" s="748"/>
      <c r="AB162" s="653"/>
      <c r="AC162" s="2373"/>
      <c r="AD162" s="866"/>
      <c r="AE162" s="653"/>
      <c r="AF162" s="653"/>
      <c r="AG162" s="748"/>
      <c r="AH162" s="748"/>
      <c r="AI162" s="748"/>
      <c r="AJ162" s="748"/>
      <c r="AK162" s="748"/>
      <c r="AL162" s="748"/>
      <c r="AM162" s="748"/>
      <c r="AN162" s="748"/>
      <c r="AO162" s="748"/>
      <c r="AP162" s="748"/>
      <c r="AQ162" s="748"/>
      <c r="AR162" s="748"/>
      <c r="AS162" s="748"/>
      <c r="AT162" s="748"/>
      <c r="AU162" s="748"/>
      <c r="AV162" s="748"/>
      <c r="AW162" s="748"/>
      <c r="AX162" s="748"/>
      <c r="AY162" s="748"/>
      <c r="AZ162" s="748"/>
      <c r="BA162" s="748"/>
      <c r="BB162" s="748"/>
      <c r="BC162" s="748"/>
      <c r="BD162" s="748"/>
      <c r="BE162" s="748"/>
      <c r="BF162" s="748"/>
      <c r="BG162" s="748"/>
      <c r="BH162" s="748"/>
      <c r="BI162" s="748"/>
      <c r="BJ162" s="748"/>
      <c r="BK162" s="748"/>
      <c r="BL162" s="748"/>
      <c r="BM162" s="748"/>
      <c r="BN162" s="748"/>
      <c r="BO162" s="748"/>
      <c r="BP162" s="748"/>
      <c r="BQ162" s="748"/>
      <c r="BR162" s="748"/>
      <c r="BS162" s="748"/>
      <c r="BT162" s="748"/>
      <c r="BU162" s="748"/>
      <c r="BV162" s="748"/>
      <c r="BW162" s="748"/>
      <c r="BX162" s="748"/>
      <c r="BY162" s="748"/>
      <c r="BZ162" s="748"/>
      <c r="CA162" s="748"/>
      <c r="CB162" s="748"/>
      <c r="CC162" s="748"/>
      <c r="CD162" s="748"/>
      <c r="CE162" s="748"/>
    </row>
    <row customHeight="1" ht="11.25" hidden="1">
      <c r="A163" s="870"/>
      <c r="B163" s="653"/>
      <c r="C163" s="648"/>
      <c r="D163" s="2391"/>
      <c r="E163" s="886" t="s">
        <v>17</v>
      </c>
      <c r="F163" s="887" t="s">
        <v>17</v>
      </c>
      <c r="G163" s="887" t="s">
        <v>1482</v>
      </c>
      <c r="H163" s="888" t="s">
        <v>17</v>
      </c>
      <c r="I163" s="888"/>
      <c r="J163" s="888"/>
      <c r="K163" s="888"/>
      <c r="L163" s="888"/>
      <c r="M163" s="888"/>
      <c r="N163" s="888"/>
      <c r="O163" s="888"/>
      <c r="P163" s="888"/>
      <c r="Q163" s="888"/>
      <c r="R163" s="889"/>
      <c r="S163" s="890"/>
      <c r="T163" s="955"/>
      <c r="U163" s="2389"/>
      <c r="V163" s="2389"/>
      <c r="W163" s="653"/>
      <c r="X163" s="653"/>
      <c r="Y163" s="653"/>
      <c r="Z163" s="653"/>
      <c r="AA163" s="748"/>
      <c r="AB163" s="653"/>
      <c r="AC163" s="2373"/>
      <c r="AD163" s="866"/>
      <c r="AE163" s="653"/>
      <c r="AF163" s="653"/>
      <c r="AG163" s="748"/>
      <c r="AH163" s="748"/>
      <c r="AI163" s="748"/>
      <c r="AJ163" s="748"/>
      <c r="AK163" s="748"/>
      <c r="AL163" s="748"/>
      <c r="AM163" s="748"/>
      <c r="AN163" s="748"/>
      <c r="AO163" s="748"/>
      <c r="AP163" s="748"/>
      <c r="AQ163" s="748"/>
      <c r="AR163" s="748"/>
      <c r="AS163" s="748"/>
      <c r="AT163" s="748"/>
      <c r="AU163" s="748"/>
      <c r="AV163" s="748"/>
      <c r="AW163" s="748"/>
      <c r="AX163" s="748"/>
      <c r="AY163" s="748"/>
      <c r="AZ163" s="748"/>
      <c r="BA163" s="748"/>
      <c r="BB163" s="748"/>
      <c r="BC163" s="748"/>
      <c r="BD163" s="748"/>
      <c r="BE163" s="748"/>
      <c r="BF163" s="748"/>
      <c r="BG163" s="748"/>
      <c r="BH163" s="748"/>
      <c r="BI163" s="748"/>
      <c r="BJ163" s="748"/>
      <c r="BK163" s="748"/>
      <c r="BL163" s="748"/>
      <c r="BM163" s="748"/>
      <c r="BN163" s="748"/>
      <c r="BO163" s="748"/>
      <c r="BP163" s="748"/>
      <c r="BQ163" s="748"/>
      <c r="BR163" s="748"/>
      <c r="BS163" s="748"/>
      <c r="BT163" s="748"/>
      <c r="BU163" s="748"/>
      <c r="BV163" s="653"/>
      <c r="BW163" s="653"/>
      <c r="BX163" s="653"/>
      <c r="BY163" s="653"/>
      <c r="BZ163" s="653"/>
      <c r="CA163" s="653"/>
      <c r="CB163" s="653"/>
      <c r="CC163" s="653"/>
      <c r="CD163" s="653"/>
      <c r="CE163" s="653"/>
    </row>
    <row customHeight="1" ht="5.25" hidden="1">
      <c r="A164" s="1277"/>
      <c r="B164" s="748"/>
      <c r="C164" s="748"/>
      <c r="D164" s="2391"/>
      <c r="E164" s="1297"/>
      <c r="F164" s="1297"/>
      <c r="G164" s="1297"/>
      <c r="H164" s="1297"/>
      <c r="I164" s="1297"/>
      <c r="J164" s="1297"/>
      <c r="K164" s="1297"/>
      <c r="L164" s="1297"/>
      <c r="M164" s="1297"/>
      <c r="N164" s="1297"/>
      <c r="O164" s="1297"/>
      <c r="P164" s="1297"/>
      <c r="Q164" s="1298"/>
      <c r="R164" s="1299"/>
      <c r="S164" s="1300"/>
      <c r="T164" s="954" t="s">
        <v>1480</v>
      </c>
      <c r="U164" s="2389">
        <v>1</v>
      </c>
      <c r="V164" s="2389" t="s">
        <v>1481</v>
      </c>
      <c r="W164" s="748"/>
      <c r="X164" s="748"/>
      <c r="Y164" s="748"/>
      <c r="Z164" s="748"/>
      <c r="AA164" s="748"/>
      <c r="AB164" s="748"/>
      <c r="AC164" s="1295"/>
      <c r="AD164" s="1296"/>
      <c r="AE164" s="748"/>
      <c r="AF164" s="748"/>
      <c r="AG164" s="748"/>
      <c r="AH164" s="748"/>
      <c r="AI164" s="748"/>
      <c r="AJ164" s="748"/>
      <c r="AK164" s="748"/>
      <c r="AL164" s="748"/>
      <c r="AM164" s="748"/>
      <c r="AN164" s="748"/>
      <c r="AO164" s="748"/>
      <c r="AP164" s="748"/>
      <c r="AQ164" s="748"/>
      <c r="AR164" s="748"/>
      <c r="AS164" s="748"/>
      <c r="AT164" s="748"/>
      <c r="AU164" s="748"/>
      <c r="AV164" s="748"/>
      <c r="AW164" s="748"/>
      <c r="AX164" s="748"/>
      <c r="AY164" s="748"/>
      <c r="AZ164" s="748"/>
      <c r="BA164" s="748"/>
      <c r="BB164" s="748"/>
      <c r="BC164" s="748"/>
      <c r="BD164" s="748"/>
      <c r="BE164" s="748"/>
      <c r="BF164" s="748"/>
      <c r="BG164" s="748"/>
      <c r="BH164" s="748"/>
      <c r="BI164" s="748"/>
      <c r="BJ164" s="748"/>
      <c r="BK164" s="748"/>
      <c r="BL164" s="748"/>
      <c r="BM164" s="748"/>
      <c r="BN164" s="748"/>
      <c r="BO164" s="748"/>
      <c r="BP164" s="748"/>
      <c r="BQ164" s="748"/>
      <c r="BR164" s="748"/>
      <c r="BS164" s="748"/>
      <c r="BT164" s="748"/>
      <c r="BU164" s="748"/>
      <c r="BV164" s="748"/>
      <c r="BW164" s="748"/>
      <c r="BX164" s="748"/>
      <c r="BY164" s="748"/>
      <c r="BZ164" s="748"/>
      <c r="CA164" s="748"/>
      <c r="CB164" s="748"/>
      <c r="CC164" s="748"/>
      <c r="CD164" s="748"/>
      <c r="CE164" s="748"/>
    </row>
    <row customHeight="1" ht="5.25" hidden="1">
      <c r="A165" s="1277"/>
      <c r="B165" s="748"/>
      <c r="C165" s="748"/>
      <c r="D165" s="2391"/>
      <c r="E165" s="872"/>
      <c r="F165" s="872"/>
      <c r="G165" s="872"/>
      <c r="H165" s="872"/>
      <c r="I165" s="872"/>
      <c r="J165" s="872"/>
      <c r="K165" s="872"/>
      <c r="L165" s="872"/>
      <c r="M165" s="872"/>
      <c r="N165" s="872"/>
      <c r="O165" s="872"/>
      <c r="P165" s="872"/>
      <c r="Q165" s="872"/>
      <c r="R165" s="872"/>
      <c r="S165" s="873"/>
      <c r="T165" s="955"/>
      <c r="U165" s="2389"/>
      <c r="V165" s="2389"/>
      <c r="W165" s="748"/>
      <c r="X165" s="748"/>
      <c r="Y165" s="748"/>
      <c r="Z165" s="748"/>
      <c r="AA165" s="748"/>
      <c r="AB165" s="748"/>
      <c r="AC165" s="1295"/>
      <c r="AD165" s="1296"/>
      <c r="AE165" s="748"/>
      <c r="AF165" s="748"/>
      <c r="AG165" s="748"/>
      <c r="AH165" s="748"/>
      <c r="AI165" s="748"/>
      <c r="AJ165" s="748"/>
      <c r="AK165" s="748"/>
      <c r="AL165" s="748"/>
      <c r="AM165" s="748"/>
      <c r="AN165" s="748"/>
      <c r="AO165" s="748"/>
      <c r="AP165" s="748"/>
      <c r="AQ165" s="748"/>
      <c r="AR165" s="748"/>
      <c r="AS165" s="748"/>
      <c r="AT165" s="748"/>
      <c r="AU165" s="748"/>
      <c r="AV165" s="748"/>
      <c r="AW165" s="748"/>
      <c r="AX165" s="748"/>
      <c r="AY165" s="748"/>
      <c r="AZ165" s="748"/>
      <c r="BA165" s="748"/>
      <c r="BB165" s="748"/>
      <c r="BC165" s="748"/>
      <c r="BD165" s="748"/>
      <c r="BE165" s="748"/>
      <c r="BF165" s="748"/>
      <c r="BG165" s="748"/>
      <c r="BH165" s="748"/>
      <c r="BI165" s="748"/>
      <c r="BJ165" s="748"/>
      <c r="BK165" s="748"/>
      <c r="BL165" s="748"/>
      <c r="BM165" s="748"/>
      <c r="BN165" s="748"/>
      <c r="BO165" s="748"/>
      <c r="BP165" s="748"/>
      <c r="BQ165" s="748"/>
      <c r="BR165" s="748"/>
      <c r="BS165" s="748"/>
      <c r="BT165" s="748"/>
      <c r="BU165" s="748"/>
      <c r="BV165" s="748"/>
      <c r="BW165" s="748"/>
      <c r="BX165" s="748"/>
      <c r="BY165" s="748"/>
      <c r="BZ165" s="748"/>
      <c r="CA165" s="748"/>
      <c r="CB165" s="748"/>
      <c r="CC165" s="748"/>
      <c r="CD165" s="748"/>
      <c r="CE165" s="748"/>
    </row>
    <row customHeight="1" ht="5.25" hidden="1">
      <c r="A166" s="1277"/>
      <c r="B166" s="748"/>
      <c r="C166" s="748"/>
      <c r="D166" s="2392"/>
      <c r="E166" s="1301"/>
      <c r="F166" s="1302"/>
      <c r="G166" s="1302"/>
      <c r="H166" s="1303"/>
      <c r="I166" s="1303"/>
      <c r="J166" s="1303"/>
      <c r="K166" s="1303"/>
      <c r="L166" s="1303"/>
      <c r="M166" s="1303"/>
      <c r="N166" s="1303"/>
      <c r="O166" s="1303"/>
      <c r="P166" s="1303"/>
      <c r="Q166" s="1303"/>
      <c r="R166" s="1202"/>
      <c r="S166" s="1304"/>
      <c r="T166" s="955"/>
      <c r="U166" s="2389"/>
      <c r="V166" s="2389"/>
      <c r="W166" s="748"/>
      <c r="X166" s="748"/>
      <c r="Y166" s="748"/>
      <c r="Z166" s="748"/>
      <c r="AA166" s="748"/>
      <c r="AB166" s="748"/>
      <c r="AC166" s="1295"/>
      <c r="AD166" s="1296"/>
      <c r="AE166" s="748"/>
      <c r="AF166" s="748"/>
      <c r="AG166" s="748"/>
      <c r="AH166" s="748"/>
      <c r="AI166" s="748"/>
      <c r="AJ166" s="748"/>
      <c r="AK166" s="748"/>
      <c r="AL166" s="748"/>
      <c r="AM166" s="748"/>
      <c r="AN166" s="748"/>
      <c r="AO166" s="748"/>
      <c r="AP166" s="748"/>
      <c r="AQ166" s="748"/>
      <c r="AR166" s="748"/>
      <c r="AS166" s="748"/>
      <c r="AT166" s="748"/>
      <c r="AU166" s="748"/>
      <c r="AV166" s="748"/>
      <c r="AW166" s="748"/>
      <c r="AX166" s="748"/>
      <c r="AY166" s="748"/>
      <c r="AZ166" s="748"/>
      <c r="BA166" s="748"/>
      <c r="BB166" s="748"/>
      <c r="BC166" s="748"/>
      <c r="BD166" s="748"/>
      <c r="BE166" s="748"/>
      <c r="BF166" s="748"/>
      <c r="BG166" s="748"/>
      <c r="BH166" s="748"/>
      <c r="BI166" s="748"/>
      <c r="BJ166" s="748"/>
      <c r="BK166" s="748"/>
      <c r="BL166" s="748"/>
      <c r="BM166" s="748"/>
      <c r="BN166" s="748"/>
      <c r="BO166" s="748"/>
      <c r="BP166" s="748"/>
      <c r="BQ166" s="748"/>
      <c r="BR166" s="748"/>
      <c r="BS166" s="748"/>
      <c r="BT166" s="748"/>
      <c r="BU166" s="748"/>
      <c r="BV166" s="748"/>
      <c r="BW166" s="748"/>
      <c r="BX166" s="748"/>
      <c r="BY166" s="748"/>
      <c r="BZ166" s="748"/>
      <c r="CA166" s="748"/>
      <c r="CB166" s="748"/>
      <c r="CC166" s="748"/>
      <c r="CD166" s="748"/>
      <c r="CE166" s="748"/>
    </row>
    <row customHeight="1" ht="15" hidden="1">
      <c r="A167" s="860" t="s">
        <v>165</v>
      </c>
      <c r="B167" s="861"/>
      <c r="C167" s="861" t="s">
        <v>17</v>
      </c>
      <c r="D167" s="2390" t="s">
        <v>1826</v>
      </c>
      <c r="E167" s="2374" t="s">
        <v>105</v>
      </c>
      <c r="F167" s="2375"/>
      <c r="G167" s="2376"/>
      <c r="H167" s="2377" t="str">
        <f>IF(A167="","",INDEX(DIFFERENTIATION_UNMERGE_VD,MATCH(A167,DIFFERENTIATION_ID_DIFF,0)))</f>
        <v>Производство тепловой энергии. Некомбинированная выработка</v>
      </c>
      <c r="I167" s="2377"/>
      <c r="J167" s="2377"/>
      <c r="K167" s="2377"/>
      <c r="L167" s="2377"/>
      <c r="M167" s="2377"/>
      <c r="N167" s="2377"/>
      <c r="O167" s="2377"/>
      <c r="P167" s="2377"/>
      <c r="Q167" s="2377"/>
      <c r="R167" s="2377"/>
      <c r="S167" s="956"/>
      <c r="T167" s="953"/>
      <c r="U167" s="862"/>
      <c r="V167" s="862"/>
      <c r="W167" s="863"/>
      <c r="X167" s="863"/>
      <c r="Y167" s="863"/>
      <c r="Z167" s="863"/>
      <c r="AA167" s="864"/>
      <c r="AB167" s="865"/>
      <c r="AC167" s="2373"/>
      <c r="AD167" s="866"/>
      <c r="AE167" s="867" t="s">
        <v>17</v>
      </c>
      <c r="AF167" s="867"/>
      <c r="AG167" s="868" t="s">
        <v>1475</v>
      </c>
      <c r="AH167" s="869">
        <v>3</v>
      </c>
      <c r="AI167" s="862"/>
      <c r="AJ167" s="862"/>
      <c r="AK167" s="862"/>
      <c r="AL167" s="862"/>
      <c r="AM167" s="862"/>
      <c r="AN167" s="862"/>
      <c r="AO167" s="862"/>
      <c r="AP167" s="862"/>
      <c r="AQ167" s="862"/>
      <c r="AR167" s="862"/>
      <c r="AS167" s="862"/>
      <c r="AT167" s="862"/>
      <c r="AU167" s="862"/>
      <c r="AV167" s="862"/>
      <c r="AW167" s="862"/>
      <c r="AX167" s="862"/>
      <c r="AY167" s="862"/>
      <c r="AZ167" s="862"/>
      <c r="BA167" s="862"/>
      <c r="BB167" s="862"/>
      <c r="BC167" s="862"/>
      <c r="BD167" s="862"/>
      <c r="BE167" s="862"/>
      <c r="BF167" s="862"/>
      <c r="BG167" s="862"/>
      <c r="BH167" s="862"/>
      <c r="BI167" s="862"/>
      <c r="BJ167" s="862"/>
      <c r="BK167" s="862"/>
      <c r="BL167" s="862"/>
      <c r="BM167" s="862"/>
      <c r="BN167" s="862"/>
      <c r="BO167" s="862"/>
      <c r="BP167" s="862"/>
      <c r="BQ167" s="862"/>
      <c r="BR167" s="862"/>
      <c r="BS167" s="862"/>
      <c r="BT167" s="862"/>
      <c r="BU167" s="862"/>
      <c r="BV167" s="863"/>
      <c r="BW167" s="863"/>
      <c r="BX167" s="863"/>
      <c r="BY167" s="863"/>
      <c r="BZ167" s="863"/>
      <c r="CA167" s="863"/>
      <c r="CB167" s="863"/>
      <c r="CC167" s="863"/>
      <c r="CD167" s="863"/>
      <c r="CE167" s="863"/>
    </row>
    <row customHeight="1" ht="15" hidden="1">
      <c r="A168" s="860"/>
      <c r="B168" s="861"/>
      <c r="C168" s="861"/>
      <c r="D168" s="2391"/>
      <c r="E168" s="2374" t="s">
        <v>1476</v>
      </c>
      <c r="F168" s="2375"/>
      <c r="G168" s="2376"/>
      <c r="H168" s="2377" t="str">
        <f>IF(A167="","",INDEX(DIFFERENTIATION_UNMERGE_AREA,MATCH(A167,DIFFERENTIATION_ID_DIFF,0)))</f>
        <v>Территория 1</v>
      </c>
      <c r="I168" s="2377"/>
      <c r="J168" s="2377"/>
      <c r="K168" s="2377"/>
      <c r="L168" s="2377"/>
      <c r="M168" s="2377"/>
      <c r="N168" s="2377"/>
      <c r="O168" s="2377"/>
      <c r="P168" s="2377"/>
      <c r="Q168" s="2377"/>
      <c r="R168" s="2377"/>
      <c r="S168" s="956"/>
      <c r="T168" s="953"/>
      <c r="U168" s="862"/>
      <c r="V168" s="862"/>
      <c r="W168" s="863"/>
      <c r="X168" s="863"/>
      <c r="Y168" s="863"/>
      <c r="Z168" s="863"/>
      <c r="AA168" s="864"/>
      <c r="AB168" s="865"/>
      <c r="AC168" s="2373"/>
      <c r="AD168" s="866"/>
      <c r="AE168" s="867"/>
      <c r="AF168" s="867"/>
      <c r="AG168" s="868"/>
      <c r="AH168" s="869"/>
      <c r="AI168" s="862"/>
      <c r="AJ168" s="862"/>
      <c r="AK168" s="862"/>
      <c r="AL168" s="862"/>
      <c r="AM168" s="862"/>
      <c r="AN168" s="862"/>
      <c r="AO168" s="862"/>
      <c r="AP168" s="862"/>
      <c r="AQ168" s="862"/>
      <c r="AR168" s="862"/>
      <c r="AS168" s="862"/>
      <c r="AT168" s="862"/>
      <c r="AU168" s="862"/>
      <c r="AV168" s="862"/>
      <c r="AW168" s="862"/>
      <c r="AX168" s="862"/>
      <c r="AY168" s="862"/>
      <c r="AZ168" s="862"/>
      <c r="BA168" s="862"/>
      <c r="BB168" s="862"/>
      <c r="BC168" s="862"/>
      <c r="BD168" s="862"/>
      <c r="BE168" s="862"/>
      <c r="BF168" s="862"/>
      <c r="BG168" s="862"/>
      <c r="BH168" s="862"/>
      <c r="BI168" s="862"/>
      <c r="BJ168" s="862"/>
      <c r="BK168" s="862"/>
      <c r="BL168" s="862"/>
      <c r="BM168" s="862"/>
      <c r="BN168" s="862"/>
      <c r="BO168" s="862"/>
      <c r="BP168" s="862"/>
      <c r="BQ168" s="862"/>
      <c r="BR168" s="862"/>
      <c r="BS168" s="862"/>
      <c r="BT168" s="862"/>
      <c r="BU168" s="862"/>
      <c r="BV168" s="863"/>
      <c r="BW168" s="863"/>
      <c r="BX168" s="863"/>
      <c r="BY168" s="863"/>
      <c r="BZ168" s="863"/>
      <c r="CA168" s="863"/>
      <c r="CB168" s="863"/>
      <c r="CC168" s="863"/>
      <c r="CD168" s="863"/>
      <c r="CE168" s="863"/>
    </row>
    <row customHeight="1" ht="15" hidden="1">
      <c r="A169" s="860"/>
      <c r="B169" s="861"/>
      <c r="C169" s="861"/>
      <c r="D169" s="2391"/>
      <c r="E169" s="2374" t="s">
        <v>1477</v>
      </c>
      <c r="F169" s="2375"/>
      <c r="G169" s="2376"/>
      <c r="H169" s="2377" t="str">
        <f>IF(A167="","",INDEX(DIFFERENTIATION_UNMERGE_SYSTEM,MATCH(A167,DIFFERENTIATION_ID_DIFF,0)))</f>
        <v>Котельная №14, ул.Радиозаводская</v>
      </c>
      <c r="I169" s="2377"/>
      <c r="J169" s="2377"/>
      <c r="K169" s="2377"/>
      <c r="L169" s="2377"/>
      <c r="M169" s="2377"/>
      <c r="N169" s="2377"/>
      <c r="O169" s="2377"/>
      <c r="P169" s="2377"/>
      <c r="Q169" s="2377"/>
      <c r="R169" s="2377"/>
      <c r="S169" s="956"/>
      <c r="T169" s="953"/>
      <c r="U169" s="862"/>
      <c r="V169" s="862"/>
      <c r="W169" s="863"/>
      <c r="X169" s="863"/>
      <c r="Y169" s="863"/>
      <c r="Z169" s="863"/>
      <c r="AA169" s="864"/>
      <c r="AB169" s="865"/>
      <c r="AC169" s="2373"/>
      <c r="AD169" s="866"/>
      <c r="AE169" s="867"/>
      <c r="AF169" s="867"/>
      <c r="AG169" s="868"/>
      <c r="AH169" s="869"/>
      <c r="AI169" s="862"/>
      <c r="AJ169" s="862"/>
      <c r="AK169" s="862"/>
      <c r="AL169" s="862"/>
      <c r="AM169" s="862"/>
      <c r="AN169" s="862"/>
      <c r="AO169" s="862"/>
      <c r="AP169" s="862"/>
      <c r="AQ169" s="862"/>
      <c r="AR169" s="862"/>
      <c r="AS169" s="862"/>
      <c r="AT169" s="862"/>
      <c r="AU169" s="862"/>
      <c r="AV169" s="862"/>
      <c r="AW169" s="862"/>
      <c r="AX169" s="862"/>
      <c r="AY169" s="862"/>
      <c r="AZ169" s="862"/>
      <c r="BA169" s="862"/>
      <c r="BB169" s="862"/>
      <c r="BC169" s="862"/>
      <c r="BD169" s="862"/>
      <c r="BE169" s="862"/>
      <c r="BF169" s="862"/>
      <c r="BG169" s="862"/>
      <c r="BH169" s="862"/>
      <c r="BI169" s="862"/>
      <c r="BJ169" s="862"/>
      <c r="BK169" s="862"/>
      <c r="BL169" s="862"/>
      <c r="BM169" s="862"/>
      <c r="BN169" s="862"/>
      <c r="BO169" s="862"/>
      <c r="BP169" s="862"/>
      <c r="BQ169" s="862"/>
      <c r="BR169" s="862"/>
      <c r="BS169" s="862"/>
      <c r="BT169" s="862"/>
      <c r="BU169" s="862"/>
      <c r="BV169" s="863"/>
      <c r="BW169" s="863"/>
      <c r="BX169" s="863"/>
      <c r="BY169" s="863"/>
      <c r="BZ169" s="863"/>
      <c r="CA169" s="863"/>
      <c r="CB169" s="863"/>
      <c r="CC169" s="863"/>
      <c r="CD169" s="863"/>
      <c r="CE169" s="863"/>
    </row>
    <row customHeight="1" ht="24.75" hidden="1">
      <c r="A170" s="870"/>
      <c r="B170" s="653"/>
      <c r="C170" s="648"/>
      <c r="D170" s="2391"/>
      <c r="E170" s="2388" t="s">
        <v>1478</v>
      </c>
      <c r="F170" s="2388"/>
      <c r="G170" s="2388"/>
      <c r="H170" s="2388"/>
      <c r="I170" s="2388"/>
      <c r="J170" s="2388"/>
      <c r="K170" s="2388"/>
      <c r="L170" s="2388"/>
      <c r="M170" s="2388"/>
      <c r="N170" s="2388"/>
      <c r="O170" s="2388"/>
      <c r="P170" s="2388"/>
      <c r="Q170" s="795">
        <f>SUMIF(T171:T172,"i",Q171:Q172)</f>
        <v>0</v>
      </c>
      <c r="R170" s="1273"/>
      <c r="S170" s="1278" t="s">
        <v>1479</v>
      </c>
      <c r="T170" s="954" t="s">
        <v>1480</v>
      </c>
      <c r="U170" s="2389">
        <v>1</v>
      </c>
      <c r="V170" s="2389" t="s">
        <v>1481</v>
      </c>
      <c r="W170" s="653"/>
      <c r="X170" s="653"/>
      <c r="Y170" s="653"/>
      <c r="Z170" s="653"/>
      <c r="AA170" s="748"/>
      <c r="AB170" s="653"/>
      <c r="AC170" s="2373"/>
      <c r="AD170" s="866"/>
      <c r="AE170" s="653"/>
      <c r="AF170" s="653"/>
      <c r="AG170" s="748"/>
      <c r="AH170" s="748"/>
      <c r="AI170" s="748"/>
      <c r="AJ170" s="748"/>
      <c r="AK170" s="748"/>
      <c r="AL170" s="748"/>
      <c r="AM170" s="748"/>
      <c r="AN170" s="748"/>
      <c r="AO170" s="748"/>
      <c r="AP170" s="748"/>
      <c r="AQ170" s="748"/>
      <c r="AR170" s="748"/>
      <c r="AS170" s="748"/>
      <c r="AT170" s="748"/>
      <c r="AU170" s="748"/>
      <c r="AV170" s="748"/>
      <c r="AW170" s="748"/>
      <c r="AX170" s="748"/>
      <c r="AY170" s="748"/>
      <c r="AZ170" s="748"/>
      <c r="BA170" s="748"/>
      <c r="BB170" s="748"/>
      <c r="BC170" s="748"/>
      <c r="BD170" s="748"/>
      <c r="BE170" s="748"/>
      <c r="BF170" s="748"/>
      <c r="BG170" s="748"/>
      <c r="BH170" s="748"/>
      <c r="BI170" s="748"/>
      <c r="BJ170" s="748"/>
      <c r="BK170" s="748"/>
      <c r="BL170" s="748"/>
      <c r="BM170" s="748"/>
      <c r="BN170" s="748"/>
      <c r="BO170" s="748"/>
      <c r="BP170" s="748"/>
      <c r="BQ170" s="748"/>
      <c r="BR170" s="748"/>
      <c r="BS170" s="748"/>
      <c r="BT170" s="748"/>
      <c r="BU170" s="748"/>
      <c r="BV170" s="653"/>
      <c r="BW170" s="653"/>
      <c r="BX170" s="653"/>
      <c r="BY170" s="653"/>
      <c r="BZ170" s="653"/>
      <c r="CA170" s="653"/>
      <c r="CB170" s="653"/>
      <c r="CC170" s="653"/>
      <c r="CD170" s="653"/>
      <c r="CE170" s="653"/>
    </row>
    <row customHeight="1" ht="11.25" hidden="1">
      <c r="A171" s="1277"/>
      <c r="B171" s="748"/>
      <c r="C171" s="748"/>
      <c r="D171" s="2391"/>
      <c r="E171" s="872"/>
      <c r="F171" s="872">
        <v>0</v>
      </c>
      <c r="G171" s="872"/>
      <c r="H171" s="872"/>
      <c r="I171" s="872"/>
      <c r="J171" s="872"/>
      <c r="K171" s="872"/>
      <c r="L171" s="872"/>
      <c r="M171" s="872"/>
      <c r="N171" s="872"/>
      <c r="O171" s="872"/>
      <c r="P171" s="872"/>
      <c r="Q171" s="872"/>
      <c r="R171" s="872"/>
      <c r="S171" s="873"/>
      <c r="T171" s="955"/>
      <c r="U171" s="2389"/>
      <c r="V171" s="2389"/>
      <c r="W171" s="748"/>
      <c r="X171" s="748"/>
      <c r="Y171" s="748"/>
      <c r="Z171" s="748"/>
      <c r="AA171" s="748"/>
      <c r="AB171" s="653"/>
      <c r="AC171" s="2373"/>
      <c r="AD171" s="866"/>
      <c r="AE171" s="653"/>
      <c r="AF171" s="653"/>
      <c r="AG171" s="748"/>
      <c r="AH171" s="748"/>
      <c r="AI171" s="748"/>
      <c r="AJ171" s="748"/>
      <c r="AK171" s="748"/>
      <c r="AL171" s="748"/>
      <c r="AM171" s="748"/>
      <c r="AN171" s="748"/>
      <c r="AO171" s="748"/>
      <c r="AP171" s="748"/>
      <c r="AQ171" s="748"/>
      <c r="AR171" s="748"/>
      <c r="AS171" s="748"/>
      <c r="AT171" s="748"/>
      <c r="AU171" s="748"/>
      <c r="AV171" s="748"/>
      <c r="AW171" s="748"/>
      <c r="AX171" s="748"/>
      <c r="AY171" s="748"/>
      <c r="AZ171" s="748"/>
      <c r="BA171" s="748"/>
      <c r="BB171" s="748"/>
      <c r="BC171" s="748"/>
      <c r="BD171" s="748"/>
      <c r="BE171" s="748"/>
      <c r="BF171" s="748"/>
      <c r="BG171" s="748"/>
      <c r="BH171" s="748"/>
      <c r="BI171" s="748"/>
      <c r="BJ171" s="748"/>
      <c r="BK171" s="748"/>
      <c r="BL171" s="748"/>
      <c r="BM171" s="748"/>
      <c r="BN171" s="748"/>
      <c r="BO171" s="748"/>
      <c r="BP171" s="748"/>
      <c r="BQ171" s="748"/>
      <c r="BR171" s="748"/>
      <c r="BS171" s="748"/>
      <c r="BT171" s="748"/>
      <c r="BU171" s="748"/>
      <c r="BV171" s="748"/>
      <c r="BW171" s="748"/>
      <c r="BX171" s="748"/>
      <c r="BY171" s="748"/>
      <c r="BZ171" s="748"/>
      <c r="CA171" s="748"/>
      <c r="CB171" s="748"/>
      <c r="CC171" s="748"/>
      <c r="CD171" s="748"/>
      <c r="CE171" s="748"/>
    </row>
    <row customHeight="1" ht="11.25" hidden="1">
      <c r="A172" s="870"/>
      <c r="B172" s="653"/>
      <c r="C172" s="648"/>
      <c r="D172" s="2391"/>
      <c r="E172" s="886" t="s">
        <v>17</v>
      </c>
      <c r="F172" s="887" t="s">
        <v>17</v>
      </c>
      <c r="G172" s="887" t="s">
        <v>1482</v>
      </c>
      <c r="H172" s="888" t="s">
        <v>17</v>
      </c>
      <c r="I172" s="888"/>
      <c r="J172" s="888"/>
      <c r="K172" s="888"/>
      <c r="L172" s="888"/>
      <c r="M172" s="888"/>
      <c r="N172" s="888"/>
      <c r="O172" s="888"/>
      <c r="P172" s="888"/>
      <c r="Q172" s="888"/>
      <c r="R172" s="889"/>
      <c r="S172" s="890"/>
      <c r="T172" s="955"/>
      <c r="U172" s="2389"/>
      <c r="V172" s="2389"/>
      <c r="W172" s="653"/>
      <c r="X172" s="653"/>
      <c r="Y172" s="653"/>
      <c r="Z172" s="653"/>
      <c r="AA172" s="748"/>
      <c r="AB172" s="653"/>
      <c r="AC172" s="2373"/>
      <c r="AD172" s="866"/>
      <c r="AE172" s="653"/>
      <c r="AF172" s="653"/>
      <c r="AG172" s="748"/>
      <c r="AH172" s="748"/>
      <c r="AI172" s="748"/>
      <c r="AJ172" s="748"/>
      <c r="AK172" s="748"/>
      <c r="AL172" s="748"/>
      <c r="AM172" s="748"/>
      <c r="AN172" s="748"/>
      <c r="AO172" s="748"/>
      <c r="AP172" s="748"/>
      <c r="AQ172" s="748"/>
      <c r="AR172" s="748"/>
      <c r="AS172" s="748"/>
      <c r="AT172" s="748"/>
      <c r="AU172" s="748"/>
      <c r="AV172" s="748"/>
      <c r="AW172" s="748"/>
      <c r="AX172" s="748"/>
      <c r="AY172" s="748"/>
      <c r="AZ172" s="748"/>
      <c r="BA172" s="748"/>
      <c r="BB172" s="748"/>
      <c r="BC172" s="748"/>
      <c r="BD172" s="748"/>
      <c r="BE172" s="748"/>
      <c r="BF172" s="748"/>
      <c r="BG172" s="748"/>
      <c r="BH172" s="748"/>
      <c r="BI172" s="748"/>
      <c r="BJ172" s="748"/>
      <c r="BK172" s="748"/>
      <c r="BL172" s="748"/>
      <c r="BM172" s="748"/>
      <c r="BN172" s="748"/>
      <c r="BO172" s="748"/>
      <c r="BP172" s="748"/>
      <c r="BQ172" s="748"/>
      <c r="BR172" s="748"/>
      <c r="BS172" s="748"/>
      <c r="BT172" s="748"/>
      <c r="BU172" s="748"/>
      <c r="BV172" s="653"/>
      <c r="BW172" s="653"/>
      <c r="BX172" s="653"/>
      <c r="BY172" s="653"/>
      <c r="BZ172" s="653"/>
      <c r="CA172" s="653"/>
      <c r="CB172" s="653"/>
      <c r="CC172" s="653"/>
      <c r="CD172" s="653"/>
      <c r="CE172" s="653"/>
    </row>
    <row customHeight="1" ht="5.25" hidden="1">
      <c r="A173" s="1277"/>
      <c r="B173" s="748"/>
      <c r="C173" s="748"/>
      <c r="D173" s="2391"/>
      <c r="E173" s="1297"/>
      <c r="F173" s="1297"/>
      <c r="G173" s="1297"/>
      <c r="H173" s="1297"/>
      <c r="I173" s="1297"/>
      <c r="J173" s="1297"/>
      <c r="K173" s="1297"/>
      <c r="L173" s="1297"/>
      <c r="M173" s="1297"/>
      <c r="N173" s="1297"/>
      <c r="O173" s="1297"/>
      <c r="P173" s="1297"/>
      <c r="Q173" s="1298"/>
      <c r="R173" s="1299"/>
      <c r="S173" s="1300"/>
      <c r="T173" s="954" t="s">
        <v>1480</v>
      </c>
      <c r="U173" s="2389">
        <v>1</v>
      </c>
      <c r="V173" s="2389" t="s">
        <v>1481</v>
      </c>
      <c r="W173" s="748"/>
      <c r="X173" s="748"/>
      <c r="Y173" s="748"/>
      <c r="Z173" s="748"/>
      <c r="AA173" s="748"/>
      <c r="AB173" s="748"/>
      <c r="AC173" s="1295"/>
      <c r="AD173" s="1296"/>
      <c r="AE173" s="748"/>
      <c r="AF173" s="748"/>
      <c r="AG173" s="748"/>
      <c r="AH173" s="748"/>
      <c r="AI173" s="748"/>
      <c r="AJ173" s="748"/>
      <c r="AK173" s="748"/>
      <c r="AL173" s="748"/>
      <c r="AM173" s="748"/>
      <c r="AN173" s="748"/>
      <c r="AO173" s="748"/>
      <c r="AP173" s="748"/>
      <c r="AQ173" s="748"/>
      <c r="AR173" s="748"/>
      <c r="AS173" s="748"/>
      <c r="AT173" s="748"/>
      <c r="AU173" s="748"/>
      <c r="AV173" s="748"/>
      <c r="AW173" s="748"/>
      <c r="AX173" s="748"/>
      <c r="AY173" s="748"/>
      <c r="AZ173" s="748"/>
      <c r="BA173" s="748"/>
      <c r="BB173" s="748"/>
      <c r="BC173" s="748"/>
      <c r="BD173" s="748"/>
      <c r="BE173" s="748"/>
      <c r="BF173" s="748"/>
      <c r="BG173" s="748"/>
      <c r="BH173" s="748"/>
      <c r="BI173" s="748"/>
      <c r="BJ173" s="748"/>
      <c r="BK173" s="748"/>
      <c r="BL173" s="748"/>
      <c r="BM173" s="748"/>
      <c r="BN173" s="748"/>
      <c r="BO173" s="748"/>
      <c r="BP173" s="748"/>
      <c r="BQ173" s="748"/>
      <c r="BR173" s="748"/>
      <c r="BS173" s="748"/>
      <c r="BT173" s="748"/>
      <c r="BU173" s="748"/>
      <c r="BV173" s="748"/>
      <c r="BW173" s="748"/>
      <c r="BX173" s="748"/>
      <c r="BY173" s="748"/>
      <c r="BZ173" s="748"/>
      <c r="CA173" s="748"/>
      <c r="CB173" s="748"/>
      <c r="CC173" s="748"/>
      <c r="CD173" s="748"/>
      <c r="CE173" s="748"/>
    </row>
    <row customHeight="1" ht="5.25" hidden="1">
      <c r="A174" s="1277"/>
      <c r="B174" s="748"/>
      <c r="C174" s="748"/>
      <c r="D174" s="2391"/>
      <c r="E174" s="872"/>
      <c r="F174" s="872"/>
      <c r="G174" s="872"/>
      <c r="H174" s="872"/>
      <c r="I174" s="872"/>
      <c r="J174" s="872"/>
      <c r="K174" s="872"/>
      <c r="L174" s="872"/>
      <c r="M174" s="872"/>
      <c r="N174" s="872"/>
      <c r="O174" s="872"/>
      <c r="P174" s="872"/>
      <c r="Q174" s="872"/>
      <c r="R174" s="872"/>
      <c r="S174" s="873"/>
      <c r="T174" s="955"/>
      <c r="U174" s="2389"/>
      <c r="V174" s="2389"/>
      <c r="W174" s="748"/>
      <c r="X174" s="748"/>
      <c r="Y174" s="748"/>
      <c r="Z174" s="748"/>
      <c r="AA174" s="748"/>
      <c r="AB174" s="748"/>
      <c r="AC174" s="1295"/>
      <c r="AD174" s="1296"/>
      <c r="AE174" s="748"/>
      <c r="AF174" s="748"/>
      <c r="AG174" s="748"/>
      <c r="AH174" s="748"/>
      <c r="AI174" s="748"/>
      <c r="AJ174" s="748"/>
      <c r="AK174" s="748"/>
      <c r="AL174" s="748"/>
      <c r="AM174" s="748"/>
      <c r="AN174" s="748"/>
      <c r="AO174" s="748"/>
      <c r="AP174" s="748"/>
      <c r="AQ174" s="748"/>
      <c r="AR174" s="748"/>
      <c r="AS174" s="748"/>
      <c r="AT174" s="748"/>
      <c r="AU174" s="748"/>
      <c r="AV174" s="748"/>
      <c r="AW174" s="748"/>
      <c r="AX174" s="748"/>
      <c r="AY174" s="748"/>
      <c r="AZ174" s="748"/>
      <c r="BA174" s="748"/>
      <c r="BB174" s="748"/>
      <c r="BC174" s="748"/>
      <c r="BD174" s="748"/>
      <c r="BE174" s="748"/>
      <c r="BF174" s="748"/>
      <c r="BG174" s="748"/>
      <c r="BH174" s="748"/>
      <c r="BI174" s="748"/>
      <c r="BJ174" s="748"/>
      <c r="BK174" s="748"/>
      <c r="BL174" s="748"/>
      <c r="BM174" s="748"/>
      <c r="BN174" s="748"/>
      <c r="BO174" s="748"/>
      <c r="BP174" s="748"/>
      <c r="BQ174" s="748"/>
      <c r="BR174" s="748"/>
      <c r="BS174" s="748"/>
      <c r="BT174" s="748"/>
      <c r="BU174" s="748"/>
      <c r="BV174" s="748"/>
      <c r="BW174" s="748"/>
      <c r="BX174" s="748"/>
      <c r="BY174" s="748"/>
      <c r="BZ174" s="748"/>
      <c r="CA174" s="748"/>
      <c r="CB174" s="748"/>
      <c r="CC174" s="748"/>
      <c r="CD174" s="748"/>
      <c r="CE174" s="748"/>
    </row>
    <row customHeight="1" ht="5.25" hidden="1">
      <c r="A175" s="1277"/>
      <c r="B175" s="748"/>
      <c r="C175" s="748"/>
      <c r="D175" s="2392"/>
      <c r="E175" s="1301"/>
      <c r="F175" s="1302"/>
      <c r="G175" s="1302"/>
      <c r="H175" s="1303"/>
      <c r="I175" s="1303"/>
      <c r="J175" s="1303"/>
      <c r="K175" s="1303"/>
      <c r="L175" s="1303"/>
      <c r="M175" s="1303"/>
      <c r="N175" s="1303"/>
      <c r="O175" s="1303"/>
      <c r="P175" s="1303"/>
      <c r="Q175" s="1303"/>
      <c r="R175" s="1202"/>
      <c r="S175" s="1304"/>
      <c r="T175" s="955"/>
      <c r="U175" s="2389"/>
      <c r="V175" s="2389"/>
      <c r="W175" s="748"/>
      <c r="X175" s="748"/>
      <c r="Y175" s="748"/>
      <c r="Z175" s="748"/>
      <c r="AA175" s="748"/>
      <c r="AB175" s="748"/>
      <c r="AC175" s="1295"/>
      <c r="AD175" s="1296"/>
      <c r="AE175" s="748"/>
      <c r="AF175" s="748"/>
      <c r="AG175" s="748"/>
      <c r="AH175" s="748"/>
      <c r="AI175" s="748"/>
      <c r="AJ175" s="748"/>
      <c r="AK175" s="748"/>
      <c r="AL175" s="748"/>
      <c r="AM175" s="748"/>
      <c r="AN175" s="748"/>
      <c r="AO175" s="748"/>
      <c r="AP175" s="748"/>
      <c r="AQ175" s="748"/>
      <c r="AR175" s="748"/>
      <c r="AS175" s="748"/>
      <c r="AT175" s="748"/>
      <c r="AU175" s="748"/>
      <c r="AV175" s="748"/>
      <c r="AW175" s="748"/>
      <c r="AX175" s="748"/>
      <c r="AY175" s="748"/>
      <c r="AZ175" s="748"/>
      <c r="BA175" s="748"/>
      <c r="BB175" s="748"/>
      <c r="BC175" s="748"/>
      <c r="BD175" s="748"/>
      <c r="BE175" s="748"/>
      <c r="BF175" s="748"/>
      <c r="BG175" s="748"/>
      <c r="BH175" s="748"/>
      <c r="BI175" s="748"/>
      <c r="BJ175" s="748"/>
      <c r="BK175" s="748"/>
      <c r="BL175" s="748"/>
      <c r="BM175" s="748"/>
      <c r="BN175" s="748"/>
      <c r="BO175" s="748"/>
      <c r="BP175" s="748"/>
      <c r="BQ175" s="748"/>
      <c r="BR175" s="748"/>
      <c r="BS175" s="748"/>
      <c r="BT175" s="748"/>
      <c r="BU175" s="748"/>
      <c r="BV175" s="748"/>
      <c r="BW175" s="748"/>
      <c r="BX175" s="748"/>
      <c r="BY175" s="748"/>
      <c r="BZ175" s="748"/>
      <c r="CA175" s="748"/>
      <c r="CB175" s="748"/>
      <c r="CC175" s="748"/>
      <c r="CD175" s="748"/>
      <c r="CE175" s="748"/>
    </row>
    <row customHeight="1" ht="15" hidden="1">
      <c r="A176" s="860" t="s">
        <v>168</v>
      </c>
      <c r="B176" s="861"/>
      <c r="C176" s="861" t="s">
        <v>17</v>
      </c>
      <c r="D176" s="2390" t="s">
        <v>1827</v>
      </c>
      <c r="E176" s="2374" t="s">
        <v>105</v>
      </c>
      <c r="F176" s="2375"/>
      <c r="G176" s="2376"/>
      <c r="H176" s="2377" t="str">
        <f>IF(A176="","",INDEX(DIFFERENTIATION_UNMERGE_VD,MATCH(A176,DIFFERENTIATION_ID_DIFF,0)))</f>
        <v>Производство тепловой энергии. Некомбинированная выработка</v>
      </c>
      <c r="I176" s="2377"/>
      <c r="J176" s="2377"/>
      <c r="K176" s="2377"/>
      <c r="L176" s="2377"/>
      <c r="M176" s="2377"/>
      <c r="N176" s="2377"/>
      <c r="O176" s="2377"/>
      <c r="P176" s="2377"/>
      <c r="Q176" s="2377"/>
      <c r="R176" s="2377"/>
      <c r="S176" s="956"/>
      <c r="T176" s="953"/>
      <c r="U176" s="862"/>
      <c r="V176" s="862"/>
      <c r="W176" s="863"/>
      <c r="X176" s="863"/>
      <c r="Y176" s="863"/>
      <c r="Z176" s="863"/>
      <c r="AA176" s="864"/>
      <c r="AB176" s="865"/>
      <c r="AC176" s="2373"/>
      <c r="AD176" s="866"/>
      <c r="AE176" s="867" t="s">
        <v>17</v>
      </c>
      <c r="AF176" s="867"/>
      <c r="AG176" s="868" t="s">
        <v>1475</v>
      </c>
      <c r="AH176" s="869">
        <v>3</v>
      </c>
      <c r="AI176" s="862"/>
      <c r="AJ176" s="862"/>
      <c r="AK176" s="862"/>
      <c r="AL176" s="862"/>
      <c r="AM176" s="862"/>
      <c r="AN176" s="862"/>
      <c r="AO176" s="862"/>
      <c r="AP176" s="862"/>
      <c r="AQ176" s="862"/>
      <c r="AR176" s="862"/>
      <c r="AS176" s="862"/>
      <c r="AT176" s="862"/>
      <c r="AU176" s="862"/>
      <c r="AV176" s="862"/>
      <c r="AW176" s="862"/>
      <c r="AX176" s="862"/>
      <c r="AY176" s="862"/>
      <c r="AZ176" s="862"/>
      <c r="BA176" s="862"/>
      <c r="BB176" s="862"/>
      <c r="BC176" s="862"/>
      <c r="BD176" s="862"/>
      <c r="BE176" s="862"/>
      <c r="BF176" s="862"/>
      <c r="BG176" s="862"/>
      <c r="BH176" s="862"/>
      <c r="BI176" s="862"/>
      <c r="BJ176" s="862"/>
      <c r="BK176" s="862"/>
      <c r="BL176" s="862"/>
      <c r="BM176" s="862"/>
      <c r="BN176" s="862"/>
      <c r="BO176" s="862"/>
      <c r="BP176" s="862"/>
      <c r="BQ176" s="862"/>
      <c r="BR176" s="862"/>
      <c r="BS176" s="862"/>
      <c r="BT176" s="862"/>
      <c r="BU176" s="862"/>
      <c r="BV176" s="863"/>
      <c r="BW176" s="863"/>
      <c r="BX176" s="863"/>
      <c r="BY176" s="863"/>
      <c r="BZ176" s="863"/>
      <c r="CA176" s="863"/>
      <c r="CB176" s="863"/>
      <c r="CC176" s="863"/>
      <c r="CD176" s="863"/>
      <c r="CE176" s="863"/>
    </row>
    <row customHeight="1" ht="15" hidden="1">
      <c r="A177" s="860"/>
      <c r="B177" s="861"/>
      <c r="C177" s="861"/>
      <c r="D177" s="2391"/>
      <c r="E177" s="2374" t="s">
        <v>1476</v>
      </c>
      <c r="F177" s="2375"/>
      <c r="G177" s="2376"/>
      <c r="H177" s="2377" t="str">
        <f>IF(A176="","",INDEX(DIFFERENTIATION_UNMERGE_AREA,MATCH(A176,DIFFERENTIATION_ID_DIFF,0)))</f>
        <v>Территория 1</v>
      </c>
      <c r="I177" s="2377"/>
      <c r="J177" s="2377"/>
      <c r="K177" s="2377"/>
      <c r="L177" s="2377"/>
      <c r="M177" s="2377"/>
      <c r="N177" s="2377"/>
      <c r="O177" s="2377"/>
      <c r="P177" s="2377"/>
      <c r="Q177" s="2377"/>
      <c r="R177" s="2377"/>
      <c r="S177" s="956"/>
      <c r="T177" s="953"/>
      <c r="U177" s="862"/>
      <c r="V177" s="862"/>
      <c r="W177" s="863"/>
      <c r="X177" s="863"/>
      <c r="Y177" s="863"/>
      <c r="Z177" s="863"/>
      <c r="AA177" s="864"/>
      <c r="AB177" s="865"/>
      <c r="AC177" s="2373"/>
      <c r="AD177" s="866"/>
      <c r="AE177" s="867"/>
      <c r="AF177" s="867"/>
      <c r="AG177" s="868"/>
      <c r="AH177" s="869"/>
      <c r="AI177" s="862"/>
      <c r="AJ177" s="862"/>
      <c r="AK177" s="862"/>
      <c r="AL177" s="862"/>
      <c r="AM177" s="862"/>
      <c r="AN177" s="862"/>
      <c r="AO177" s="862"/>
      <c r="AP177" s="862"/>
      <c r="AQ177" s="862"/>
      <c r="AR177" s="862"/>
      <c r="AS177" s="862"/>
      <c r="AT177" s="862"/>
      <c r="AU177" s="862"/>
      <c r="AV177" s="862"/>
      <c r="AW177" s="862"/>
      <c r="AX177" s="862"/>
      <c r="AY177" s="862"/>
      <c r="AZ177" s="862"/>
      <c r="BA177" s="862"/>
      <c r="BB177" s="862"/>
      <c r="BC177" s="862"/>
      <c r="BD177" s="862"/>
      <c r="BE177" s="862"/>
      <c r="BF177" s="862"/>
      <c r="BG177" s="862"/>
      <c r="BH177" s="862"/>
      <c r="BI177" s="862"/>
      <c r="BJ177" s="862"/>
      <c r="BK177" s="862"/>
      <c r="BL177" s="862"/>
      <c r="BM177" s="862"/>
      <c r="BN177" s="862"/>
      <c r="BO177" s="862"/>
      <c r="BP177" s="862"/>
      <c r="BQ177" s="862"/>
      <c r="BR177" s="862"/>
      <c r="BS177" s="862"/>
      <c r="BT177" s="862"/>
      <c r="BU177" s="862"/>
      <c r="BV177" s="863"/>
      <c r="BW177" s="863"/>
      <c r="BX177" s="863"/>
      <c r="BY177" s="863"/>
      <c r="BZ177" s="863"/>
      <c r="CA177" s="863"/>
      <c r="CB177" s="863"/>
      <c r="CC177" s="863"/>
      <c r="CD177" s="863"/>
      <c r="CE177" s="863"/>
    </row>
    <row customHeight="1" ht="15" hidden="1">
      <c r="A178" s="860"/>
      <c r="B178" s="861"/>
      <c r="C178" s="861"/>
      <c r="D178" s="2391"/>
      <c r="E178" s="2374" t="s">
        <v>1477</v>
      </c>
      <c r="F178" s="2375"/>
      <c r="G178" s="2376"/>
      <c r="H178" s="2377" t="str">
        <f>IF(A176="","",INDEX(DIFFERENTIATION_UNMERGE_SYSTEM,MATCH(A176,DIFFERENTIATION_ID_DIFF,0)))</f>
        <v>ЦТП-3, ул.Радиозаводская,ок.д.№6</v>
      </c>
      <c r="I178" s="2377"/>
      <c r="J178" s="2377"/>
      <c r="K178" s="2377"/>
      <c r="L178" s="2377"/>
      <c r="M178" s="2377"/>
      <c r="N178" s="2377"/>
      <c r="O178" s="2377"/>
      <c r="P178" s="2377"/>
      <c r="Q178" s="2377"/>
      <c r="R178" s="2377"/>
      <c r="S178" s="956"/>
      <c r="T178" s="953"/>
      <c r="U178" s="862"/>
      <c r="V178" s="862"/>
      <c r="W178" s="863"/>
      <c r="X178" s="863"/>
      <c r="Y178" s="863"/>
      <c r="Z178" s="863"/>
      <c r="AA178" s="864"/>
      <c r="AB178" s="865"/>
      <c r="AC178" s="2373"/>
      <c r="AD178" s="866"/>
      <c r="AE178" s="867"/>
      <c r="AF178" s="867"/>
      <c r="AG178" s="868"/>
      <c r="AH178" s="869"/>
      <c r="AI178" s="862"/>
      <c r="AJ178" s="862"/>
      <c r="AK178" s="862"/>
      <c r="AL178" s="862"/>
      <c r="AM178" s="862"/>
      <c r="AN178" s="862"/>
      <c r="AO178" s="862"/>
      <c r="AP178" s="862"/>
      <c r="AQ178" s="862"/>
      <c r="AR178" s="862"/>
      <c r="AS178" s="862"/>
      <c r="AT178" s="862"/>
      <c r="AU178" s="862"/>
      <c r="AV178" s="862"/>
      <c r="AW178" s="862"/>
      <c r="AX178" s="862"/>
      <c r="AY178" s="862"/>
      <c r="AZ178" s="862"/>
      <c r="BA178" s="862"/>
      <c r="BB178" s="862"/>
      <c r="BC178" s="862"/>
      <c r="BD178" s="862"/>
      <c r="BE178" s="862"/>
      <c r="BF178" s="862"/>
      <c r="BG178" s="862"/>
      <c r="BH178" s="862"/>
      <c r="BI178" s="862"/>
      <c r="BJ178" s="862"/>
      <c r="BK178" s="862"/>
      <c r="BL178" s="862"/>
      <c r="BM178" s="862"/>
      <c r="BN178" s="862"/>
      <c r="BO178" s="862"/>
      <c r="BP178" s="862"/>
      <c r="BQ178" s="862"/>
      <c r="BR178" s="862"/>
      <c r="BS178" s="862"/>
      <c r="BT178" s="862"/>
      <c r="BU178" s="862"/>
      <c r="BV178" s="863"/>
      <c r="BW178" s="863"/>
      <c r="BX178" s="863"/>
      <c r="BY178" s="863"/>
      <c r="BZ178" s="863"/>
      <c r="CA178" s="863"/>
      <c r="CB178" s="863"/>
      <c r="CC178" s="863"/>
      <c r="CD178" s="863"/>
      <c r="CE178" s="863"/>
    </row>
    <row customHeight="1" ht="24.75" hidden="1">
      <c r="A179" s="870"/>
      <c r="B179" s="653"/>
      <c r="C179" s="648"/>
      <c r="D179" s="2391"/>
      <c r="E179" s="2388" t="s">
        <v>1478</v>
      </c>
      <c r="F179" s="2388"/>
      <c r="G179" s="2388"/>
      <c r="H179" s="2388"/>
      <c r="I179" s="2388"/>
      <c r="J179" s="2388"/>
      <c r="K179" s="2388"/>
      <c r="L179" s="2388"/>
      <c r="M179" s="2388"/>
      <c r="N179" s="2388"/>
      <c r="O179" s="2388"/>
      <c r="P179" s="2388"/>
      <c r="Q179" s="795">
        <f>SUMIF(T180:T181,"i",Q180:Q181)</f>
        <v>0</v>
      </c>
      <c r="R179" s="1273"/>
      <c r="S179" s="1278" t="s">
        <v>1479</v>
      </c>
      <c r="T179" s="954" t="s">
        <v>1480</v>
      </c>
      <c r="U179" s="2389">
        <v>1</v>
      </c>
      <c r="V179" s="2389" t="s">
        <v>1481</v>
      </c>
      <c r="W179" s="653"/>
      <c r="X179" s="653"/>
      <c r="Y179" s="653"/>
      <c r="Z179" s="653"/>
      <c r="AA179" s="748"/>
      <c r="AB179" s="653"/>
      <c r="AC179" s="2373"/>
      <c r="AD179" s="866"/>
      <c r="AE179" s="653"/>
      <c r="AF179" s="653"/>
      <c r="AG179" s="748"/>
      <c r="AH179" s="748"/>
      <c r="AI179" s="748"/>
      <c r="AJ179" s="748"/>
      <c r="AK179" s="748"/>
      <c r="AL179" s="748"/>
      <c r="AM179" s="748"/>
      <c r="AN179" s="748"/>
      <c r="AO179" s="748"/>
      <c r="AP179" s="748"/>
      <c r="AQ179" s="748"/>
      <c r="AR179" s="748"/>
      <c r="AS179" s="748"/>
      <c r="AT179" s="748"/>
      <c r="AU179" s="748"/>
      <c r="AV179" s="748"/>
      <c r="AW179" s="748"/>
      <c r="AX179" s="748"/>
      <c r="AY179" s="748"/>
      <c r="AZ179" s="748"/>
      <c r="BA179" s="748"/>
      <c r="BB179" s="748"/>
      <c r="BC179" s="748"/>
      <c r="BD179" s="748"/>
      <c r="BE179" s="748"/>
      <c r="BF179" s="748"/>
      <c r="BG179" s="748"/>
      <c r="BH179" s="748"/>
      <c r="BI179" s="748"/>
      <c r="BJ179" s="748"/>
      <c r="BK179" s="748"/>
      <c r="BL179" s="748"/>
      <c r="BM179" s="748"/>
      <c r="BN179" s="748"/>
      <c r="BO179" s="748"/>
      <c r="BP179" s="748"/>
      <c r="BQ179" s="748"/>
      <c r="BR179" s="748"/>
      <c r="BS179" s="748"/>
      <c r="BT179" s="748"/>
      <c r="BU179" s="748"/>
      <c r="BV179" s="653"/>
      <c r="BW179" s="653"/>
      <c r="BX179" s="653"/>
      <c r="BY179" s="653"/>
      <c r="BZ179" s="653"/>
      <c r="CA179" s="653"/>
      <c r="CB179" s="653"/>
      <c r="CC179" s="653"/>
      <c r="CD179" s="653"/>
      <c r="CE179" s="653"/>
    </row>
    <row customHeight="1" ht="11.25" hidden="1">
      <c r="A180" s="1277"/>
      <c r="B180" s="748"/>
      <c r="C180" s="748"/>
      <c r="D180" s="2391"/>
      <c r="E180" s="872"/>
      <c r="F180" s="872">
        <v>0</v>
      </c>
      <c r="G180" s="872"/>
      <c r="H180" s="872"/>
      <c r="I180" s="872"/>
      <c r="J180" s="872"/>
      <c r="K180" s="872"/>
      <c r="L180" s="872"/>
      <c r="M180" s="872"/>
      <c r="N180" s="872"/>
      <c r="O180" s="872"/>
      <c r="P180" s="872"/>
      <c r="Q180" s="872"/>
      <c r="R180" s="872"/>
      <c r="S180" s="873"/>
      <c r="T180" s="955"/>
      <c r="U180" s="2389"/>
      <c r="V180" s="2389"/>
      <c r="W180" s="748"/>
      <c r="X180" s="748"/>
      <c r="Y180" s="748"/>
      <c r="Z180" s="748"/>
      <c r="AA180" s="748"/>
      <c r="AB180" s="653"/>
      <c r="AC180" s="2373"/>
      <c r="AD180" s="866"/>
      <c r="AE180" s="653"/>
      <c r="AF180" s="653"/>
      <c r="AG180" s="748"/>
      <c r="AH180" s="748"/>
      <c r="AI180" s="748"/>
      <c r="AJ180" s="748"/>
      <c r="AK180" s="748"/>
      <c r="AL180" s="748"/>
      <c r="AM180" s="748"/>
      <c r="AN180" s="748"/>
      <c r="AO180" s="748"/>
      <c r="AP180" s="748"/>
      <c r="AQ180" s="748"/>
      <c r="AR180" s="748"/>
      <c r="AS180" s="748"/>
      <c r="AT180" s="748"/>
      <c r="AU180" s="748"/>
      <c r="AV180" s="748"/>
      <c r="AW180" s="748"/>
      <c r="AX180" s="748"/>
      <c r="AY180" s="748"/>
      <c r="AZ180" s="748"/>
      <c r="BA180" s="748"/>
      <c r="BB180" s="748"/>
      <c r="BC180" s="748"/>
      <c r="BD180" s="748"/>
      <c r="BE180" s="748"/>
      <c r="BF180" s="748"/>
      <c r="BG180" s="748"/>
      <c r="BH180" s="748"/>
      <c r="BI180" s="748"/>
      <c r="BJ180" s="748"/>
      <c r="BK180" s="748"/>
      <c r="BL180" s="748"/>
      <c r="BM180" s="748"/>
      <c r="BN180" s="748"/>
      <c r="BO180" s="748"/>
      <c r="BP180" s="748"/>
      <c r="BQ180" s="748"/>
      <c r="BR180" s="748"/>
      <c r="BS180" s="748"/>
      <c r="BT180" s="748"/>
      <c r="BU180" s="748"/>
      <c r="BV180" s="748"/>
      <c r="BW180" s="748"/>
      <c r="BX180" s="748"/>
      <c r="BY180" s="748"/>
      <c r="BZ180" s="748"/>
      <c r="CA180" s="748"/>
      <c r="CB180" s="748"/>
      <c r="CC180" s="748"/>
      <c r="CD180" s="748"/>
      <c r="CE180" s="748"/>
    </row>
    <row customHeight="1" ht="11.25" hidden="1">
      <c r="A181" s="870"/>
      <c r="B181" s="653"/>
      <c r="C181" s="648"/>
      <c r="D181" s="2391"/>
      <c r="E181" s="886" t="s">
        <v>17</v>
      </c>
      <c r="F181" s="887" t="s">
        <v>17</v>
      </c>
      <c r="G181" s="887" t="s">
        <v>1482</v>
      </c>
      <c r="H181" s="888" t="s">
        <v>17</v>
      </c>
      <c r="I181" s="888"/>
      <c r="J181" s="888"/>
      <c r="K181" s="888"/>
      <c r="L181" s="888"/>
      <c r="M181" s="888"/>
      <c r="N181" s="888"/>
      <c r="O181" s="888"/>
      <c r="P181" s="888"/>
      <c r="Q181" s="888"/>
      <c r="R181" s="889"/>
      <c r="S181" s="890"/>
      <c r="T181" s="955"/>
      <c r="U181" s="2389"/>
      <c r="V181" s="2389"/>
      <c r="W181" s="653"/>
      <c r="X181" s="653"/>
      <c r="Y181" s="653"/>
      <c r="Z181" s="653"/>
      <c r="AA181" s="748"/>
      <c r="AB181" s="653"/>
      <c r="AC181" s="2373"/>
      <c r="AD181" s="866"/>
      <c r="AE181" s="653"/>
      <c r="AF181" s="653"/>
      <c r="AG181" s="748"/>
      <c r="AH181" s="748"/>
      <c r="AI181" s="748"/>
      <c r="AJ181" s="748"/>
      <c r="AK181" s="748"/>
      <c r="AL181" s="748"/>
      <c r="AM181" s="748"/>
      <c r="AN181" s="748"/>
      <c r="AO181" s="748"/>
      <c r="AP181" s="748"/>
      <c r="AQ181" s="748"/>
      <c r="AR181" s="748"/>
      <c r="AS181" s="748"/>
      <c r="AT181" s="748"/>
      <c r="AU181" s="748"/>
      <c r="AV181" s="748"/>
      <c r="AW181" s="748"/>
      <c r="AX181" s="748"/>
      <c r="AY181" s="748"/>
      <c r="AZ181" s="748"/>
      <c r="BA181" s="748"/>
      <c r="BB181" s="748"/>
      <c r="BC181" s="748"/>
      <c r="BD181" s="748"/>
      <c r="BE181" s="748"/>
      <c r="BF181" s="748"/>
      <c r="BG181" s="748"/>
      <c r="BH181" s="748"/>
      <c r="BI181" s="748"/>
      <c r="BJ181" s="748"/>
      <c r="BK181" s="748"/>
      <c r="BL181" s="748"/>
      <c r="BM181" s="748"/>
      <c r="BN181" s="748"/>
      <c r="BO181" s="748"/>
      <c r="BP181" s="748"/>
      <c r="BQ181" s="748"/>
      <c r="BR181" s="748"/>
      <c r="BS181" s="748"/>
      <c r="BT181" s="748"/>
      <c r="BU181" s="748"/>
      <c r="BV181" s="653"/>
      <c r="BW181" s="653"/>
      <c r="BX181" s="653"/>
      <c r="BY181" s="653"/>
      <c r="BZ181" s="653"/>
      <c r="CA181" s="653"/>
      <c r="CB181" s="653"/>
      <c r="CC181" s="653"/>
      <c r="CD181" s="653"/>
      <c r="CE181" s="653"/>
    </row>
    <row customHeight="1" ht="5.25" hidden="1">
      <c r="A182" s="1277"/>
      <c r="B182" s="748"/>
      <c r="C182" s="748"/>
      <c r="D182" s="2391"/>
      <c r="E182" s="1297"/>
      <c r="F182" s="1297"/>
      <c r="G182" s="1297"/>
      <c r="H182" s="1297"/>
      <c r="I182" s="1297"/>
      <c r="J182" s="1297"/>
      <c r="K182" s="1297"/>
      <c r="L182" s="1297"/>
      <c r="M182" s="1297"/>
      <c r="N182" s="1297"/>
      <c r="O182" s="1297"/>
      <c r="P182" s="1297"/>
      <c r="Q182" s="1298"/>
      <c r="R182" s="1299"/>
      <c r="S182" s="1300"/>
      <c r="T182" s="954" t="s">
        <v>1480</v>
      </c>
      <c r="U182" s="2389">
        <v>1</v>
      </c>
      <c r="V182" s="2389" t="s">
        <v>1481</v>
      </c>
      <c r="W182" s="748"/>
      <c r="X182" s="748"/>
      <c r="Y182" s="748"/>
      <c r="Z182" s="748"/>
      <c r="AA182" s="748"/>
      <c r="AB182" s="748"/>
      <c r="AC182" s="1295"/>
      <c r="AD182" s="1296"/>
      <c r="AE182" s="748"/>
      <c r="AF182" s="748"/>
      <c r="AG182" s="748"/>
      <c r="AH182" s="748"/>
      <c r="AI182" s="748"/>
      <c r="AJ182" s="748"/>
      <c r="AK182" s="748"/>
      <c r="AL182" s="748"/>
      <c r="AM182" s="748"/>
      <c r="AN182" s="748"/>
      <c r="AO182" s="748"/>
      <c r="AP182" s="748"/>
      <c r="AQ182" s="748"/>
      <c r="AR182" s="748"/>
      <c r="AS182" s="748"/>
      <c r="AT182" s="748"/>
      <c r="AU182" s="748"/>
      <c r="AV182" s="748"/>
      <c r="AW182" s="748"/>
      <c r="AX182" s="748"/>
      <c r="AY182" s="748"/>
      <c r="AZ182" s="748"/>
      <c r="BA182" s="748"/>
      <c r="BB182" s="748"/>
      <c r="BC182" s="748"/>
      <c r="BD182" s="748"/>
      <c r="BE182" s="748"/>
      <c r="BF182" s="748"/>
      <c r="BG182" s="748"/>
      <c r="BH182" s="748"/>
      <c r="BI182" s="748"/>
      <c r="BJ182" s="748"/>
      <c r="BK182" s="748"/>
      <c r="BL182" s="748"/>
      <c r="BM182" s="748"/>
      <c r="BN182" s="748"/>
      <c r="BO182" s="748"/>
      <c r="BP182" s="748"/>
      <c r="BQ182" s="748"/>
      <c r="BR182" s="748"/>
      <c r="BS182" s="748"/>
      <c r="BT182" s="748"/>
      <c r="BU182" s="748"/>
      <c r="BV182" s="748"/>
      <c r="BW182" s="748"/>
      <c r="BX182" s="748"/>
      <c r="BY182" s="748"/>
      <c r="BZ182" s="748"/>
      <c r="CA182" s="748"/>
      <c r="CB182" s="748"/>
      <c r="CC182" s="748"/>
      <c r="CD182" s="748"/>
      <c r="CE182" s="748"/>
    </row>
    <row customHeight="1" ht="5.25" hidden="1">
      <c r="A183" s="1277"/>
      <c r="B183" s="748"/>
      <c r="C183" s="748"/>
      <c r="D183" s="2391"/>
      <c r="E183" s="872"/>
      <c r="F183" s="872"/>
      <c r="G183" s="872"/>
      <c r="H183" s="872"/>
      <c r="I183" s="872"/>
      <c r="J183" s="872"/>
      <c r="K183" s="872"/>
      <c r="L183" s="872"/>
      <c r="M183" s="872"/>
      <c r="N183" s="872"/>
      <c r="O183" s="872"/>
      <c r="P183" s="872"/>
      <c r="Q183" s="872"/>
      <c r="R183" s="872"/>
      <c r="S183" s="873"/>
      <c r="T183" s="955"/>
      <c r="U183" s="2389"/>
      <c r="V183" s="2389"/>
      <c r="W183" s="748"/>
      <c r="X183" s="748"/>
      <c r="Y183" s="748"/>
      <c r="Z183" s="748"/>
      <c r="AA183" s="748"/>
      <c r="AB183" s="748"/>
      <c r="AC183" s="1295"/>
      <c r="AD183" s="1296"/>
      <c r="AE183" s="748"/>
      <c r="AF183" s="748"/>
      <c r="AG183" s="748"/>
      <c r="AH183" s="748"/>
      <c r="AI183" s="748"/>
      <c r="AJ183" s="748"/>
      <c r="AK183" s="748"/>
      <c r="AL183" s="748"/>
      <c r="AM183" s="748"/>
      <c r="AN183" s="748"/>
      <c r="AO183" s="748"/>
      <c r="AP183" s="748"/>
      <c r="AQ183" s="748"/>
      <c r="AR183" s="748"/>
      <c r="AS183" s="748"/>
      <c r="AT183" s="748"/>
      <c r="AU183" s="748"/>
      <c r="AV183" s="748"/>
      <c r="AW183" s="748"/>
      <c r="AX183" s="748"/>
      <c r="AY183" s="748"/>
      <c r="AZ183" s="748"/>
      <c r="BA183" s="748"/>
      <c r="BB183" s="748"/>
      <c r="BC183" s="748"/>
      <c r="BD183" s="748"/>
      <c r="BE183" s="748"/>
      <c r="BF183" s="748"/>
      <c r="BG183" s="748"/>
      <c r="BH183" s="748"/>
      <c r="BI183" s="748"/>
      <c r="BJ183" s="748"/>
      <c r="BK183" s="748"/>
      <c r="BL183" s="748"/>
      <c r="BM183" s="748"/>
      <c r="BN183" s="748"/>
      <c r="BO183" s="748"/>
      <c r="BP183" s="748"/>
      <c r="BQ183" s="748"/>
      <c r="BR183" s="748"/>
      <c r="BS183" s="748"/>
      <c r="BT183" s="748"/>
      <c r="BU183" s="748"/>
      <c r="BV183" s="748"/>
      <c r="BW183" s="748"/>
      <c r="BX183" s="748"/>
      <c r="BY183" s="748"/>
      <c r="BZ183" s="748"/>
      <c r="CA183" s="748"/>
      <c r="CB183" s="748"/>
      <c r="CC183" s="748"/>
      <c r="CD183" s="748"/>
      <c r="CE183" s="748"/>
    </row>
    <row customHeight="1" ht="5.25" hidden="1">
      <c r="A184" s="1277"/>
      <c r="B184" s="748"/>
      <c r="C184" s="748"/>
      <c r="D184" s="2392"/>
      <c r="E184" s="1301"/>
      <c r="F184" s="1302"/>
      <c r="G184" s="1302"/>
      <c r="H184" s="1303"/>
      <c r="I184" s="1303"/>
      <c r="J184" s="1303"/>
      <c r="K184" s="1303"/>
      <c r="L184" s="1303"/>
      <c r="M184" s="1303"/>
      <c r="N184" s="1303"/>
      <c r="O184" s="1303"/>
      <c r="P184" s="1303"/>
      <c r="Q184" s="1303"/>
      <c r="R184" s="1202"/>
      <c r="S184" s="1304"/>
      <c r="T184" s="955"/>
      <c r="U184" s="2389"/>
      <c r="V184" s="2389"/>
      <c r="W184" s="748"/>
      <c r="X184" s="748"/>
      <c r="Y184" s="748"/>
      <c r="Z184" s="748"/>
      <c r="AA184" s="748"/>
      <c r="AB184" s="748"/>
      <c r="AC184" s="1295"/>
      <c r="AD184" s="1296"/>
      <c r="AE184" s="748"/>
      <c r="AF184" s="748"/>
      <c r="AG184" s="748"/>
      <c r="AH184" s="748"/>
      <c r="AI184" s="748"/>
      <c r="AJ184" s="748"/>
      <c r="AK184" s="748"/>
      <c r="AL184" s="748"/>
      <c r="AM184" s="748"/>
      <c r="AN184" s="748"/>
      <c r="AO184" s="748"/>
      <c r="AP184" s="748"/>
      <c r="AQ184" s="748"/>
      <c r="AR184" s="748"/>
      <c r="AS184" s="748"/>
      <c r="AT184" s="748"/>
      <c r="AU184" s="748"/>
      <c r="AV184" s="748"/>
      <c r="AW184" s="748"/>
      <c r="AX184" s="748"/>
      <c r="AY184" s="748"/>
      <c r="AZ184" s="748"/>
      <c r="BA184" s="748"/>
      <c r="BB184" s="748"/>
      <c r="BC184" s="748"/>
      <c r="BD184" s="748"/>
      <c r="BE184" s="748"/>
      <c r="BF184" s="748"/>
      <c r="BG184" s="748"/>
      <c r="BH184" s="748"/>
      <c r="BI184" s="748"/>
      <c r="BJ184" s="748"/>
      <c r="BK184" s="748"/>
      <c r="BL184" s="748"/>
      <c r="BM184" s="748"/>
      <c r="BN184" s="748"/>
      <c r="BO184" s="748"/>
      <c r="BP184" s="748"/>
      <c r="BQ184" s="748"/>
      <c r="BR184" s="748"/>
      <c r="BS184" s="748"/>
      <c r="BT184" s="748"/>
      <c r="BU184" s="748"/>
      <c r="BV184" s="748"/>
      <c r="BW184" s="748"/>
      <c r="BX184" s="748"/>
      <c r="BY184" s="748"/>
      <c r="BZ184" s="748"/>
      <c r="CA184" s="748"/>
      <c r="CB184" s="748"/>
      <c r="CC184" s="748"/>
      <c r="CD184" s="748"/>
      <c r="CE184" s="748"/>
    </row>
    <row customHeight="1" ht="15" hidden="1">
      <c r="A185" s="860" t="s">
        <v>171</v>
      </c>
      <c r="B185" s="861"/>
      <c r="C185" s="861" t="s">
        <v>17</v>
      </c>
      <c r="D185" s="2390" t="s">
        <v>1828</v>
      </c>
      <c r="E185" s="2374" t="s">
        <v>105</v>
      </c>
      <c r="F185" s="2375"/>
      <c r="G185" s="2376"/>
      <c r="H185" s="2377" t="str">
        <f>IF(A185="","",INDEX(DIFFERENTIATION_UNMERGE_VD,MATCH(A185,DIFFERENTIATION_ID_DIFF,0)))</f>
        <v>Производство тепловой энергии. Некомбинированная выработка</v>
      </c>
      <c r="I185" s="2377"/>
      <c r="J185" s="2377"/>
      <c r="K185" s="2377"/>
      <c r="L185" s="2377"/>
      <c r="M185" s="2377"/>
      <c r="N185" s="2377"/>
      <c r="O185" s="2377"/>
      <c r="P185" s="2377"/>
      <c r="Q185" s="2377"/>
      <c r="R185" s="2377"/>
      <c r="S185" s="956"/>
      <c r="T185" s="953"/>
      <c r="U185" s="862"/>
      <c r="V185" s="862"/>
      <c r="W185" s="863"/>
      <c r="X185" s="863"/>
      <c r="Y185" s="863"/>
      <c r="Z185" s="863"/>
      <c r="AA185" s="864"/>
      <c r="AB185" s="865"/>
      <c r="AC185" s="2373"/>
      <c r="AD185" s="866"/>
      <c r="AE185" s="867" t="s">
        <v>17</v>
      </c>
      <c r="AF185" s="867"/>
      <c r="AG185" s="868" t="s">
        <v>1475</v>
      </c>
      <c r="AH185" s="869">
        <v>3</v>
      </c>
      <c r="AI185" s="862"/>
      <c r="AJ185" s="862"/>
      <c r="AK185" s="862"/>
      <c r="AL185" s="862"/>
      <c r="AM185" s="862"/>
      <c r="AN185" s="862"/>
      <c r="AO185" s="862"/>
      <c r="AP185" s="862"/>
      <c r="AQ185" s="862"/>
      <c r="AR185" s="862"/>
      <c r="AS185" s="862"/>
      <c r="AT185" s="862"/>
      <c r="AU185" s="862"/>
      <c r="AV185" s="862"/>
      <c r="AW185" s="862"/>
      <c r="AX185" s="862"/>
      <c r="AY185" s="862"/>
      <c r="AZ185" s="862"/>
      <c r="BA185" s="862"/>
      <c r="BB185" s="862"/>
      <c r="BC185" s="862"/>
      <c r="BD185" s="862"/>
      <c r="BE185" s="862"/>
      <c r="BF185" s="862"/>
      <c r="BG185" s="862"/>
      <c r="BH185" s="862"/>
      <c r="BI185" s="862"/>
      <c r="BJ185" s="862"/>
      <c r="BK185" s="862"/>
      <c r="BL185" s="862"/>
      <c r="BM185" s="862"/>
      <c r="BN185" s="862"/>
      <c r="BO185" s="862"/>
      <c r="BP185" s="862"/>
      <c r="BQ185" s="862"/>
      <c r="BR185" s="862"/>
      <c r="BS185" s="862"/>
      <c r="BT185" s="862"/>
      <c r="BU185" s="862"/>
      <c r="BV185" s="863"/>
      <c r="BW185" s="863"/>
      <c r="BX185" s="863"/>
      <c r="BY185" s="863"/>
      <c r="BZ185" s="863"/>
      <c r="CA185" s="863"/>
      <c r="CB185" s="863"/>
      <c r="CC185" s="863"/>
      <c r="CD185" s="863"/>
      <c r="CE185" s="863"/>
    </row>
    <row customHeight="1" ht="15" hidden="1">
      <c r="A186" s="860"/>
      <c r="B186" s="861"/>
      <c r="C186" s="861"/>
      <c r="D186" s="2391"/>
      <c r="E186" s="2374" t="s">
        <v>1476</v>
      </c>
      <c r="F186" s="2375"/>
      <c r="G186" s="2376"/>
      <c r="H186" s="2377" t="str">
        <f>IF(A185="","",INDEX(DIFFERENTIATION_UNMERGE_AREA,MATCH(A185,DIFFERENTIATION_ID_DIFF,0)))</f>
        <v>Территория 1</v>
      </c>
      <c r="I186" s="2377"/>
      <c r="J186" s="2377"/>
      <c r="K186" s="2377"/>
      <c r="L186" s="2377"/>
      <c r="M186" s="2377"/>
      <c r="N186" s="2377"/>
      <c r="O186" s="2377"/>
      <c r="P186" s="2377"/>
      <c r="Q186" s="2377"/>
      <c r="R186" s="2377"/>
      <c r="S186" s="956"/>
      <c r="T186" s="953"/>
      <c r="U186" s="862"/>
      <c r="V186" s="862"/>
      <c r="W186" s="863"/>
      <c r="X186" s="863"/>
      <c r="Y186" s="863"/>
      <c r="Z186" s="863"/>
      <c r="AA186" s="864"/>
      <c r="AB186" s="865"/>
      <c r="AC186" s="2373"/>
      <c r="AD186" s="866"/>
      <c r="AE186" s="867"/>
      <c r="AF186" s="867"/>
      <c r="AG186" s="868"/>
      <c r="AH186" s="869"/>
      <c r="AI186" s="862"/>
      <c r="AJ186" s="862"/>
      <c r="AK186" s="862"/>
      <c r="AL186" s="862"/>
      <c r="AM186" s="862"/>
      <c r="AN186" s="862"/>
      <c r="AO186" s="862"/>
      <c r="AP186" s="862"/>
      <c r="AQ186" s="862"/>
      <c r="AR186" s="862"/>
      <c r="AS186" s="862"/>
      <c r="AT186" s="862"/>
      <c r="AU186" s="862"/>
      <c r="AV186" s="862"/>
      <c r="AW186" s="862"/>
      <c r="AX186" s="862"/>
      <c r="AY186" s="862"/>
      <c r="AZ186" s="862"/>
      <c r="BA186" s="862"/>
      <c r="BB186" s="862"/>
      <c r="BC186" s="862"/>
      <c r="BD186" s="862"/>
      <c r="BE186" s="862"/>
      <c r="BF186" s="862"/>
      <c r="BG186" s="862"/>
      <c r="BH186" s="862"/>
      <c r="BI186" s="862"/>
      <c r="BJ186" s="862"/>
      <c r="BK186" s="862"/>
      <c r="BL186" s="862"/>
      <c r="BM186" s="862"/>
      <c r="BN186" s="862"/>
      <c r="BO186" s="862"/>
      <c r="BP186" s="862"/>
      <c r="BQ186" s="862"/>
      <c r="BR186" s="862"/>
      <c r="BS186" s="862"/>
      <c r="BT186" s="862"/>
      <c r="BU186" s="862"/>
      <c r="BV186" s="863"/>
      <c r="BW186" s="863"/>
      <c r="BX186" s="863"/>
      <c r="BY186" s="863"/>
      <c r="BZ186" s="863"/>
      <c r="CA186" s="863"/>
      <c r="CB186" s="863"/>
      <c r="CC186" s="863"/>
      <c r="CD186" s="863"/>
      <c r="CE186" s="863"/>
    </row>
    <row customHeight="1" ht="15" hidden="1">
      <c r="A187" s="860"/>
      <c r="B187" s="861"/>
      <c r="C187" s="861"/>
      <c r="D187" s="2391"/>
      <c r="E187" s="2374" t="s">
        <v>1477</v>
      </c>
      <c r="F187" s="2375"/>
      <c r="G187" s="2376"/>
      <c r="H187" s="2377" t="str">
        <f>IF(A185="","",INDEX(DIFFERENTIATION_UNMERGE_SYSTEM,MATCH(A185,DIFFERENTIATION_ID_DIFF,0)))</f>
        <v>Котельная №17а с.Зольное , ул.Первомайская.</v>
      </c>
      <c r="I187" s="2377"/>
      <c r="J187" s="2377"/>
      <c r="K187" s="2377"/>
      <c r="L187" s="2377"/>
      <c r="M187" s="2377"/>
      <c r="N187" s="2377"/>
      <c r="O187" s="2377"/>
      <c r="P187" s="2377"/>
      <c r="Q187" s="2377"/>
      <c r="R187" s="2377"/>
      <c r="S187" s="956"/>
      <c r="T187" s="953"/>
      <c r="U187" s="862"/>
      <c r="V187" s="862"/>
      <c r="W187" s="863"/>
      <c r="X187" s="863"/>
      <c r="Y187" s="863"/>
      <c r="Z187" s="863"/>
      <c r="AA187" s="864"/>
      <c r="AB187" s="865"/>
      <c r="AC187" s="2373"/>
      <c r="AD187" s="866"/>
      <c r="AE187" s="867"/>
      <c r="AF187" s="867"/>
      <c r="AG187" s="868"/>
      <c r="AH187" s="869"/>
      <c r="AI187" s="862"/>
      <c r="AJ187" s="862"/>
      <c r="AK187" s="862"/>
      <c r="AL187" s="862"/>
      <c r="AM187" s="862"/>
      <c r="AN187" s="862"/>
      <c r="AO187" s="862"/>
      <c r="AP187" s="862"/>
      <c r="AQ187" s="862"/>
      <c r="AR187" s="862"/>
      <c r="AS187" s="862"/>
      <c r="AT187" s="862"/>
      <c r="AU187" s="862"/>
      <c r="AV187" s="862"/>
      <c r="AW187" s="862"/>
      <c r="AX187" s="862"/>
      <c r="AY187" s="862"/>
      <c r="AZ187" s="862"/>
      <c r="BA187" s="862"/>
      <c r="BB187" s="862"/>
      <c r="BC187" s="862"/>
      <c r="BD187" s="862"/>
      <c r="BE187" s="862"/>
      <c r="BF187" s="862"/>
      <c r="BG187" s="862"/>
      <c r="BH187" s="862"/>
      <c r="BI187" s="862"/>
      <c r="BJ187" s="862"/>
      <c r="BK187" s="862"/>
      <c r="BL187" s="862"/>
      <c r="BM187" s="862"/>
      <c r="BN187" s="862"/>
      <c r="BO187" s="862"/>
      <c r="BP187" s="862"/>
      <c r="BQ187" s="862"/>
      <c r="BR187" s="862"/>
      <c r="BS187" s="862"/>
      <c r="BT187" s="862"/>
      <c r="BU187" s="862"/>
      <c r="BV187" s="863"/>
      <c r="BW187" s="863"/>
      <c r="BX187" s="863"/>
      <c r="BY187" s="863"/>
      <c r="BZ187" s="863"/>
      <c r="CA187" s="863"/>
      <c r="CB187" s="863"/>
      <c r="CC187" s="863"/>
      <c r="CD187" s="863"/>
      <c r="CE187" s="863"/>
    </row>
    <row customHeight="1" ht="24.75" hidden="1">
      <c r="A188" s="870"/>
      <c r="B188" s="653"/>
      <c r="C188" s="648"/>
      <c r="D188" s="2391"/>
      <c r="E188" s="2388" t="s">
        <v>1478</v>
      </c>
      <c r="F188" s="2388"/>
      <c r="G188" s="2388"/>
      <c r="H188" s="2388"/>
      <c r="I188" s="2388"/>
      <c r="J188" s="2388"/>
      <c r="K188" s="2388"/>
      <c r="L188" s="2388"/>
      <c r="M188" s="2388"/>
      <c r="N188" s="2388"/>
      <c r="O188" s="2388"/>
      <c r="P188" s="2388"/>
      <c r="Q188" s="795">
        <f>SUMIF(T189:T190,"i",Q189:Q190)</f>
        <v>0</v>
      </c>
      <c r="R188" s="1273"/>
      <c r="S188" s="1278" t="s">
        <v>1479</v>
      </c>
      <c r="T188" s="954" t="s">
        <v>1480</v>
      </c>
      <c r="U188" s="2389">
        <v>1</v>
      </c>
      <c r="V188" s="2389" t="s">
        <v>1481</v>
      </c>
      <c r="W188" s="653"/>
      <c r="X188" s="653"/>
      <c r="Y188" s="653"/>
      <c r="Z188" s="653"/>
      <c r="AA188" s="748"/>
      <c r="AB188" s="653"/>
      <c r="AC188" s="2373"/>
      <c r="AD188" s="866"/>
      <c r="AE188" s="653"/>
      <c r="AF188" s="653"/>
      <c r="AG188" s="748"/>
      <c r="AH188" s="748"/>
      <c r="AI188" s="748"/>
      <c r="AJ188" s="748"/>
      <c r="AK188" s="748"/>
      <c r="AL188" s="748"/>
      <c r="AM188" s="748"/>
      <c r="AN188" s="748"/>
      <c r="AO188" s="748"/>
      <c r="AP188" s="748"/>
      <c r="AQ188" s="748"/>
      <c r="AR188" s="748"/>
      <c r="AS188" s="748"/>
      <c r="AT188" s="748"/>
      <c r="AU188" s="748"/>
      <c r="AV188" s="748"/>
      <c r="AW188" s="748"/>
      <c r="AX188" s="748"/>
      <c r="AY188" s="748"/>
      <c r="AZ188" s="748"/>
      <c r="BA188" s="748"/>
      <c r="BB188" s="748"/>
      <c r="BC188" s="748"/>
      <c r="BD188" s="748"/>
      <c r="BE188" s="748"/>
      <c r="BF188" s="748"/>
      <c r="BG188" s="748"/>
      <c r="BH188" s="748"/>
      <c r="BI188" s="748"/>
      <c r="BJ188" s="748"/>
      <c r="BK188" s="748"/>
      <c r="BL188" s="748"/>
      <c r="BM188" s="748"/>
      <c r="BN188" s="748"/>
      <c r="BO188" s="748"/>
      <c r="BP188" s="748"/>
      <c r="BQ188" s="748"/>
      <c r="BR188" s="748"/>
      <c r="BS188" s="748"/>
      <c r="BT188" s="748"/>
      <c r="BU188" s="748"/>
      <c r="BV188" s="653"/>
      <c r="BW188" s="653"/>
      <c r="BX188" s="653"/>
      <c r="BY188" s="653"/>
      <c r="BZ188" s="653"/>
      <c r="CA188" s="653"/>
      <c r="CB188" s="653"/>
      <c r="CC188" s="653"/>
      <c r="CD188" s="653"/>
      <c r="CE188" s="653"/>
    </row>
    <row customHeight="1" ht="11.25" hidden="1">
      <c r="A189" s="1277"/>
      <c r="B189" s="748"/>
      <c r="C189" s="748"/>
      <c r="D189" s="2391"/>
      <c r="E189" s="872"/>
      <c r="F189" s="872">
        <v>0</v>
      </c>
      <c r="G189" s="872"/>
      <c r="H189" s="872"/>
      <c r="I189" s="872"/>
      <c r="J189" s="872"/>
      <c r="K189" s="872"/>
      <c r="L189" s="872"/>
      <c r="M189" s="872"/>
      <c r="N189" s="872"/>
      <c r="O189" s="872"/>
      <c r="P189" s="872"/>
      <c r="Q189" s="872"/>
      <c r="R189" s="872"/>
      <c r="S189" s="873"/>
      <c r="T189" s="955"/>
      <c r="U189" s="2389"/>
      <c r="V189" s="2389"/>
      <c r="W189" s="748"/>
      <c r="X189" s="748"/>
      <c r="Y189" s="748"/>
      <c r="Z189" s="748"/>
      <c r="AA189" s="748"/>
      <c r="AB189" s="653"/>
      <c r="AC189" s="2373"/>
      <c r="AD189" s="866"/>
      <c r="AE189" s="653"/>
      <c r="AF189" s="653"/>
      <c r="AG189" s="748"/>
      <c r="AH189" s="748"/>
      <c r="AI189" s="748"/>
      <c r="AJ189" s="748"/>
      <c r="AK189" s="748"/>
      <c r="AL189" s="748"/>
      <c r="AM189" s="748"/>
      <c r="AN189" s="748"/>
      <c r="AO189" s="748"/>
      <c r="AP189" s="748"/>
      <c r="AQ189" s="748"/>
      <c r="AR189" s="748"/>
      <c r="AS189" s="748"/>
      <c r="AT189" s="748"/>
      <c r="AU189" s="748"/>
      <c r="AV189" s="748"/>
      <c r="AW189" s="748"/>
      <c r="AX189" s="748"/>
      <c r="AY189" s="748"/>
      <c r="AZ189" s="748"/>
      <c r="BA189" s="748"/>
      <c r="BB189" s="748"/>
      <c r="BC189" s="748"/>
      <c r="BD189" s="748"/>
      <c r="BE189" s="748"/>
      <c r="BF189" s="748"/>
      <c r="BG189" s="748"/>
      <c r="BH189" s="748"/>
      <c r="BI189" s="748"/>
      <c r="BJ189" s="748"/>
      <c r="BK189" s="748"/>
      <c r="BL189" s="748"/>
      <c r="BM189" s="748"/>
      <c r="BN189" s="748"/>
      <c r="BO189" s="748"/>
      <c r="BP189" s="748"/>
      <c r="BQ189" s="748"/>
      <c r="BR189" s="748"/>
      <c r="BS189" s="748"/>
      <c r="BT189" s="748"/>
      <c r="BU189" s="748"/>
      <c r="BV189" s="748"/>
      <c r="BW189" s="748"/>
      <c r="BX189" s="748"/>
      <c r="BY189" s="748"/>
      <c r="BZ189" s="748"/>
      <c r="CA189" s="748"/>
      <c r="CB189" s="748"/>
      <c r="CC189" s="748"/>
      <c r="CD189" s="748"/>
      <c r="CE189" s="748"/>
    </row>
    <row customHeight="1" ht="11.25" hidden="1">
      <c r="A190" s="870"/>
      <c r="B190" s="653"/>
      <c r="C190" s="648"/>
      <c r="D190" s="2391"/>
      <c r="E190" s="886" t="s">
        <v>17</v>
      </c>
      <c r="F190" s="887" t="s">
        <v>17</v>
      </c>
      <c r="G190" s="887" t="s">
        <v>1482</v>
      </c>
      <c r="H190" s="888" t="s">
        <v>17</v>
      </c>
      <c r="I190" s="888"/>
      <c r="J190" s="888"/>
      <c r="K190" s="888"/>
      <c r="L190" s="888"/>
      <c r="M190" s="888"/>
      <c r="N190" s="888"/>
      <c r="O190" s="888"/>
      <c r="P190" s="888"/>
      <c r="Q190" s="888"/>
      <c r="R190" s="889"/>
      <c r="S190" s="890"/>
      <c r="T190" s="955"/>
      <c r="U190" s="2389"/>
      <c r="V190" s="2389"/>
      <c r="W190" s="653"/>
      <c r="X190" s="653"/>
      <c r="Y190" s="653"/>
      <c r="Z190" s="653"/>
      <c r="AA190" s="748"/>
      <c r="AB190" s="653"/>
      <c r="AC190" s="2373"/>
      <c r="AD190" s="866"/>
      <c r="AE190" s="653"/>
      <c r="AF190" s="653"/>
      <c r="AG190" s="748"/>
      <c r="AH190" s="748"/>
      <c r="AI190" s="748"/>
      <c r="AJ190" s="748"/>
      <c r="AK190" s="748"/>
      <c r="AL190" s="748"/>
      <c r="AM190" s="748"/>
      <c r="AN190" s="748"/>
      <c r="AO190" s="748"/>
      <c r="AP190" s="748"/>
      <c r="AQ190" s="748"/>
      <c r="AR190" s="748"/>
      <c r="AS190" s="748"/>
      <c r="AT190" s="748"/>
      <c r="AU190" s="748"/>
      <c r="AV190" s="748"/>
      <c r="AW190" s="748"/>
      <c r="AX190" s="748"/>
      <c r="AY190" s="748"/>
      <c r="AZ190" s="748"/>
      <c r="BA190" s="748"/>
      <c r="BB190" s="748"/>
      <c r="BC190" s="748"/>
      <c r="BD190" s="748"/>
      <c r="BE190" s="748"/>
      <c r="BF190" s="748"/>
      <c r="BG190" s="748"/>
      <c r="BH190" s="748"/>
      <c r="BI190" s="748"/>
      <c r="BJ190" s="748"/>
      <c r="BK190" s="748"/>
      <c r="BL190" s="748"/>
      <c r="BM190" s="748"/>
      <c r="BN190" s="748"/>
      <c r="BO190" s="748"/>
      <c r="BP190" s="748"/>
      <c r="BQ190" s="748"/>
      <c r="BR190" s="748"/>
      <c r="BS190" s="748"/>
      <c r="BT190" s="748"/>
      <c r="BU190" s="748"/>
      <c r="BV190" s="653"/>
      <c r="BW190" s="653"/>
      <c r="BX190" s="653"/>
      <c r="BY190" s="653"/>
      <c r="BZ190" s="653"/>
      <c r="CA190" s="653"/>
      <c r="CB190" s="653"/>
      <c r="CC190" s="653"/>
      <c r="CD190" s="653"/>
      <c r="CE190" s="653"/>
    </row>
    <row customHeight="1" ht="5.25" hidden="1">
      <c r="A191" s="1277"/>
      <c r="B191" s="748"/>
      <c r="C191" s="748"/>
      <c r="D191" s="2391"/>
      <c r="E191" s="1297"/>
      <c r="F191" s="1297"/>
      <c r="G191" s="1297"/>
      <c r="H191" s="1297"/>
      <c r="I191" s="1297"/>
      <c r="J191" s="1297"/>
      <c r="K191" s="1297"/>
      <c r="L191" s="1297"/>
      <c r="M191" s="1297"/>
      <c r="N191" s="1297"/>
      <c r="O191" s="1297"/>
      <c r="P191" s="1297"/>
      <c r="Q191" s="1298"/>
      <c r="R191" s="1299"/>
      <c r="S191" s="1300"/>
      <c r="T191" s="954" t="s">
        <v>1480</v>
      </c>
      <c r="U191" s="2389">
        <v>1</v>
      </c>
      <c r="V191" s="2389" t="s">
        <v>1481</v>
      </c>
      <c r="W191" s="748"/>
      <c r="X191" s="748"/>
      <c r="Y191" s="748"/>
      <c r="Z191" s="748"/>
      <c r="AA191" s="748"/>
      <c r="AB191" s="748"/>
      <c r="AC191" s="1295"/>
      <c r="AD191" s="1296"/>
      <c r="AE191" s="748"/>
      <c r="AF191" s="748"/>
      <c r="AG191" s="748"/>
      <c r="AH191" s="748"/>
      <c r="AI191" s="748"/>
      <c r="AJ191" s="748"/>
      <c r="AK191" s="748"/>
      <c r="AL191" s="748"/>
      <c r="AM191" s="748"/>
      <c r="AN191" s="748"/>
      <c r="AO191" s="748"/>
      <c r="AP191" s="748"/>
      <c r="AQ191" s="748"/>
      <c r="AR191" s="748"/>
      <c r="AS191" s="748"/>
      <c r="AT191" s="748"/>
      <c r="AU191" s="748"/>
      <c r="AV191" s="748"/>
      <c r="AW191" s="748"/>
      <c r="AX191" s="748"/>
      <c r="AY191" s="748"/>
      <c r="AZ191" s="748"/>
      <c r="BA191" s="748"/>
      <c r="BB191" s="748"/>
      <c r="BC191" s="748"/>
      <c r="BD191" s="748"/>
      <c r="BE191" s="748"/>
      <c r="BF191" s="748"/>
      <c r="BG191" s="748"/>
      <c r="BH191" s="748"/>
      <c r="BI191" s="748"/>
      <c r="BJ191" s="748"/>
      <c r="BK191" s="748"/>
      <c r="BL191" s="748"/>
      <c r="BM191" s="748"/>
      <c r="BN191" s="748"/>
      <c r="BO191" s="748"/>
      <c r="BP191" s="748"/>
      <c r="BQ191" s="748"/>
      <c r="BR191" s="748"/>
      <c r="BS191" s="748"/>
      <c r="BT191" s="748"/>
      <c r="BU191" s="748"/>
      <c r="BV191" s="748"/>
      <c r="BW191" s="748"/>
      <c r="BX191" s="748"/>
      <c r="BY191" s="748"/>
      <c r="BZ191" s="748"/>
      <c r="CA191" s="748"/>
      <c r="CB191" s="748"/>
      <c r="CC191" s="748"/>
      <c r="CD191" s="748"/>
      <c r="CE191" s="748"/>
    </row>
    <row customHeight="1" ht="5.25" hidden="1">
      <c r="A192" s="1277"/>
      <c r="B192" s="748"/>
      <c r="C192" s="748"/>
      <c r="D192" s="2391"/>
      <c r="E192" s="872"/>
      <c r="F192" s="872"/>
      <c r="G192" s="872"/>
      <c r="H192" s="872"/>
      <c r="I192" s="872"/>
      <c r="J192" s="872"/>
      <c r="K192" s="872"/>
      <c r="L192" s="872"/>
      <c r="M192" s="872"/>
      <c r="N192" s="872"/>
      <c r="O192" s="872"/>
      <c r="P192" s="872"/>
      <c r="Q192" s="872"/>
      <c r="R192" s="872"/>
      <c r="S192" s="873"/>
      <c r="T192" s="955"/>
      <c r="U192" s="2389"/>
      <c r="V192" s="2389"/>
      <c r="W192" s="748"/>
      <c r="X192" s="748"/>
      <c r="Y192" s="748"/>
      <c r="Z192" s="748"/>
      <c r="AA192" s="748"/>
      <c r="AB192" s="748"/>
      <c r="AC192" s="1295"/>
      <c r="AD192" s="1296"/>
      <c r="AE192" s="748"/>
      <c r="AF192" s="748"/>
      <c r="AG192" s="748"/>
      <c r="AH192" s="748"/>
      <c r="AI192" s="748"/>
      <c r="AJ192" s="748"/>
      <c r="AK192" s="748"/>
      <c r="AL192" s="748"/>
      <c r="AM192" s="748"/>
      <c r="AN192" s="748"/>
      <c r="AO192" s="748"/>
      <c r="AP192" s="748"/>
      <c r="AQ192" s="748"/>
      <c r="AR192" s="748"/>
      <c r="AS192" s="748"/>
      <c r="AT192" s="748"/>
      <c r="AU192" s="748"/>
      <c r="AV192" s="748"/>
      <c r="AW192" s="748"/>
      <c r="AX192" s="748"/>
      <c r="AY192" s="748"/>
      <c r="AZ192" s="748"/>
      <c r="BA192" s="748"/>
      <c r="BB192" s="748"/>
      <c r="BC192" s="748"/>
      <c r="BD192" s="748"/>
      <c r="BE192" s="748"/>
      <c r="BF192" s="748"/>
      <c r="BG192" s="748"/>
      <c r="BH192" s="748"/>
      <c r="BI192" s="748"/>
      <c r="BJ192" s="748"/>
      <c r="BK192" s="748"/>
      <c r="BL192" s="748"/>
      <c r="BM192" s="748"/>
      <c r="BN192" s="748"/>
      <c r="BO192" s="748"/>
      <c r="BP192" s="748"/>
      <c r="BQ192" s="748"/>
      <c r="BR192" s="748"/>
      <c r="BS192" s="748"/>
      <c r="BT192" s="748"/>
      <c r="BU192" s="748"/>
      <c r="BV192" s="748"/>
      <c r="BW192" s="748"/>
      <c r="BX192" s="748"/>
      <c r="BY192" s="748"/>
      <c r="BZ192" s="748"/>
      <c r="CA192" s="748"/>
      <c r="CB192" s="748"/>
      <c r="CC192" s="748"/>
      <c r="CD192" s="748"/>
      <c r="CE192" s="748"/>
    </row>
    <row customHeight="1" ht="5.25" hidden="1">
      <c r="A193" s="1277"/>
      <c r="B193" s="748"/>
      <c r="C193" s="748"/>
      <c r="D193" s="2392"/>
      <c r="E193" s="1301"/>
      <c r="F193" s="1302"/>
      <c r="G193" s="1302"/>
      <c r="H193" s="1303"/>
      <c r="I193" s="1303"/>
      <c r="J193" s="1303"/>
      <c r="K193" s="1303"/>
      <c r="L193" s="1303"/>
      <c r="M193" s="1303"/>
      <c r="N193" s="1303"/>
      <c r="O193" s="1303"/>
      <c r="P193" s="1303"/>
      <c r="Q193" s="1303"/>
      <c r="R193" s="1202"/>
      <c r="S193" s="1304"/>
      <c r="T193" s="955"/>
      <c r="U193" s="2389"/>
      <c r="V193" s="2389"/>
      <c r="W193" s="748"/>
      <c r="X193" s="748"/>
      <c r="Y193" s="748"/>
      <c r="Z193" s="748"/>
      <c r="AA193" s="748"/>
      <c r="AB193" s="748"/>
      <c r="AC193" s="1295"/>
      <c r="AD193" s="1296"/>
      <c r="AE193" s="748"/>
      <c r="AF193" s="748"/>
      <c r="AG193" s="748"/>
      <c r="AH193" s="748"/>
      <c r="AI193" s="748"/>
      <c r="AJ193" s="748"/>
      <c r="AK193" s="748"/>
      <c r="AL193" s="748"/>
      <c r="AM193" s="748"/>
      <c r="AN193" s="748"/>
      <c r="AO193" s="748"/>
      <c r="AP193" s="748"/>
      <c r="AQ193" s="748"/>
      <c r="AR193" s="748"/>
      <c r="AS193" s="748"/>
      <c r="AT193" s="748"/>
      <c r="AU193" s="748"/>
      <c r="AV193" s="748"/>
      <c r="AW193" s="748"/>
      <c r="AX193" s="748"/>
      <c r="AY193" s="748"/>
      <c r="AZ193" s="748"/>
      <c r="BA193" s="748"/>
      <c r="BB193" s="748"/>
      <c r="BC193" s="748"/>
      <c r="BD193" s="748"/>
      <c r="BE193" s="748"/>
      <c r="BF193" s="748"/>
      <c r="BG193" s="748"/>
      <c r="BH193" s="748"/>
      <c r="BI193" s="748"/>
      <c r="BJ193" s="748"/>
      <c r="BK193" s="748"/>
      <c r="BL193" s="748"/>
      <c r="BM193" s="748"/>
      <c r="BN193" s="748"/>
      <c r="BO193" s="748"/>
      <c r="BP193" s="748"/>
      <c r="BQ193" s="748"/>
      <c r="BR193" s="748"/>
      <c r="BS193" s="748"/>
      <c r="BT193" s="748"/>
      <c r="BU193" s="748"/>
      <c r="BV193" s="748"/>
      <c r="BW193" s="748"/>
      <c r="BX193" s="748"/>
      <c r="BY193" s="748"/>
      <c r="BZ193" s="748"/>
      <c r="CA193" s="748"/>
      <c r="CB193" s="748"/>
      <c r="CC193" s="748"/>
      <c r="CD193" s="748"/>
      <c r="CE193" s="748"/>
    </row>
    <row customHeight="1" ht="15" hidden="1">
      <c r="A194" s="860" t="s">
        <v>174</v>
      </c>
      <c r="B194" s="861"/>
      <c r="C194" s="861" t="s">
        <v>17</v>
      </c>
      <c r="D194" s="2390" t="s">
        <v>1829</v>
      </c>
      <c r="E194" s="2374" t="s">
        <v>105</v>
      </c>
      <c r="F194" s="2375"/>
      <c r="G194" s="2376"/>
      <c r="H194" s="2377" t="str">
        <f>IF(A194="","",INDEX(DIFFERENTIATION_UNMERGE_VD,MATCH(A194,DIFFERENTIATION_ID_DIFF,0)))</f>
        <v>Производство тепловой энергии. Некомбинированная выработка</v>
      </c>
      <c r="I194" s="2377"/>
      <c r="J194" s="2377"/>
      <c r="K194" s="2377"/>
      <c r="L194" s="2377"/>
      <c r="M194" s="2377"/>
      <c r="N194" s="2377"/>
      <c r="O194" s="2377"/>
      <c r="P194" s="2377"/>
      <c r="Q194" s="2377"/>
      <c r="R194" s="2377"/>
      <c r="S194" s="956"/>
      <c r="T194" s="953"/>
      <c r="U194" s="862"/>
      <c r="V194" s="862"/>
      <c r="W194" s="863"/>
      <c r="X194" s="863"/>
      <c r="Y194" s="863"/>
      <c r="Z194" s="863"/>
      <c r="AA194" s="864"/>
      <c r="AB194" s="865"/>
      <c r="AC194" s="2373"/>
      <c r="AD194" s="866"/>
      <c r="AE194" s="867" t="s">
        <v>17</v>
      </c>
      <c r="AF194" s="867"/>
      <c r="AG194" s="868" t="s">
        <v>1475</v>
      </c>
      <c r="AH194" s="869">
        <v>3</v>
      </c>
      <c r="AI194" s="862"/>
      <c r="AJ194" s="862"/>
      <c r="AK194" s="862"/>
      <c r="AL194" s="862"/>
      <c r="AM194" s="862"/>
      <c r="AN194" s="862"/>
      <c r="AO194" s="862"/>
      <c r="AP194" s="862"/>
      <c r="AQ194" s="862"/>
      <c r="AR194" s="862"/>
      <c r="AS194" s="862"/>
      <c r="AT194" s="862"/>
      <c r="AU194" s="862"/>
      <c r="AV194" s="862"/>
      <c r="AW194" s="862"/>
      <c r="AX194" s="862"/>
      <c r="AY194" s="862"/>
      <c r="AZ194" s="862"/>
      <c r="BA194" s="862"/>
      <c r="BB194" s="862"/>
      <c r="BC194" s="862"/>
      <c r="BD194" s="862"/>
      <c r="BE194" s="862"/>
      <c r="BF194" s="862"/>
      <c r="BG194" s="862"/>
      <c r="BH194" s="862"/>
      <c r="BI194" s="862"/>
      <c r="BJ194" s="862"/>
      <c r="BK194" s="862"/>
      <c r="BL194" s="862"/>
      <c r="BM194" s="862"/>
      <c r="BN194" s="862"/>
      <c r="BO194" s="862"/>
      <c r="BP194" s="862"/>
      <c r="BQ194" s="862"/>
      <c r="BR194" s="862"/>
      <c r="BS194" s="862"/>
      <c r="BT194" s="862"/>
      <c r="BU194" s="862"/>
      <c r="BV194" s="863"/>
      <c r="BW194" s="863"/>
      <c r="BX194" s="863"/>
      <c r="BY194" s="863"/>
      <c r="BZ194" s="863"/>
      <c r="CA194" s="863"/>
      <c r="CB194" s="863"/>
      <c r="CC194" s="863"/>
      <c r="CD194" s="863"/>
      <c r="CE194" s="863"/>
    </row>
    <row customHeight="1" ht="15" hidden="1">
      <c r="A195" s="860"/>
      <c r="B195" s="861"/>
      <c r="C195" s="861"/>
      <c r="D195" s="2391"/>
      <c r="E195" s="2374" t="s">
        <v>1476</v>
      </c>
      <c r="F195" s="2375"/>
      <c r="G195" s="2376"/>
      <c r="H195" s="2377" t="str">
        <f>IF(A194="","",INDEX(DIFFERENTIATION_UNMERGE_AREA,MATCH(A194,DIFFERENTIATION_ID_DIFF,0)))</f>
        <v>Территория 1</v>
      </c>
      <c r="I195" s="2377"/>
      <c r="J195" s="2377"/>
      <c r="K195" s="2377"/>
      <c r="L195" s="2377"/>
      <c r="M195" s="2377"/>
      <c r="N195" s="2377"/>
      <c r="O195" s="2377"/>
      <c r="P195" s="2377"/>
      <c r="Q195" s="2377"/>
      <c r="R195" s="2377"/>
      <c r="S195" s="956"/>
      <c r="T195" s="953"/>
      <c r="U195" s="862"/>
      <c r="V195" s="862"/>
      <c r="W195" s="863"/>
      <c r="X195" s="863"/>
      <c r="Y195" s="863"/>
      <c r="Z195" s="863"/>
      <c r="AA195" s="864"/>
      <c r="AB195" s="865"/>
      <c r="AC195" s="2373"/>
      <c r="AD195" s="866"/>
      <c r="AE195" s="867"/>
      <c r="AF195" s="867"/>
      <c r="AG195" s="868"/>
      <c r="AH195" s="869"/>
      <c r="AI195" s="862"/>
      <c r="AJ195" s="862"/>
      <c r="AK195" s="862"/>
      <c r="AL195" s="862"/>
      <c r="AM195" s="862"/>
      <c r="AN195" s="862"/>
      <c r="AO195" s="862"/>
      <c r="AP195" s="862"/>
      <c r="AQ195" s="862"/>
      <c r="AR195" s="862"/>
      <c r="AS195" s="862"/>
      <c r="AT195" s="862"/>
      <c r="AU195" s="862"/>
      <c r="AV195" s="862"/>
      <c r="AW195" s="862"/>
      <c r="AX195" s="862"/>
      <c r="AY195" s="862"/>
      <c r="AZ195" s="862"/>
      <c r="BA195" s="862"/>
      <c r="BB195" s="862"/>
      <c r="BC195" s="862"/>
      <c r="BD195" s="862"/>
      <c r="BE195" s="862"/>
      <c r="BF195" s="862"/>
      <c r="BG195" s="862"/>
      <c r="BH195" s="862"/>
      <c r="BI195" s="862"/>
      <c r="BJ195" s="862"/>
      <c r="BK195" s="862"/>
      <c r="BL195" s="862"/>
      <c r="BM195" s="862"/>
      <c r="BN195" s="862"/>
      <c r="BO195" s="862"/>
      <c r="BP195" s="862"/>
      <c r="BQ195" s="862"/>
      <c r="BR195" s="862"/>
      <c r="BS195" s="862"/>
      <c r="BT195" s="862"/>
      <c r="BU195" s="862"/>
      <c r="BV195" s="863"/>
      <c r="BW195" s="863"/>
      <c r="BX195" s="863"/>
      <c r="BY195" s="863"/>
      <c r="BZ195" s="863"/>
      <c r="CA195" s="863"/>
      <c r="CB195" s="863"/>
      <c r="CC195" s="863"/>
      <c r="CD195" s="863"/>
      <c r="CE195" s="863"/>
    </row>
    <row customHeight="1" ht="15" hidden="1">
      <c r="A196" s="860"/>
      <c r="B196" s="861"/>
      <c r="C196" s="861"/>
      <c r="D196" s="2391"/>
      <c r="E196" s="2374" t="s">
        <v>1477</v>
      </c>
      <c r="F196" s="2375"/>
      <c r="G196" s="2376"/>
      <c r="H196" s="2377" t="str">
        <f>IF(A194="","",INDEX(DIFFERENTIATION_UNMERGE_SYSTEM,MATCH(A194,DIFFERENTIATION_ID_DIFF,0)))</f>
        <v>Котельная №18А, с.Солнечная Поляна, ул. 4-я Линия</v>
      </c>
      <c r="I196" s="2377"/>
      <c r="J196" s="2377"/>
      <c r="K196" s="2377"/>
      <c r="L196" s="2377"/>
      <c r="M196" s="2377"/>
      <c r="N196" s="2377"/>
      <c r="O196" s="2377"/>
      <c r="P196" s="2377"/>
      <c r="Q196" s="2377"/>
      <c r="R196" s="2377"/>
      <c r="S196" s="956"/>
      <c r="T196" s="953"/>
      <c r="U196" s="862"/>
      <c r="V196" s="862"/>
      <c r="W196" s="863"/>
      <c r="X196" s="863"/>
      <c r="Y196" s="863"/>
      <c r="Z196" s="863"/>
      <c r="AA196" s="864"/>
      <c r="AB196" s="865"/>
      <c r="AC196" s="2373"/>
      <c r="AD196" s="866"/>
      <c r="AE196" s="867"/>
      <c r="AF196" s="867"/>
      <c r="AG196" s="868"/>
      <c r="AH196" s="869"/>
      <c r="AI196" s="862"/>
      <c r="AJ196" s="862"/>
      <c r="AK196" s="862"/>
      <c r="AL196" s="862"/>
      <c r="AM196" s="862"/>
      <c r="AN196" s="862"/>
      <c r="AO196" s="862"/>
      <c r="AP196" s="862"/>
      <c r="AQ196" s="862"/>
      <c r="AR196" s="862"/>
      <c r="AS196" s="862"/>
      <c r="AT196" s="862"/>
      <c r="AU196" s="862"/>
      <c r="AV196" s="862"/>
      <c r="AW196" s="862"/>
      <c r="AX196" s="862"/>
      <c r="AY196" s="862"/>
      <c r="AZ196" s="862"/>
      <c r="BA196" s="862"/>
      <c r="BB196" s="862"/>
      <c r="BC196" s="862"/>
      <c r="BD196" s="862"/>
      <c r="BE196" s="862"/>
      <c r="BF196" s="862"/>
      <c r="BG196" s="862"/>
      <c r="BH196" s="862"/>
      <c r="BI196" s="862"/>
      <c r="BJ196" s="862"/>
      <c r="BK196" s="862"/>
      <c r="BL196" s="862"/>
      <c r="BM196" s="862"/>
      <c r="BN196" s="862"/>
      <c r="BO196" s="862"/>
      <c r="BP196" s="862"/>
      <c r="BQ196" s="862"/>
      <c r="BR196" s="862"/>
      <c r="BS196" s="862"/>
      <c r="BT196" s="862"/>
      <c r="BU196" s="862"/>
      <c r="BV196" s="863"/>
      <c r="BW196" s="863"/>
      <c r="BX196" s="863"/>
      <c r="BY196" s="863"/>
      <c r="BZ196" s="863"/>
      <c r="CA196" s="863"/>
      <c r="CB196" s="863"/>
      <c r="CC196" s="863"/>
      <c r="CD196" s="863"/>
      <c r="CE196" s="863"/>
    </row>
    <row customHeight="1" ht="24.75" hidden="1">
      <c r="A197" s="870"/>
      <c r="B197" s="653"/>
      <c r="C197" s="648"/>
      <c r="D197" s="2391"/>
      <c r="E197" s="2388" t="s">
        <v>1478</v>
      </c>
      <c r="F197" s="2388"/>
      <c r="G197" s="2388"/>
      <c r="H197" s="2388"/>
      <c r="I197" s="2388"/>
      <c r="J197" s="2388"/>
      <c r="K197" s="2388"/>
      <c r="L197" s="2388"/>
      <c r="M197" s="2388"/>
      <c r="N197" s="2388"/>
      <c r="O197" s="2388"/>
      <c r="P197" s="2388"/>
      <c r="Q197" s="795">
        <f>SUMIF(T198:T199,"i",Q198:Q199)</f>
        <v>0</v>
      </c>
      <c r="R197" s="1273"/>
      <c r="S197" s="1278" t="s">
        <v>1479</v>
      </c>
      <c r="T197" s="954" t="s">
        <v>1480</v>
      </c>
      <c r="U197" s="2389">
        <v>1</v>
      </c>
      <c r="V197" s="2389" t="s">
        <v>1481</v>
      </c>
      <c r="W197" s="653"/>
      <c r="X197" s="653"/>
      <c r="Y197" s="653"/>
      <c r="Z197" s="653"/>
      <c r="AA197" s="748"/>
      <c r="AB197" s="653"/>
      <c r="AC197" s="2373"/>
      <c r="AD197" s="866"/>
      <c r="AE197" s="653"/>
      <c r="AF197" s="653"/>
      <c r="AG197" s="748"/>
      <c r="AH197" s="748"/>
      <c r="AI197" s="748"/>
      <c r="AJ197" s="748"/>
      <c r="AK197" s="748"/>
      <c r="AL197" s="748"/>
      <c r="AM197" s="748"/>
      <c r="AN197" s="748"/>
      <c r="AO197" s="748"/>
      <c r="AP197" s="748"/>
      <c r="AQ197" s="748"/>
      <c r="AR197" s="748"/>
      <c r="AS197" s="748"/>
      <c r="AT197" s="748"/>
      <c r="AU197" s="748"/>
      <c r="AV197" s="748"/>
      <c r="AW197" s="748"/>
      <c r="AX197" s="748"/>
      <c r="AY197" s="748"/>
      <c r="AZ197" s="748"/>
      <c r="BA197" s="748"/>
      <c r="BB197" s="748"/>
      <c r="BC197" s="748"/>
      <c r="BD197" s="748"/>
      <c r="BE197" s="748"/>
      <c r="BF197" s="748"/>
      <c r="BG197" s="748"/>
      <c r="BH197" s="748"/>
      <c r="BI197" s="748"/>
      <c r="BJ197" s="748"/>
      <c r="BK197" s="748"/>
      <c r="BL197" s="748"/>
      <c r="BM197" s="748"/>
      <c r="BN197" s="748"/>
      <c r="BO197" s="748"/>
      <c r="BP197" s="748"/>
      <c r="BQ197" s="748"/>
      <c r="BR197" s="748"/>
      <c r="BS197" s="748"/>
      <c r="BT197" s="748"/>
      <c r="BU197" s="748"/>
      <c r="BV197" s="653"/>
      <c r="BW197" s="653"/>
      <c r="BX197" s="653"/>
      <c r="BY197" s="653"/>
      <c r="BZ197" s="653"/>
      <c r="CA197" s="653"/>
      <c r="CB197" s="653"/>
      <c r="CC197" s="653"/>
      <c r="CD197" s="653"/>
      <c r="CE197" s="653"/>
    </row>
    <row customHeight="1" ht="11.25" hidden="1">
      <c r="A198" s="1277"/>
      <c r="B198" s="748"/>
      <c r="C198" s="748"/>
      <c r="D198" s="2391"/>
      <c r="E198" s="872"/>
      <c r="F198" s="872">
        <v>0</v>
      </c>
      <c r="G198" s="872"/>
      <c r="H198" s="872"/>
      <c r="I198" s="872"/>
      <c r="J198" s="872"/>
      <c r="K198" s="872"/>
      <c r="L198" s="872"/>
      <c r="M198" s="872"/>
      <c r="N198" s="872"/>
      <c r="O198" s="872"/>
      <c r="P198" s="872"/>
      <c r="Q198" s="872"/>
      <c r="R198" s="872"/>
      <c r="S198" s="873"/>
      <c r="T198" s="955"/>
      <c r="U198" s="2389"/>
      <c r="V198" s="2389"/>
      <c r="W198" s="748"/>
      <c r="X198" s="748"/>
      <c r="Y198" s="748"/>
      <c r="Z198" s="748"/>
      <c r="AA198" s="748"/>
      <c r="AB198" s="653"/>
      <c r="AC198" s="2373"/>
      <c r="AD198" s="866"/>
      <c r="AE198" s="653"/>
      <c r="AF198" s="653"/>
      <c r="AG198" s="748"/>
      <c r="AH198" s="748"/>
      <c r="AI198" s="748"/>
      <c r="AJ198" s="748"/>
      <c r="AK198" s="748"/>
      <c r="AL198" s="748"/>
      <c r="AM198" s="748"/>
      <c r="AN198" s="748"/>
      <c r="AO198" s="748"/>
      <c r="AP198" s="748"/>
      <c r="AQ198" s="748"/>
      <c r="AR198" s="748"/>
      <c r="AS198" s="748"/>
      <c r="AT198" s="748"/>
      <c r="AU198" s="748"/>
      <c r="AV198" s="748"/>
      <c r="AW198" s="748"/>
      <c r="AX198" s="748"/>
      <c r="AY198" s="748"/>
      <c r="AZ198" s="748"/>
      <c r="BA198" s="748"/>
      <c r="BB198" s="748"/>
      <c r="BC198" s="748"/>
      <c r="BD198" s="748"/>
      <c r="BE198" s="748"/>
      <c r="BF198" s="748"/>
      <c r="BG198" s="748"/>
      <c r="BH198" s="748"/>
      <c r="BI198" s="748"/>
      <c r="BJ198" s="748"/>
      <c r="BK198" s="748"/>
      <c r="BL198" s="748"/>
      <c r="BM198" s="748"/>
      <c r="BN198" s="748"/>
      <c r="BO198" s="748"/>
      <c r="BP198" s="748"/>
      <c r="BQ198" s="748"/>
      <c r="BR198" s="748"/>
      <c r="BS198" s="748"/>
      <c r="BT198" s="748"/>
      <c r="BU198" s="748"/>
      <c r="BV198" s="748"/>
      <c r="BW198" s="748"/>
      <c r="BX198" s="748"/>
      <c r="BY198" s="748"/>
      <c r="BZ198" s="748"/>
      <c r="CA198" s="748"/>
      <c r="CB198" s="748"/>
      <c r="CC198" s="748"/>
      <c r="CD198" s="748"/>
      <c r="CE198" s="748"/>
    </row>
    <row customHeight="1" ht="11.25" hidden="1">
      <c r="A199" s="870"/>
      <c r="B199" s="653"/>
      <c r="C199" s="648"/>
      <c r="D199" s="2391"/>
      <c r="E199" s="886" t="s">
        <v>17</v>
      </c>
      <c r="F199" s="887" t="s">
        <v>17</v>
      </c>
      <c r="G199" s="887" t="s">
        <v>1482</v>
      </c>
      <c r="H199" s="888" t="s">
        <v>17</v>
      </c>
      <c r="I199" s="888"/>
      <c r="J199" s="888"/>
      <c r="K199" s="888"/>
      <c r="L199" s="888"/>
      <c r="M199" s="888"/>
      <c r="N199" s="888"/>
      <c r="O199" s="888"/>
      <c r="P199" s="888"/>
      <c r="Q199" s="888"/>
      <c r="R199" s="889"/>
      <c r="S199" s="890"/>
      <c r="T199" s="955"/>
      <c r="U199" s="2389"/>
      <c r="V199" s="2389"/>
      <c r="W199" s="653"/>
      <c r="X199" s="653"/>
      <c r="Y199" s="653"/>
      <c r="Z199" s="653"/>
      <c r="AA199" s="748"/>
      <c r="AB199" s="653"/>
      <c r="AC199" s="2373"/>
      <c r="AD199" s="866"/>
      <c r="AE199" s="653"/>
      <c r="AF199" s="653"/>
      <c r="AG199" s="748"/>
      <c r="AH199" s="748"/>
      <c r="AI199" s="748"/>
      <c r="AJ199" s="748"/>
      <c r="AK199" s="748"/>
      <c r="AL199" s="748"/>
      <c r="AM199" s="748"/>
      <c r="AN199" s="748"/>
      <c r="AO199" s="748"/>
      <c r="AP199" s="748"/>
      <c r="AQ199" s="748"/>
      <c r="AR199" s="748"/>
      <c r="AS199" s="748"/>
      <c r="AT199" s="748"/>
      <c r="AU199" s="748"/>
      <c r="AV199" s="748"/>
      <c r="AW199" s="748"/>
      <c r="AX199" s="748"/>
      <c r="AY199" s="748"/>
      <c r="AZ199" s="748"/>
      <c r="BA199" s="748"/>
      <c r="BB199" s="748"/>
      <c r="BC199" s="748"/>
      <c r="BD199" s="748"/>
      <c r="BE199" s="748"/>
      <c r="BF199" s="748"/>
      <c r="BG199" s="748"/>
      <c r="BH199" s="748"/>
      <c r="BI199" s="748"/>
      <c r="BJ199" s="748"/>
      <c r="BK199" s="748"/>
      <c r="BL199" s="748"/>
      <c r="BM199" s="748"/>
      <c r="BN199" s="748"/>
      <c r="BO199" s="748"/>
      <c r="BP199" s="748"/>
      <c r="BQ199" s="748"/>
      <c r="BR199" s="748"/>
      <c r="BS199" s="748"/>
      <c r="BT199" s="748"/>
      <c r="BU199" s="748"/>
      <c r="BV199" s="653"/>
      <c r="BW199" s="653"/>
      <c r="BX199" s="653"/>
      <c r="BY199" s="653"/>
      <c r="BZ199" s="653"/>
      <c r="CA199" s="653"/>
      <c r="CB199" s="653"/>
      <c r="CC199" s="653"/>
      <c r="CD199" s="653"/>
      <c r="CE199" s="653"/>
    </row>
    <row customHeight="1" ht="5.25" hidden="1">
      <c r="A200" s="1277"/>
      <c r="B200" s="748"/>
      <c r="C200" s="748"/>
      <c r="D200" s="2391"/>
      <c r="E200" s="1297"/>
      <c r="F200" s="1297"/>
      <c r="G200" s="1297"/>
      <c r="H200" s="1297"/>
      <c r="I200" s="1297"/>
      <c r="J200" s="1297"/>
      <c r="K200" s="1297"/>
      <c r="L200" s="1297"/>
      <c r="M200" s="1297"/>
      <c r="N200" s="1297"/>
      <c r="O200" s="1297"/>
      <c r="P200" s="1297"/>
      <c r="Q200" s="1298"/>
      <c r="R200" s="1299"/>
      <c r="S200" s="1300"/>
      <c r="T200" s="954" t="s">
        <v>1480</v>
      </c>
      <c r="U200" s="2389">
        <v>1</v>
      </c>
      <c r="V200" s="2389" t="s">
        <v>1481</v>
      </c>
      <c r="W200" s="748"/>
      <c r="X200" s="748"/>
      <c r="Y200" s="748"/>
      <c r="Z200" s="748"/>
      <c r="AA200" s="748"/>
      <c r="AB200" s="748"/>
      <c r="AC200" s="1295"/>
      <c r="AD200" s="1296"/>
      <c r="AE200" s="748"/>
      <c r="AF200" s="748"/>
      <c r="AG200" s="748"/>
      <c r="AH200" s="748"/>
      <c r="AI200" s="748"/>
      <c r="AJ200" s="748"/>
      <c r="AK200" s="748"/>
      <c r="AL200" s="748"/>
      <c r="AM200" s="748"/>
      <c r="AN200" s="748"/>
      <c r="AO200" s="748"/>
      <c r="AP200" s="748"/>
      <c r="AQ200" s="748"/>
      <c r="AR200" s="748"/>
      <c r="AS200" s="748"/>
      <c r="AT200" s="748"/>
      <c r="AU200" s="748"/>
      <c r="AV200" s="748"/>
      <c r="AW200" s="748"/>
      <c r="AX200" s="748"/>
      <c r="AY200" s="748"/>
      <c r="AZ200" s="748"/>
      <c r="BA200" s="748"/>
      <c r="BB200" s="748"/>
      <c r="BC200" s="748"/>
      <c r="BD200" s="748"/>
      <c r="BE200" s="748"/>
      <c r="BF200" s="748"/>
      <c r="BG200" s="748"/>
      <c r="BH200" s="748"/>
      <c r="BI200" s="748"/>
      <c r="BJ200" s="748"/>
      <c r="BK200" s="748"/>
      <c r="BL200" s="748"/>
      <c r="BM200" s="748"/>
      <c r="BN200" s="748"/>
      <c r="BO200" s="748"/>
      <c r="BP200" s="748"/>
      <c r="BQ200" s="748"/>
      <c r="BR200" s="748"/>
      <c r="BS200" s="748"/>
      <c r="BT200" s="748"/>
      <c r="BU200" s="748"/>
      <c r="BV200" s="748"/>
      <c r="BW200" s="748"/>
      <c r="BX200" s="748"/>
      <c r="BY200" s="748"/>
      <c r="BZ200" s="748"/>
      <c r="CA200" s="748"/>
      <c r="CB200" s="748"/>
      <c r="CC200" s="748"/>
      <c r="CD200" s="748"/>
      <c r="CE200" s="748"/>
    </row>
    <row customHeight="1" ht="5.25" hidden="1">
      <c r="A201" s="1277"/>
      <c r="B201" s="748"/>
      <c r="C201" s="748"/>
      <c r="D201" s="2391"/>
      <c r="E201" s="872"/>
      <c r="F201" s="872"/>
      <c r="G201" s="872"/>
      <c r="H201" s="872"/>
      <c r="I201" s="872"/>
      <c r="J201" s="872"/>
      <c r="K201" s="872"/>
      <c r="L201" s="872"/>
      <c r="M201" s="872"/>
      <c r="N201" s="872"/>
      <c r="O201" s="872"/>
      <c r="P201" s="872"/>
      <c r="Q201" s="872"/>
      <c r="R201" s="872"/>
      <c r="S201" s="873"/>
      <c r="T201" s="955"/>
      <c r="U201" s="2389"/>
      <c r="V201" s="2389"/>
      <c r="W201" s="748"/>
      <c r="X201" s="748"/>
      <c r="Y201" s="748"/>
      <c r="Z201" s="748"/>
      <c r="AA201" s="748"/>
      <c r="AB201" s="748"/>
      <c r="AC201" s="1295"/>
      <c r="AD201" s="1296"/>
      <c r="AE201" s="748"/>
      <c r="AF201" s="748"/>
      <c r="AG201" s="748"/>
      <c r="AH201" s="748"/>
      <c r="AI201" s="748"/>
      <c r="AJ201" s="748"/>
      <c r="AK201" s="748"/>
      <c r="AL201" s="748"/>
      <c r="AM201" s="748"/>
      <c r="AN201" s="748"/>
      <c r="AO201" s="748"/>
      <c r="AP201" s="748"/>
      <c r="AQ201" s="748"/>
      <c r="AR201" s="748"/>
      <c r="AS201" s="748"/>
      <c r="AT201" s="748"/>
      <c r="AU201" s="748"/>
      <c r="AV201" s="748"/>
      <c r="AW201" s="748"/>
      <c r="AX201" s="748"/>
      <c r="AY201" s="748"/>
      <c r="AZ201" s="748"/>
      <c r="BA201" s="748"/>
      <c r="BB201" s="748"/>
      <c r="BC201" s="748"/>
      <c r="BD201" s="748"/>
      <c r="BE201" s="748"/>
      <c r="BF201" s="748"/>
      <c r="BG201" s="748"/>
      <c r="BH201" s="748"/>
      <c r="BI201" s="748"/>
      <c r="BJ201" s="748"/>
      <c r="BK201" s="748"/>
      <c r="BL201" s="748"/>
      <c r="BM201" s="748"/>
      <c r="BN201" s="748"/>
      <c r="BO201" s="748"/>
      <c r="BP201" s="748"/>
      <c r="BQ201" s="748"/>
      <c r="BR201" s="748"/>
      <c r="BS201" s="748"/>
      <c r="BT201" s="748"/>
      <c r="BU201" s="748"/>
      <c r="BV201" s="748"/>
      <c r="BW201" s="748"/>
      <c r="BX201" s="748"/>
      <c r="BY201" s="748"/>
      <c r="BZ201" s="748"/>
      <c r="CA201" s="748"/>
      <c r="CB201" s="748"/>
      <c r="CC201" s="748"/>
      <c r="CD201" s="748"/>
      <c r="CE201" s="748"/>
    </row>
    <row customHeight="1" ht="5.25" hidden="1">
      <c r="A202" s="1277"/>
      <c r="B202" s="748"/>
      <c r="C202" s="748"/>
      <c r="D202" s="2392"/>
      <c r="E202" s="1301"/>
      <c r="F202" s="1302"/>
      <c r="G202" s="1302"/>
      <c r="H202" s="1303"/>
      <c r="I202" s="1303"/>
      <c r="J202" s="1303"/>
      <c r="K202" s="1303"/>
      <c r="L202" s="1303"/>
      <c r="M202" s="1303"/>
      <c r="N202" s="1303"/>
      <c r="O202" s="1303"/>
      <c r="P202" s="1303"/>
      <c r="Q202" s="1303"/>
      <c r="R202" s="1202"/>
      <c r="S202" s="1304"/>
      <c r="T202" s="955"/>
      <c r="U202" s="2389"/>
      <c r="V202" s="2389"/>
      <c r="W202" s="748"/>
      <c r="X202" s="748"/>
      <c r="Y202" s="748"/>
      <c r="Z202" s="748"/>
      <c r="AA202" s="748"/>
      <c r="AB202" s="748"/>
      <c r="AC202" s="1295"/>
      <c r="AD202" s="1296"/>
      <c r="AE202" s="748"/>
      <c r="AF202" s="748"/>
      <c r="AG202" s="748"/>
      <c r="AH202" s="748"/>
      <c r="AI202" s="748"/>
      <c r="AJ202" s="748"/>
      <c r="AK202" s="748"/>
      <c r="AL202" s="748"/>
      <c r="AM202" s="748"/>
      <c r="AN202" s="748"/>
      <c r="AO202" s="748"/>
      <c r="AP202" s="748"/>
      <c r="AQ202" s="748"/>
      <c r="AR202" s="748"/>
      <c r="AS202" s="748"/>
      <c r="AT202" s="748"/>
      <c r="AU202" s="748"/>
      <c r="AV202" s="748"/>
      <c r="AW202" s="748"/>
      <c r="AX202" s="748"/>
      <c r="AY202" s="748"/>
      <c r="AZ202" s="748"/>
      <c r="BA202" s="748"/>
      <c r="BB202" s="748"/>
      <c r="BC202" s="748"/>
      <c r="BD202" s="748"/>
      <c r="BE202" s="748"/>
      <c r="BF202" s="748"/>
      <c r="BG202" s="748"/>
      <c r="BH202" s="748"/>
      <c r="BI202" s="748"/>
      <c r="BJ202" s="748"/>
      <c r="BK202" s="748"/>
      <c r="BL202" s="748"/>
      <c r="BM202" s="748"/>
      <c r="BN202" s="748"/>
      <c r="BO202" s="748"/>
      <c r="BP202" s="748"/>
      <c r="BQ202" s="748"/>
      <c r="BR202" s="748"/>
      <c r="BS202" s="748"/>
      <c r="BT202" s="748"/>
      <c r="BU202" s="748"/>
      <c r="BV202" s="748"/>
      <c r="BW202" s="748"/>
      <c r="BX202" s="748"/>
      <c r="BY202" s="748"/>
      <c r="BZ202" s="748"/>
      <c r="CA202" s="748"/>
      <c r="CB202" s="748"/>
      <c r="CC202" s="748"/>
      <c r="CD202" s="748"/>
      <c r="CE202" s="748"/>
    </row>
    <row customHeight="1" ht="15" hidden="1">
      <c r="A203" s="860" t="s">
        <v>177</v>
      </c>
      <c r="B203" s="861"/>
      <c r="C203" s="861" t="s">
        <v>17</v>
      </c>
      <c r="D203" s="2390" t="s">
        <v>1830</v>
      </c>
      <c r="E203" s="2374" t="s">
        <v>105</v>
      </c>
      <c r="F203" s="2375"/>
      <c r="G203" s="2376"/>
      <c r="H203" s="2377" t="str">
        <f>IF(A203="","",INDEX(DIFFERENTIATION_UNMERGE_VD,MATCH(A203,DIFFERENTIATION_ID_DIFF,0)))</f>
        <v>Производство тепловой энергии. Некомбинированная выработка</v>
      </c>
      <c r="I203" s="2377"/>
      <c r="J203" s="2377"/>
      <c r="K203" s="2377"/>
      <c r="L203" s="2377"/>
      <c r="M203" s="2377"/>
      <c r="N203" s="2377"/>
      <c r="O203" s="2377"/>
      <c r="P203" s="2377"/>
      <c r="Q203" s="2377"/>
      <c r="R203" s="2377"/>
      <c r="S203" s="956"/>
      <c r="T203" s="953"/>
      <c r="U203" s="862"/>
      <c r="V203" s="862"/>
      <c r="W203" s="863"/>
      <c r="X203" s="863"/>
      <c r="Y203" s="863"/>
      <c r="Z203" s="863"/>
      <c r="AA203" s="864"/>
      <c r="AB203" s="865"/>
      <c r="AC203" s="2373"/>
      <c r="AD203" s="866"/>
      <c r="AE203" s="867" t="s">
        <v>17</v>
      </c>
      <c r="AF203" s="867"/>
      <c r="AG203" s="868" t="s">
        <v>1475</v>
      </c>
      <c r="AH203" s="869">
        <v>3</v>
      </c>
      <c r="AI203" s="862"/>
      <c r="AJ203" s="862"/>
      <c r="AK203" s="862"/>
      <c r="AL203" s="862"/>
      <c r="AM203" s="862"/>
      <c r="AN203" s="862"/>
      <c r="AO203" s="862"/>
      <c r="AP203" s="862"/>
      <c r="AQ203" s="862"/>
      <c r="AR203" s="862"/>
      <c r="AS203" s="862"/>
      <c r="AT203" s="862"/>
      <c r="AU203" s="862"/>
      <c r="AV203" s="862"/>
      <c r="AW203" s="862"/>
      <c r="AX203" s="862"/>
      <c r="AY203" s="862"/>
      <c r="AZ203" s="862"/>
      <c r="BA203" s="862"/>
      <c r="BB203" s="862"/>
      <c r="BC203" s="862"/>
      <c r="BD203" s="862"/>
      <c r="BE203" s="862"/>
      <c r="BF203" s="862"/>
      <c r="BG203" s="862"/>
      <c r="BH203" s="862"/>
      <c r="BI203" s="862"/>
      <c r="BJ203" s="862"/>
      <c r="BK203" s="862"/>
      <c r="BL203" s="862"/>
      <c r="BM203" s="862"/>
      <c r="BN203" s="862"/>
      <c r="BO203" s="862"/>
      <c r="BP203" s="862"/>
      <c r="BQ203" s="862"/>
      <c r="BR203" s="862"/>
      <c r="BS203" s="862"/>
      <c r="BT203" s="862"/>
      <c r="BU203" s="862"/>
      <c r="BV203" s="863"/>
      <c r="BW203" s="863"/>
      <c r="BX203" s="863"/>
      <c r="BY203" s="863"/>
      <c r="BZ203" s="863"/>
      <c r="CA203" s="863"/>
      <c r="CB203" s="863"/>
      <c r="CC203" s="863"/>
      <c r="CD203" s="863"/>
      <c r="CE203" s="863"/>
    </row>
    <row customHeight="1" ht="15" hidden="1">
      <c r="A204" s="860"/>
      <c r="B204" s="861"/>
      <c r="C204" s="861"/>
      <c r="D204" s="2391"/>
      <c r="E204" s="2374" t="s">
        <v>1476</v>
      </c>
      <c r="F204" s="2375"/>
      <c r="G204" s="2376"/>
      <c r="H204" s="2377" t="str">
        <f>IF(A203="","",INDEX(DIFFERENTIATION_UNMERGE_AREA,MATCH(A203,DIFFERENTIATION_ID_DIFF,0)))</f>
        <v>Территория 1</v>
      </c>
      <c r="I204" s="2377"/>
      <c r="J204" s="2377"/>
      <c r="K204" s="2377"/>
      <c r="L204" s="2377"/>
      <c r="M204" s="2377"/>
      <c r="N204" s="2377"/>
      <c r="O204" s="2377"/>
      <c r="P204" s="2377"/>
      <c r="Q204" s="2377"/>
      <c r="R204" s="2377"/>
      <c r="S204" s="956"/>
      <c r="T204" s="953"/>
      <c r="U204" s="862"/>
      <c r="V204" s="862"/>
      <c r="W204" s="863"/>
      <c r="X204" s="863"/>
      <c r="Y204" s="863"/>
      <c r="Z204" s="863"/>
      <c r="AA204" s="864"/>
      <c r="AB204" s="865"/>
      <c r="AC204" s="2373"/>
      <c r="AD204" s="866"/>
      <c r="AE204" s="867"/>
      <c r="AF204" s="867"/>
      <c r="AG204" s="868"/>
      <c r="AH204" s="869"/>
      <c r="AI204" s="862"/>
      <c r="AJ204" s="862"/>
      <c r="AK204" s="862"/>
      <c r="AL204" s="862"/>
      <c r="AM204" s="862"/>
      <c r="AN204" s="862"/>
      <c r="AO204" s="862"/>
      <c r="AP204" s="862"/>
      <c r="AQ204" s="862"/>
      <c r="AR204" s="862"/>
      <c r="AS204" s="862"/>
      <c r="AT204" s="862"/>
      <c r="AU204" s="862"/>
      <c r="AV204" s="862"/>
      <c r="AW204" s="862"/>
      <c r="AX204" s="862"/>
      <c r="AY204" s="862"/>
      <c r="AZ204" s="862"/>
      <c r="BA204" s="862"/>
      <c r="BB204" s="862"/>
      <c r="BC204" s="862"/>
      <c r="BD204" s="862"/>
      <c r="BE204" s="862"/>
      <c r="BF204" s="862"/>
      <c r="BG204" s="862"/>
      <c r="BH204" s="862"/>
      <c r="BI204" s="862"/>
      <c r="BJ204" s="862"/>
      <c r="BK204" s="862"/>
      <c r="BL204" s="862"/>
      <c r="BM204" s="862"/>
      <c r="BN204" s="862"/>
      <c r="BO204" s="862"/>
      <c r="BP204" s="862"/>
      <c r="BQ204" s="862"/>
      <c r="BR204" s="862"/>
      <c r="BS204" s="862"/>
      <c r="BT204" s="862"/>
      <c r="BU204" s="862"/>
      <c r="BV204" s="863"/>
      <c r="BW204" s="863"/>
      <c r="BX204" s="863"/>
      <c r="BY204" s="863"/>
      <c r="BZ204" s="863"/>
      <c r="CA204" s="863"/>
      <c r="CB204" s="863"/>
      <c r="CC204" s="863"/>
      <c r="CD204" s="863"/>
      <c r="CE204" s="863"/>
    </row>
    <row customHeight="1" ht="15" hidden="1">
      <c r="A205" s="860"/>
      <c r="B205" s="861"/>
      <c r="C205" s="861"/>
      <c r="D205" s="2391"/>
      <c r="E205" s="2374" t="s">
        <v>1477</v>
      </c>
      <c r="F205" s="2375"/>
      <c r="G205" s="2376"/>
      <c r="H205" s="2377" t="str">
        <f>IF(A203="","",INDEX(DIFFERENTIATION_UNMERGE_SYSTEM,MATCH(A203,DIFFERENTIATION_ID_DIFF,0)))</f>
        <v>Котельная №20,пос.Яблоневый Овраг , ул Никитина</v>
      </c>
      <c r="I205" s="2377"/>
      <c r="J205" s="2377"/>
      <c r="K205" s="2377"/>
      <c r="L205" s="2377"/>
      <c r="M205" s="2377"/>
      <c r="N205" s="2377"/>
      <c r="O205" s="2377"/>
      <c r="P205" s="2377"/>
      <c r="Q205" s="2377"/>
      <c r="R205" s="2377"/>
      <c r="S205" s="956"/>
      <c r="T205" s="953"/>
      <c r="U205" s="862"/>
      <c r="V205" s="862"/>
      <c r="W205" s="863"/>
      <c r="X205" s="863"/>
      <c r="Y205" s="863"/>
      <c r="Z205" s="863"/>
      <c r="AA205" s="864"/>
      <c r="AB205" s="865"/>
      <c r="AC205" s="2373"/>
      <c r="AD205" s="866"/>
      <c r="AE205" s="867"/>
      <c r="AF205" s="867"/>
      <c r="AG205" s="868"/>
      <c r="AH205" s="869"/>
      <c r="AI205" s="862"/>
      <c r="AJ205" s="862"/>
      <c r="AK205" s="862"/>
      <c r="AL205" s="862"/>
      <c r="AM205" s="862"/>
      <c r="AN205" s="862"/>
      <c r="AO205" s="862"/>
      <c r="AP205" s="862"/>
      <c r="AQ205" s="862"/>
      <c r="AR205" s="862"/>
      <c r="AS205" s="862"/>
      <c r="AT205" s="862"/>
      <c r="AU205" s="862"/>
      <c r="AV205" s="862"/>
      <c r="AW205" s="862"/>
      <c r="AX205" s="862"/>
      <c r="AY205" s="862"/>
      <c r="AZ205" s="862"/>
      <c r="BA205" s="862"/>
      <c r="BB205" s="862"/>
      <c r="BC205" s="862"/>
      <c r="BD205" s="862"/>
      <c r="BE205" s="862"/>
      <c r="BF205" s="862"/>
      <c r="BG205" s="862"/>
      <c r="BH205" s="862"/>
      <c r="BI205" s="862"/>
      <c r="BJ205" s="862"/>
      <c r="BK205" s="862"/>
      <c r="BL205" s="862"/>
      <c r="BM205" s="862"/>
      <c r="BN205" s="862"/>
      <c r="BO205" s="862"/>
      <c r="BP205" s="862"/>
      <c r="BQ205" s="862"/>
      <c r="BR205" s="862"/>
      <c r="BS205" s="862"/>
      <c r="BT205" s="862"/>
      <c r="BU205" s="862"/>
      <c r="BV205" s="863"/>
      <c r="BW205" s="863"/>
      <c r="BX205" s="863"/>
      <c r="BY205" s="863"/>
      <c r="BZ205" s="863"/>
      <c r="CA205" s="863"/>
      <c r="CB205" s="863"/>
      <c r="CC205" s="863"/>
      <c r="CD205" s="863"/>
      <c r="CE205" s="863"/>
    </row>
    <row customHeight="1" ht="24.75" hidden="1">
      <c r="A206" s="870"/>
      <c r="B206" s="653"/>
      <c r="C206" s="648"/>
      <c r="D206" s="2391"/>
      <c r="E206" s="2388" t="s">
        <v>1478</v>
      </c>
      <c r="F206" s="2388"/>
      <c r="G206" s="2388"/>
      <c r="H206" s="2388"/>
      <c r="I206" s="2388"/>
      <c r="J206" s="2388"/>
      <c r="K206" s="2388"/>
      <c r="L206" s="2388"/>
      <c r="M206" s="2388"/>
      <c r="N206" s="2388"/>
      <c r="O206" s="2388"/>
      <c r="P206" s="2388"/>
      <c r="Q206" s="795">
        <f>SUMIF(T207:T208,"i",Q207:Q208)</f>
        <v>0</v>
      </c>
      <c r="R206" s="1273"/>
      <c r="S206" s="1278" t="s">
        <v>1479</v>
      </c>
      <c r="T206" s="954" t="s">
        <v>1480</v>
      </c>
      <c r="U206" s="2389">
        <v>1</v>
      </c>
      <c r="V206" s="2389" t="s">
        <v>1481</v>
      </c>
      <c r="W206" s="653"/>
      <c r="X206" s="653"/>
      <c r="Y206" s="653"/>
      <c r="Z206" s="653"/>
      <c r="AA206" s="748"/>
      <c r="AB206" s="653"/>
      <c r="AC206" s="2373"/>
      <c r="AD206" s="866"/>
      <c r="AE206" s="653"/>
      <c r="AF206" s="653"/>
      <c r="AG206" s="748"/>
      <c r="AH206" s="748"/>
      <c r="AI206" s="748"/>
      <c r="AJ206" s="748"/>
      <c r="AK206" s="748"/>
      <c r="AL206" s="748"/>
      <c r="AM206" s="748"/>
      <c r="AN206" s="748"/>
      <c r="AO206" s="748"/>
      <c r="AP206" s="748"/>
      <c r="AQ206" s="748"/>
      <c r="AR206" s="748"/>
      <c r="AS206" s="748"/>
      <c r="AT206" s="748"/>
      <c r="AU206" s="748"/>
      <c r="AV206" s="748"/>
      <c r="AW206" s="748"/>
      <c r="AX206" s="748"/>
      <c r="AY206" s="748"/>
      <c r="AZ206" s="748"/>
      <c r="BA206" s="748"/>
      <c r="BB206" s="748"/>
      <c r="BC206" s="748"/>
      <c r="BD206" s="748"/>
      <c r="BE206" s="748"/>
      <c r="BF206" s="748"/>
      <c r="BG206" s="748"/>
      <c r="BH206" s="748"/>
      <c r="BI206" s="748"/>
      <c r="BJ206" s="748"/>
      <c r="BK206" s="748"/>
      <c r="BL206" s="748"/>
      <c r="BM206" s="748"/>
      <c r="BN206" s="748"/>
      <c r="BO206" s="748"/>
      <c r="BP206" s="748"/>
      <c r="BQ206" s="748"/>
      <c r="BR206" s="748"/>
      <c r="BS206" s="748"/>
      <c r="BT206" s="748"/>
      <c r="BU206" s="748"/>
      <c r="BV206" s="653"/>
      <c r="BW206" s="653"/>
      <c r="BX206" s="653"/>
      <c r="BY206" s="653"/>
      <c r="BZ206" s="653"/>
      <c r="CA206" s="653"/>
      <c r="CB206" s="653"/>
      <c r="CC206" s="653"/>
      <c r="CD206" s="653"/>
      <c r="CE206" s="653"/>
    </row>
    <row customHeight="1" ht="11.25" hidden="1">
      <c r="A207" s="1277"/>
      <c r="B207" s="748"/>
      <c r="C207" s="748"/>
      <c r="D207" s="2391"/>
      <c r="E207" s="872"/>
      <c r="F207" s="872">
        <v>0</v>
      </c>
      <c r="G207" s="872"/>
      <c r="H207" s="872"/>
      <c r="I207" s="872"/>
      <c r="J207" s="872"/>
      <c r="K207" s="872"/>
      <c r="L207" s="872"/>
      <c r="M207" s="872"/>
      <c r="N207" s="872"/>
      <c r="O207" s="872"/>
      <c r="P207" s="872"/>
      <c r="Q207" s="872"/>
      <c r="R207" s="872"/>
      <c r="S207" s="873"/>
      <c r="T207" s="955"/>
      <c r="U207" s="2389"/>
      <c r="V207" s="2389"/>
      <c r="W207" s="748"/>
      <c r="X207" s="748"/>
      <c r="Y207" s="748"/>
      <c r="Z207" s="748"/>
      <c r="AA207" s="748"/>
      <c r="AB207" s="653"/>
      <c r="AC207" s="2373"/>
      <c r="AD207" s="866"/>
      <c r="AE207" s="653"/>
      <c r="AF207" s="653"/>
      <c r="AG207" s="748"/>
      <c r="AH207" s="748"/>
      <c r="AI207" s="748"/>
      <c r="AJ207" s="748"/>
      <c r="AK207" s="748"/>
      <c r="AL207" s="748"/>
      <c r="AM207" s="748"/>
      <c r="AN207" s="748"/>
      <c r="AO207" s="748"/>
      <c r="AP207" s="748"/>
      <c r="AQ207" s="748"/>
      <c r="AR207" s="748"/>
      <c r="AS207" s="748"/>
      <c r="AT207" s="748"/>
      <c r="AU207" s="748"/>
      <c r="AV207" s="748"/>
      <c r="AW207" s="748"/>
      <c r="AX207" s="748"/>
      <c r="AY207" s="748"/>
      <c r="AZ207" s="748"/>
      <c r="BA207" s="748"/>
      <c r="BB207" s="748"/>
      <c r="BC207" s="748"/>
      <c r="BD207" s="748"/>
      <c r="BE207" s="748"/>
      <c r="BF207" s="748"/>
      <c r="BG207" s="748"/>
      <c r="BH207" s="748"/>
      <c r="BI207" s="748"/>
      <c r="BJ207" s="748"/>
      <c r="BK207" s="748"/>
      <c r="BL207" s="748"/>
      <c r="BM207" s="748"/>
      <c r="BN207" s="748"/>
      <c r="BO207" s="748"/>
      <c r="BP207" s="748"/>
      <c r="BQ207" s="748"/>
      <c r="BR207" s="748"/>
      <c r="BS207" s="748"/>
      <c r="BT207" s="748"/>
      <c r="BU207" s="748"/>
      <c r="BV207" s="748"/>
      <c r="BW207" s="748"/>
      <c r="BX207" s="748"/>
      <c r="BY207" s="748"/>
      <c r="BZ207" s="748"/>
      <c r="CA207" s="748"/>
      <c r="CB207" s="748"/>
      <c r="CC207" s="748"/>
      <c r="CD207" s="748"/>
      <c r="CE207" s="748"/>
    </row>
    <row customHeight="1" ht="11.25" hidden="1">
      <c r="A208" s="870"/>
      <c r="B208" s="653"/>
      <c r="C208" s="648"/>
      <c r="D208" s="2391"/>
      <c r="E208" s="886" t="s">
        <v>17</v>
      </c>
      <c r="F208" s="887" t="s">
        <v>17</v>
      </c>
      <c r="G208" s="887" t="s">
        <v>1482</v>
      </c>
      <c r="H208" s="888" t="s">
        <v>17</v>
      </c>
      <c r="I208" s="888"/>
      <c r="J208" s="888"/>
      <c r="K208" s="888"/>
      <c r="L208" s="888"/>
      <c r="M208" s="888"/>
      <c r="N208" s="888"/>
      <c r="O208" s="888"/>
      <c r="P208" s="888"/>
      <c r="Q208" s="888"/>
      <c r="R208" s="889"/>
      <c r="S208" s="890"/>
      <c r="T208" s="955"/>
      <c r="U208" s="2389"/>
      <c r="V208" s="2389"/>
      <c r="W208" s="653"/>
      <c r="X208" s="653"/>
      <c r="Y208" s="653"/>
      <c r="Z208" s="653"/>
      <c r="AA208" s="748"/>
      <c r="AB208" s="653"/>
      <c r="AC208" s="2373"/>
      <c r="AD208" s="866"/>
      <c r="AE208" s="653"/>
      <c r="AF208" s="653"/>
      <c r="AG208" s="748"/>
      <c r="AH208" s="748"/>
      <c r="AI208" s="748"/>
      <c r="AJ208" s="748"/>
      <c r="AK208" s="748"/>
      <c r="AL208" s="748"/>
      <c r="AM208" s="748"/>
      <c r="AN208" s="748"/>
      <c r="AO208" s="748"/>
      <c r="AP208" s="748"/>
      <c r="AQ208" s="748"/>
      <c r="AR208" s="748"/>
      <c r="AS208" s="748"/>
      <c r="AT208" s="748"/>
      <c r="AU208" s="748"/>
      <c r="AV208" s="748"/>
      <c r="AW208" s="748"/>
      <c r="AX208" s="748"/>
      <c r="AY208" s="748"/>
      <c r="AZ208" s="748"/>
      <c r="BA208" s="748"/>
      <c r="BB208" s="748"/>
      <c r="BC208" s="748"/>
      <c r="BD208" s="748"/>
      <c r="BE208" s="748"/>
      <c r="BF208" s="748"/>
      <c r="BG208" s="748"/>
      <c r="BH208" s="748"/>
      <c r="BI208" s="748"/>
      <c r="BJ208" s="748"/>
      <c r="BK208" s="748"/>
      <c r="BL208" s="748"/>
      <c r="BM208" s="748"/>
      <c r="BN208" s="748"/>
      <c r="BO208" s="748"/>
      <c r="BP208" s="748"/>
      <c r="BQ208" s="748"/>
      <c r="BR208" s="748"/>
      <c r="BS208" s="748"/>
      <c r="BT208" s="748"/>
      <c r="BU208" s="748"/>
      <c r="BV208" s="653"/>
      <c r="BW208" s="653"/>
      <c r="BX208" s="653"/>
      <c r="BY208" s="653"/>
      <c r="BZ208" s="653"/>
      <c r="CA208" s="653"/>
      <c r="CB208" s="653"/>
      <c r="CC208" s="653"/>
      <c r="CD208" s="653"/>
      <c r="CE208" s="653"/>
    </row>
    <row customHeight="1" ht="5.25" hidden="1">
      <c r="A209" s="1277"/>
      <c r="B209" s="748"/>
      <c r="C209" s="748"/>
      <c r="D209" s="2391"/>
      <c r="E209" s="1297"/>
      <c r="F209" s="1297"/>
      <c r="G209" s="1297"/>
      <c r="H209" s="1297"/>
      <c r="I209" s="1297"/>
      <c r="J209" s="1297"/>
      <c r="K209" s="1297"/>
      <c r="L209" s="1297"/>
      <c r="M209" s="1297"/>
      <c r="N209" s="1297"/>
      <c r="O209" s="1297"/>
      <c r="P209" s="1297"/>
      <c r="Q209" s="1298"/>
      <c r="R209" s="1299"/>
      <c r="S209" s="1300"/>
      <c r="T209" s="954" t="s">
        <v>1480</v>
      </c>
      <c r="U209" s="2389">
        <v>1</v>
      </c>
      <c r="V209" s="2389" t="s">
        <v>1481</v>
      </c>
      <c r="W209" s="748"/>
      <c r="X209" s="748"/>
      <c r="Y209" s="748"/>
      <c r="Z209" s="748"/>
      <c r="AA209" s="748"/>
      <c r="AB209" s="748"/>
      <c r="AC209" s="1295"/>
      <c r="AD209" s="1296"/>
      <c r="AE209" s="748"/>
      <c r="AF209" s="748"/>
      <c r="AG209" s="748"/>
      <c r="AH209" s="748"/>
      <c r="AI209" s="748"/>
      <c r="AJ209" s="748"/>
      <c r="AK209" s="748"/>
      <c r="AL209" s="748"/>
      <c r="AM209" s="748"/>
      <c r="AN209" s="748"/>
      <c r="AO209" s="748"/>
      <c r="AP209" s="748"/>
      <c r="AQ209" s="748"/>
      <c r="AR209" s="748"/>
      <c r="AS209" s="748"/>
      <c r="AT209" s="748"/>
      <c r="AU209" s="748"/>
      <c r="AV209" s="748"/>
      <c r="AW209" s="748"/>
      <c r="AX209" s="748"/>
      <c r="AY209" s="748"/>
      <c r="AZ209" s="748"/>
      <c r="BA209" s="748"/>
      <c r="BB209" s="748"/>
      <c r="BC209" s="748"/>
      <c r="BD209" s="748"/>
      <c r="BE209" s="748"/>
      <c r="BF209" s="748"/>
      <c r="BG209" s="748"/>
      <c r="BH209" s="748"/>
      <c r="BI209" s="748"/>
      <c r="BJ209" s="748"/>
      <c r="BK209" s="748"/>
      <c r="BL209" s="748"/>
      <c r="BM209" s="748"/>
      <c r="BN209" s="748"/>
      <c r="BO209" s="748"/>
      <c r="BP209" s="748"/>
      <c r="BQ209" s="748"/>
      <c r="BR209" s="748"/>
      <c r="BS209" s="748"/>
      <c r="BT209" s="748"/>
      <c r="BU209" s="748"/>
      <c r="BV209" s="748"/>
      <c r="BW209" s="748"/>
      <c r="BX209" s="748"/>
      <c r="BY209" s="748"/>
      <c r="BZ209" s="748"/>
      <c r="CA209" s="748"/>
      <c r="CB209" s="748"/>
      <c r="CC209" s="748"/>
      <c r="CD209" s="748"/>
      <c r="CE209" s="748"/>
    </row>
    <row customHeight="1" ht="5.25" hidden="1">
      <c r="A210" s="1277"/>
      <c r="B210" s="748"/>
      <c r="C210" s="748"/>
      <c r="D210" s="2391"/>
      <c r="E210" s="872"/>
      <c r="F210" s="872"/>
      <c r="G210" s="872"/>
      <c r="H210" s="872"/>
      <c r="I210" s="872"/>
      <c r="J210" s="872"/>
      <c r="K210" s="872"/>
      <c r="L210" s="872"/>
      <c r="M210" s="872"/>
      <c r="N210" s="872"/>
      <c r="O210" s="872"/>
      <c r="P210" s="872"/>
      <c r="Q210" s="872"/>
      <c r="R210" s="872"/>
      <c r="S210" s="873"/>
      <c r="T210" s="955"/>
      <c r="U210" s="2389"/>
      <c r="V210" s="2389"/>
      <c r="W210" s="748"/>
      <c r="X210" s="748"/>
      <c r="Y210" s="748"/>
      <c r="Z210" s="748"/>
      <c r="AA210" s="748"/>
      <c r="AB210" s="748"/>
      <c r="AC210" s="1295"/>
      <c r="AD210" s="1296"/>
      <c r="AE210" s="748"/>
      <c r="AF210" s="748"/>
      <c r="AG210" s="748"/>
      <c r="AH210" s="748"/>
      <c r="AI210" s="748"/>
      <c r="AJ210" s="748"/>
      <c r="AK210" s="748"/>
      <c r="AL210" s="748"/>
      <c r="AM210" s="748"/>
      <c r="AN210" s="748"/>
      <c r="AO210" s="748"/>
      <c r="AP210" s="748"/>
      <c r="AQ210" s="748"/>
      <c r="AR210" s="748"/>
      <c r="AS210" s="748"/>
      <c r="AT210" s="748"/>
      <c r="AU210" s="748"/>
      <c r="AV210" s="748"/>
      <c r="AW210" s="748"/>
      <c r="AX210" s="748"/>
      <c r="AY210" s="748"/>
      <c r="AZ210" s="748"/>
      <c r="BA210" s="748"/>
      <c r="BB210" s="748"/>
      <c r="BC210" s="748"/>
      <c r="BD210" s="748"/>
      <c r="BE210" s="748"/>
      <c r="BF210" s="748"/>
      <c r="BG210" s="748"/>
      <c r="BH210" s="748"/>
      <c r="BI210" s="748"/>
      <c r="BJ210" s="748"/>
      <c r="BK210" s="748"/>
      <c r="BL210" s="748"/>
      <c r="BM210" s="748"/>
      <c r="BN210" s="748"/>
      <c r="BO210" s="748"/>
      <c r="BP210" s="748"/>
      <c r="BQ210" s="748"/>
      <c r="BR210" s="748"/>
      <c r="BS210" s="748"/>
      <c r="BT210" s="748"/>
      <c r="BU210" s="748"/>
      <c r="BV210" s="748"/>
      <c r="BW210" s="748"/>
      <c r="BX210" s="748"/>
      <c r="BY210" s="748"/>
      <c r="BZ210" s="748"/>
      <c r="CA210" s="748"/>
      <c r="CB210" s="748"/>
      <c r="CC210" s="748"/>
      <c r="CD210" s="748"/>
      <c r="CE210" s="748"/>
    </row>
    <row customHeight="1" ht="5.25" hidden="1">
      <c r="A211" s="1277"/>
      <c r="B211" s="748"/>
      <c r="C211" s="748"/>
      <c r="D211" s="2392"/>
      <c r="E211" s="1301"/>
      <c r="F211" s="1302"/>
      <c r="G211" s="1302"/>
      <c r="H211" s="1303"/>
      <c r="I211" s="1303"/>
      <c r="J211" s="1303"/>
      <c r="K211" s="1303"/>
      <c r="L211" s="1303"/>
      <c r="M211" s="1303"/>
      <c r="N211" s="1303"/>
      <c r="O211" s="1303"/>
      <c r="P211" s="1303"/>
      <c r="Q211" s="1303"/>
      <c r="R211" s="1202"/>
      <c r="S211" s="1304"/>
      <c r="T211" s="955"/>
      <c r="U211" s="2389"/>
      <c r="V211" s="2389"/>
      <c r="W211" s="748"/>
      <c r="X211" s="748"/>
      <c r="Y211" s="748"/>
      <c r="Z211" s="748"/>
      <c r="AA211" s="748"/>
      <c r="AB211" s="748"/>
      <c r="AC211" s="1295"/>
      <c r="AD211" s="1296"/>
      <c r="AE211" s="748"/>
      <c r="AF211" s="748"/>
      <c r="AG211" s="748"/>
      <c r="AH211" s="748"/>
      <c r="AI211" s="748"/>
      <c r="AJ211" s="748"/>
      <c r="AK211" s="748"/>
      <c r="AL211" s="748"/>
      <c r="AM211" s="748"/>
      <c r="AN211" s="748"/>
      <c r="AO211" s="748"/>
      <c r="AP211" s="748"/>
      <c r="AQ211" s="748"/>
      <c r="AR211" s="748"/>
      <c r="AS211" s="748"/>
      <c r="AT211" s="748"/>
      <c r="AU211" s="748"/>
      <c r="AV211" s="748"/>
      <c r="AW211" s="748"/>
      <c r="AX211" s="748"/>
      <c r="AY211" s="748"/>
      <c r="AZ211" s="748"/>
      <c r="BA211" s="748"/>
      <c r="BB211" s="748"/>
      <c r="BC211" s="748"/>
      <c r="BD211" s="748"/>
      <c r="BE211" s="748"/>
      <c r="BF211" s="748"/>
      <c r="BG211" s="748"/>
      <c r="BH211" s="748"/>
      <c r="BI211" s="748"/>
      <c r="BJ211" s="748"/>
      <c r="BK211" s="748"/>
      <c r="BL211" s="748"/>
      <c r="BM211" s="748"/>
      <c r="BN211" s="748"/>
      <c r="BO211" s="748"/>
      <c r="BP211" s="748"/>
      <c r="BQ211" s="748"/>
      <c r="BR211" s="748"/>
      <c r="BS211" s="748"/>
      <c r="BT211" s="748"/>
      <c r="BU211" s="748"/>
      <c r="BV211" s="748"/>
      <c r="BW211" s="748"/>
      <c r="BX211" s="748"/>
      <c r="BY211" s="748"/>
      <c r="BZ211" s="748"/>
      <c r="CA211" s="748"/>
      <c r="CB211" s="748"/>
      <c r="CC211" s="748"/>
      <c r="CD211" s="748"/>
      <c r="CE211" s="748"/>
    </row>
    <row customHeight="1" ht="15" hidden="1">
      <c r="A212" s="860" t="s">
        <v>180</v>
      </c>
      <c r="B212" s="861"/>
      <c r="C212" s="861" t="s">
        <v>17</v>
      </c>
      <c r="D212" s="2390" t="s">
        <v>1831</v>
      </c>
      <c r="E212" s="2374" t="s">
        <v>105</v>
      </c>
      <c r="F212" s="2375"/>
      <c r="G212" s="2376"/>
      <c r="H212" s="2377" t="str">
        <f>IF(A212="","",INDEX(DIFFERENTIATION_UNMERGE_VD,MATCH(A212,DIFFERENTIATION_ID_DIFF,0)))</f>
        <v>Производство тепловой энергии. Некомбинированная выработка</v>
      </c>
      <c r="I212" s="2377"/>
      <c r="J212" s="2377"/>
      <c r="K212" s="2377"/>
      <c r="L212" s="2377"/>
      <c r="M212" s="2377"/>
      <c r="N212" s="2377"/>
      <c r="O212" s="2377"/>
      <c r="P212" s="2377"/>
      <c r="Q212" s="2377"/>
      <c r="R212" s="2377"/>
      <c r="S212" s="956"/>
      <c r="T212" s="953"/>
      <c r="U212" s="862"/>
      <c r="V212" s="862"/>
      <c r="W212" s="863"/>
      <c r="X212" s="863"/>
      <c r="Y212" s="863"/>
      <c r="Z212" s="863"/>
      <c r="AA212" s="864"/>
      <c r="AB212" s="865"/>
      <c r="AC212" s="2373"/>
      <c r="AD212" s="866"/>
      <c r="AE212" s="867" t="s">
        <v>17</v>
      </c>
      <c r="AF212" s="867"/>
      <c r="AG212" s="868" t="s">
        <v>1475</v>
      </c>
      <c r="AH212" s="869">
        <v>3</v>
      </c>
      <c r="AI212" s="862"/>
      <c r="AJ212" s="862"/>
      <c r="AK212" s="862"/>
      <c r="AL212" s="862"/>
      <c r="AM212" s="862"/>
      <c r="AN212" s="862"/>
      <c r="AO212" s="862"/>
      <c r="AP212" s="862"/>
      <c r="AQ212" s="862"/>
      <c r="AR212" s="862"/>
      <c r="AS212" s="862"/>
      <c r="AT212" s="862"/>
      <c r="AU212" s="862"/>
      <c r="AV212" s="862"/>
      <c r="AW212" s="862"/>
      <c r="AX212" s="862"/>
      <c r="AY212" s="862"/>
      <c r="AZ212" s="862"/>
      <c r="BA212" s="862"/>
      <c r="BB212" s="862"/>
      <c r="BC212" s="862"/>
      <c r="BD212" s="862"/>
      <c r="BE212" s="862"/>
      <c r="BF212" s="862"/>
      <c r="BG212" s="862"/>
      <c r="BH212" s="862"/>
      <c r="BI212" s="862"/>
      <c r="BJ212" s="862"/>
      <c r="BK212" s="862"/>
      <c r="BL212" s="862"/>
      <c r="BM212" s="862"/>
      <c r="BN212" s="862"/>
      <c r="BO212" s="862"/>
      <c r="BP212" s="862"/>
      <c r="BQ212" s="862"/>
      <c r="BR212" s="862"/>
      <c r="BS212" s="862"/>
      <c r="BT212" s="862"/>
      <c r="BU212" s="862"/>
      <c r="BV212" s="863"/>
      <c r="BW212" s="863"/>
      <c r="BX212" s="863"/>
      <c r="BY212" s="863"/>
      <c r="BZ212" s="863"/>
      <c r="CA212" s="863"/>
      <c r="CB212" s="863"/>
      <c r="CC212" s="863"/>
      <c r="CD212" s="863"/>
      <c r="CE212" s="863"/>
    </row>
    <row customHeight="1" ht="15" hidden="1">
      <c r="A213" s="860"/>
      <c r="B213" s="861"/>
      <c r="C213" s="861"/>
      <c r="D213" s="2391"/>
      <c r="E213" s="2374" t="s">
        <v>1476</v>
      </c>
      <c r="F213" s="2375"/>
      <c r="G213" s="2376"/>
      <c r="H213" s="2377" t="str">
        <f>IF(A212="","",INDEX(DIFFERENTIATION_UNMERGE_AREA,MATCH(A212,DIFFERENTIATION_ID_DIFF,0)))</f>
        <v>Территория 1</v>
      </c>
      <c r="I213" s="2377"/>
      <c r="J213" s="2377"/>
      <c r="K213" s="2377"/>
      <c r="L213" s="2377"/>
      <c r="M213" s="2377"/>
      <c r="N213" s="2377"/>
      <c r="O213" s="2377"/>
      <c r="P213" s="2377"/>
      <c r="Q213" s="2377"/>
      <c r="R213" s="2377"/>
      <c r="S213" s="956"/>
      <c r="T213" s="953"/>
      <c r="U213" s="862"/>
      <c r="V213" s="862"/>
      <c r="W213" s="863"/>
      <c r="X213" s="863"/>
      <c r="Y213" s="863"/>
      <c r="Z213" s="863"/>
      <c r="AA213" s="864"/>
      <c r="AB213" s="865"/>
      <c r="AC213" s="2373"/>
      <c r="AD213" s="866"/>
      <c r="AE213" s="867"/>
      <c r="AF213" s="867"/>
      <c r="AG213" s="868"/>
      <c r="AH213" s="869"/>
      <c r="AI213" s="862"/>
      <c r="AJ213" s="862"/>
      <c r="AK213" s="862"/>
      <c r="AL213" s="862"/>
      <c r="AM213" s="862"/>
      <c r="AN213" s="862"/>
      <c r="AO213" s="862"/>
      <c r="AP213" s="862"/>
      <c r="AQ213" s="862"/>
      <c r="AR213" s="862"/>
      <c r="AS213" s="862"/>
      <c r="AT213" s="862"/>
      <c r="AU213" s="862"/>
      <c r="AV213" s="862"/>
      <c r="AW213" s="862"/>
      <c r="AX213" s="862"/>
      <c r="AY213" s="862"/>
      <c r="AZ213" s="862"/>
      <c r="BA213" s="862"/>
      <c r="BB213" s="862"/>
      <c r="BC213" s="862"/>
      <c r="BD213" s="862"/>
      <c r="BE213" s="862"/>
      <c r="BF213" s="862"/>
      <c r="BG213" s="862"/>
      <c r="BH213" s="862"/>
      <c r="BI213" s="862"/>
      <c r="BJ213" s="862"/>
      <c r="BK213" s="862"/>
      <c r="BL213" s="862"/>
      <c r="BM213" s="862"/>
      <c r="BN213" s="862"/>
      <c r="BO213" s="862"/>
      <c r="BP213" s="862"/>
      <c r="BQ213" s="862"/>
      <c r="BR213" s="862"/>
      <c r="BS213" s="862"/>
      <c r="BT213" s="862"/>
      <c r="BU213" s="862"/>
      <c r="BV213" s="863"/>
      <c r="BW213" s="863"/>
      <c r="BX213" s="863"/>
      <c r="BY213" s="863"/>
      <c r="BZ213" s="863"/>
      <c r="CA213" s="863"/>
      <c r="CB213" s="863"/>
      <c r="CC213" s="863"/>
      <c r="CD213" s="863"/>
      <c r="CE213" s="863"/>
    </row>
    <row customHeight="1" ht="15" hidden="1">
      <c r="A214" s="860"/>
      <c r="B214" s="861"/>
      <c r="C214" s="861"/>
      <c r="D214" s="2391"/>
      <c r="E214" s="2374" t="s">
        <v>1477</v>
      </c>
      <c r="F214" s="2375"/>
      <c r="G214" s="2376"/>
      <c r="H214" s="2377" t="str">
        <f>IF(A212="","",INDEX(DIFFERENTIATION_UNMERGE_SYSTEM,MATCH(A212,DIFFERENTIATION_ID_DIFF,0)))</f>
        <v>Котельная №22, ул.Магистральная</v>
      </c>
      <c r="I214" s="2377"/>
      <c r="J214" s="2377"/>
      <c r="K214" s="2377"/>
      <c r="L214" s="2377"/>
      <c r="M214" s="2377"/>
      <c r="N214" s="2377"/>
      <c r="O214" s="2377"/>
      <c r="P214" s="2377"/>
      <c r="Q214" s="2377"/>
      <c r="R214" s="2377"/>
      <c r="S214" s="956"/>
      <c r="T214" s="953"/>
      <c r="U214" s="862"/>
      <c r="V214" s="862"/>
      <c r="W214" s="863"/>
      <c r="X214" s="863"/>
      <c r="Y214" s="863"/>
      <c r="Z214" s="863"/>
      <c r="AA214" s="864"/>
      <c r="AB214" s="865"/>
      <c r="AC214" s="2373"/>
      <c r="AD214" s="866"/>
      <c r="AE214" s="867"/>
      <c r="AF214" s="867"/>
      <c r="AG214" s="868"/>
      <c r="AH214" s="869"/>
      <c r="AI214" s="862"/>
      <c r="AJ214" s="862"/>
      <c r="AK214" s="862"/>
      <c r="AL214" s="862"/>
      <c r="AM214" s="862"/>
      <c r="AN214" s="862"/>
      <c r="AO214" s="862"/>
      <c r="AP214" s="862"/>
      <c r="AQ214" s="862"/>
      <c r="AR214" s="862"/>
      <c r="AS214" s="862"/>
      <c r="AT214" s="862"/>
      <c r="AU214" s="862"/>
      <c r="AV214" s="862"/>
      <c r="AW214" s="862"/>
      <c r="AX214" s="862"/>
      <c r="AY214" s="862"/>
      <c r="AZ214" s="862"/>
      <c r="BA214" s="862"/>
      <c r="BB214" s="862"/>
      <c r="BC214" s="862"/>
      <c r="BD214" s="862"/>
      <c r="BE214" s="862"/>
      <c r="BF214" s="862"/>
      <c r="BG214" s="862"/>
      <c r="BH214" s="862"/>
      <c r="BI214" s="862"/>
      <c r="BJ214" s="862"/>
      <c r="BK214" s="862"/>
      <c r="BL214" s="862"/>
      <c r="BM214" s="862"/>
      <c r="BN214" s="862"/>
      <c r="BO214" s="862"/>
      <c r="BP214" s="862"/>
      <c r="BQ214" s="862"/>
      <c r="BR214" s="862"/>
      <c r="BS214" s="862"/>
      <c r="BT214" s="862"/>
      <c r="BU214" s="862"/>
      <c r="BV214" s="863"/>
      <c r="BW214" s="863"/>
      <c r="BX214" s="863"/>
      <c r="BY214" s="863"/>
      <c r="BZ214" s="863"/>
      <c r="CA214" s="863"/>
      <c r="CB214" s="863"/>
      <c r="CC214" s="863"/>
      <c r="CD214" s="863"/>
      <c r="CE214" s="863"/>
    </row>
    <row customHeight="1" ht="24.75" hidden="1">
      <c r="A215" s="870"/>
      <c r="B215" s="653"/>
      <c r="C215" s="648"/>
      <c r="D215" s="2391"/>
      <c r="E215" s="2388" t="s">
        <v>1478</v>
      </c>
      <c r="F215" s="2388"/>
      <c r="G215" s="2388"/>
      <c r="H215" s="2388"/>
      <c r="I215" s="2388"/>
      <c r="J215" s="2388"/>
      <c r="K215" s="2388"/>
      <c r="L215" s="2388"/>
      <c r="M215" s="2388"/>
      <c r="N215" s="2388"/>
      <c r="O215" s="2388"/>
      <c r="P215" s="2388"/>
      <c r="Q215" s="795">
        <f>SUMIF(T216:T217,"i",Q216:Q217)</f>
        <v>0</v>
      </c>
      <c r="R215" s="1273"/>
      <c r="S215" s="1278" t="s">
        <v>1479</v>
      </c>
      <c r="T215" s="954" t="s">
        <v>1480</v>
      </c>
      <c r="U215" s="2389">
        <v>1</v>
      </c>
      <c r="V215" s="2389" t="s">
        <v>1481</v>
      </c>
      <c r="W215" s="653"/>
      <c r="X215" s="653"/>
      <c r="Y215" s="653"/>
      <c r="Z215" s="653"/>
      <c r="AA215" s="748"/>
      <c r="AB215" s="653"/>
      <c r="AC215" s="2373"/>
      <c r="AD215" s="866"/>
      <c r="AE215" s="653"/>
      <c r="AF215" s="653"/>
      <c r="AG215" s="748"/>
      <c r="AH215" s="748"/>
      <c r="AI215" s="748"/>
      <c r="AJ215" s="748"/>
      <c r="AK215" s="748"/>
      <c r="AL215" s="748"/>
      <c r="AM215" s="748"/>
      <c r="AN215" s="748"/>
      <c r="AO215" s="748"/>
      <c r="AP215" s="748"/>
      <c r="AQ215" s="748"/>
      <c r="AR215" s="748"/>
      <c r="AS215" s="748"/>
      <c r="AT215" s="748"/>
      <c r="AU215" s="748"/>
      <c r="AV215" s="748"/>
      <c r="AW215" s="748"/>
      <c r="AX215" s="748"/>
      <c r="AY215" s="748"/>
      <c r="AZ215" s="748"/>
      <c r="BA215" s="748"/>
      <c r="BB215" s="748"/>
      <c r="BC215" s="748"/>
      <c r="BD215" s="748"/>
      <c r="BE215" s="748"/>
      <c r="BF215" s="748"/>
      <c r="BG215" s="748"/>
      <c r="BH215" s="748"/>
      <c r="BI215" s="748"/>
      <c r="BJ215" s="748"/>
      <c r="BK215" s="748"/>
      <c r="BL215" s="748"/>
      <c r="BM215" s="748"/>
      <c r="BN215" s="748"/>
      <c r="BO215" s="748"/>
      <c r="BP215" s="748"/>
      <c r="BQ215" s="748"/>
      <c r="BR215" s="748"/>
      <c r="BS215" s="748"/>
      <c r="BT215" s="748"/>
      <c r="BU215" s="748"/>
      <c r="BV215" s="653"/>
      <c r="BW215" s="653"/>
      <c r="BX215" s="653"/>
      <c r="BY215" s="653"/>
      <c r="BZ215" s="653"/>
      <c r="CA215" s="653"/>
      <c r="CB215" s="653"/>
      <c r="CC215" s="653"/>
      <c r="CD215" s="653"/>
      <c r="CE215" s="653"/>
    </row>
    <row customHeight="1" ht="11.25" hidden="1">
      <c r="A216" s="1277"/>
      <c r="B216" s="748"/>
      <c r="C216" s="748"/>
      <c r="D216" s="2391"/>
      <c r="E216" s="872"/>
      <c r="F216" s="872">
        <v>0</v>
      </c>
      <c r="G216" s="872"/>
      <c r="H216" s="872"/>
      <c r="I216" s="872"/>
      <c r="J216" s="872"/>
      <c r="K216" s="872"/>
      <c r="L216" s="872"/>
      <c r="M216" s="872"/>
      <c r="N216" s="872"/>
      <c r="O216" s="872"/>
      <c r="P216" s="872"/>
      <c r="Q216" s="872"/>
      <c r="R216" s="872"/>
      <c r="S216" s="873"/>
      <c r="T216" s="955"/>
      <c r="U216" s="2389"/>
      <c r="V216" s="2389"/>
      <c r="W216" s="748"/>
      <c r="X216" s="748"/>
      <c r="Y216" s="748"/>
      <c r="Z216" s="748"/>
      <c r="AA216" s="748"/>
      <c r="AB216" s="653"/>
      <c r="AC216" s="2373"/>
      <c r="AD216" s="866"/>
      <c r="AE216" s="653"/>
      <c r="AF216" s="653"/>
      <c r="AG216" s="748"/>
      <c r="AH216" s="748"/>
      <c r="AI216" s="748"/>
      <c r="AJ216" s="748"/>
      <c r="AK216" s="748"/>
      <c r="AL216" s="748"/>
      <c r="AM216" s="748"/>
      <c r="AN216" s="748"/>
      <c r="AO216" s="748"/>
      <c r="AP216" s="748"/>
      <c r="AQ216" s="748"/>
      <c r="AR216" s="748"/>
      <c r="AS216" s="748"/>
      <c r="AT216" s="748"/>
      <c r="AU216" s="748"/>
      <c r="AV216" s="748"/>
      <c r="AW216" s="748"/>
      <c r="AX216" s="748"/>
      <c r="AY216" s="748"/>
      <c r="AZ216" s="748"/>
      <c r="BA216" s="748"/>
      <c r="BB216" s="748"/>
      <c r="BC216" s="748"/>
      <c r="BD216" s="748"/>
      <c r="BE216" s="748"/>
      <c r="BF216" s="748"/>
      <c r="BG216" s="748"/>
      <c r="BH216" s="748"/>
      <c r="BI216" s="748"/>
      <c r="BJ216" s="748"/>
      <c r="BK216" s="748"/>
      <c r="BL216" s="748"/>
      <c r="BM216" s="748"/>
      <c r="BN216" s="748"/>
      <c r="BO216" s="748"/>
      <c r="BP216" s="748"/>
      <c r="BQ216" s="748"/>
      <c r="BR216" s="748"/>
      <c r="BS216" s="748"/>
      <c r="BT216" s="748"/>
      <c r="BU216" s="748"/>
      <c r="BV216" s="748"/>
      <c r="BW216" s="748"/>
      <c r="BX216" s="748"/>
      <c r="BY216" s="748"/>
      <c r="BZ216" s="748"/>
      <c r="CA216" s="748"/>
      <c r="CB216" s="748"/>
      <c r="CC216" s="748"/>
      <c r="CD216" s="748"/>
      <c r="CE216" s="748"/>
    </row>
    <row customHeight="1" ht="11.25" hidden="1">
      <c r="A217" s="870"/>
      <c r="B217" s="653"/>
      <c r="C217" s="648"/>
      <c r="D217" s="2391"/>
      <c r="E217" s="886" t="s">
        <v>17</v>
      </c>
      <c r="F217" s="887" t="s">
        <v>17</v>
      </c>
      <c r="G217" s="887" t="s">
        <v>1482</v>
      </c>
      <c r="H217" s="888" t="s">
        <v>17</v>
      </c>
      <c r="I217" s="888"/>
      <c r="J217" s="888"/>
      <c r="K217" s="888"/>
      <c r="L217" s="888"/>
      <c r="M217" s="888"/>
      <c r="N217" s="888"/>
      <c r="O217" s="888"/>
      <c r="P217" s="888"/>
      <c r="Q217" s="888"/>
      <c r="R217" s="889"/>
      <c r="S217" s="890"/>
      <c r="T217" s="955"/>
      <c r="U217" s="2389"/>
      <c r="V217" s="2389"/>
      <c r="W217" s="653"/>
      <c r="X217" s="653"/>
      <c r="Y217" s="653"/>
      <c r="Z217" s="653"/>
      <c r="AA217" s="748"/>
      <c r="AB217" s="653"/>
      <c r="AC217" s="2373"/>
      <c r="AD217" s="866"/>
      <c r="AE217" s="653"/>
      <c r="AF217" s="653"/>
      <c r="AG217" s="748"/>
      <c r="AH217" s="748"/>
      <c r="AI217" s="748"/>
      <c r="AJ217" s="748"/>
      <c r="AK217" s="748"/>
      <c r="AL217" s="748"/>
      <c r="AM217" s="748"/>
      <c r="AN217" s="748"/>
      <c r="AO217" s="748"/>
      <c r="AP217" s="748"/>
      <c r="AQ217" s="748"/>
      <c r="AR217" s="748"/>
      <c r="AS217" s="748"/>
      <c r="AT217" s="748"/>
      <c r="AU217" s="748"/>
      <c r="AV217" s="748"/>
      <c r="AW217" s="748"/>
      <c r="AX217" s="748"/>
      <c r="AY217" s="748"/>
      <c r="AZ217" s="748"/>
      <c r="BA217" s="748"/>
      <c r="BB217" s="748"/>
      <c r="BC217" s="748"/>
      <c r="BD217" s="748"/>
      <c r="BE217" s="748"/>
      <c r="BF217" s="748"/>
      <c r="BG217" s="748"/>
      <c r="BH217" s="748"/>
      <c r="BI217" s="748"/>
      <c r="BJ217" s="748"/>
      <c r="BK217" s="748"/>
      <c r="BL217" s="748"/>
      <c r="BM217" s="748"/>
      <c r="BN217" s="748"/>
      <c r="BO217" s="748"/>
      <c r="BP217" s="748"/>
      <c r="BQ217" s="748"/>
      <c r="BR217" s="748"/>
      <c r="BS217" s="748"/>
      <c r="BT217" s="748"/>
      <c r="BU217" s="748"/>
      <c r="BV217" s="653"/>
      <c r="BW217" s="653"/>
      <c r="BX217" s="653"/>
      <c r="BY217" s="653"/>
      <c r="BZ217" s="653"/>
      <c r="CA217" s="653"/>
      <c r="CB217" s="653"/>
      <c r="CC217" s="653"/>
      <c r="CD217" s="653"/>
      <c r="CE217" s="653"/>
    </row>
    <row customHeight="1" ht="5.25" hidden="1">
      <c r="A218" s="1277"/>
      <c r="B218" s="748"/>
      <c r="C218" s="748"/>
      <c r="D218" s="2391"/>
      <c r="E218" s="1297"/>
      <c r="F218" s="1297"/>
      <c r="G218" s="1297"/>
      <c r="H218" s="1297"/>
      <c r="I218" s="1297"/>
      <c r="J218" s="1297"/>
      <c r="K218" s="1297"/>
      <c r="L218" s="1297"/>
      <c r="M218" s="1297"/>
      <c r="N218" s="1297"/>
      <c r="O218" s="1297"/>
      <c r="P218" s="1297"/>
      <c r="Q218" s="1298"/>
      <c r="R218" s="1299"/>
      <c r="S218" s="1300"/>
      <c r="T218" s="954" t="s">
        <v>1480</v>
      </c>
      <c r="U218" s="2389">
        <v>1</v>
      </c>
      <c r="V218" s="2389" t="s">
        <v>1481</v>
      </c>
      <c r="W218" s="748"/>
      <c r="X218" s="748"/>
      <c r="Y218" s="748"/>
      <c r="Z218" s="748"/>
      <c r="AA218" s="748"/>
      <c r="AB218" s="748"/>
      <c r="AC218" s="1295"/>
      <c r="AD218" s="1296"/>
      <c r="AE218" s="748"/>
      <c r="AF218" s="748"/>
      <c r="AG218" s="748"/>
      <c r="AH218" s="748"/>
      <c r="AI218" s="748"/>
      <c r="AJ218" s="748"/>
      <c r="AK218" s="748"/>
      <c r="AL218" s="748"/>
      <c r="AM218" s="748"/>
      <c r="AN218" s="748"/>
      <c r="AO218" s="748"/>
      <c r="AP218" s="748"/>
      <c r="AQ218" s="748"/>
      <c r="AR218" s="748"/>
      <c r="AS218" s="748"/>
      <c r="AT218" s="748"/>
      <c r="AU218" s="748"/>
      <c r="AV218" s="748"/>
      <c r="AW218" s="748"/>
      <c r="AX218" s="748"/>
      <c r="AY218" s="748"/>
      <c r="AZ218" s="748"/>
      <c r="BA218" s="748"/>
      <c r="BB218" s="748"/>
      <c r="BC218" s="748"/>
      <c r="BD218" s="748"/>
      <c r="BE218" s="748"/>
      <c r="BF218" s="748"/>
      <c r="BG218" s="748"/>
      <c r="BH218" s="748"/>
      <c r="BI218" s="748"/>
      <c r="BJ218" s="748"/>
      <c r="BK218" s="748"/>
      <c r="BL218" s="748"/>
      <c r="BM218" s="748"/>
      <c r="BN218" s="748"/>
      <c r="BO218" s="748"/>
      <c r="BP218" s="748"/>
      <c r="BQ218" s="748"/>
      <c r="BR218" s="748"/>
      <c r="BS218" s="748"/>
      <c r="BT218" s="748"/>
      <c r="BU218" s="748"/>
      <c r="BV218" s="748"/>
      <c r="BW218" s="748"/>
      <c r="BX218" s="748"/>
      <c r="BY218" s="748"/>
      <c r="BZ218" s="748"/>
      <c r="CA218" s="748"/>
      <c r="CB218" s="748"/>
      <c r="CC218" s="748"/>
      <c r="CD218" s="748"/>
      <c r="CE218" s="748"/>
    </row>
    <row customHeight="1" ht="5.25" hidden="1">
      <c r="A219" s="1277"/>
      <c r="B219" s="748"/>
      <c r="C219" s="748"/>
      <c r="D219" s="2391"/>
      <c r="E219" s="872"/>
      <c r="F219" s="872"/>
      <c r="G219" s="872"/>
      <c r="H219" s="872"/>
      <c r="I219" s="872"/>
      <c r="J219" s="872"/>
      <c r="K219" s="872"/>
      <c r="L219" s="872"/>
      <c r="M219" s="872"/>
      <c r="N219" s="872"/>
      <c r="O219" s="872"/>
      <c r="P219" s="872"/>
      <c r="Q219" s="872"/>
      <c r="R219" s="872"/>
      <c r="S219" s="873"/>
      <c r="T219" s="955"/>
      <c r="U219" s="2389"/>
      <c r="V219" s="2389"/>
      <c r="W219" s="748"/>
      <c r="X219" s="748"/>
      <c r="Y219" s="748"/>
      <c r="Z219" s="748"/>
      <c r="AA219" s="748"/>
      <c r="AB219" s="748"/>
      <c r="AC219" s="1295"/>
      <c r="AD219" s="1296"/>
      <c r="AE219" s="748"/>
      <c r="AF219" s="748"/>
      <c r="AG219" s="748"/>
      <c r="AH219" s="748"/>
      <c r="AI219" s="748"/>
      <c r="AJ219" s="748"/>
      <c r="AK219" s="748"/>
      <c r="AL219" s="748"/>
      <c r="AM219" s="748"/>
      <c r="AN219" s="748"/>
      <c r="AO219" s="748"/>
      <c r="AP219" s="748"/>
      <c r="AQ219" s="748"/>
      <c r="AR219" s="748"/>
      <c r="AS219" s="748"/>
      <c r="AT219" s="748"/>
      <c r="AU219" s="748"/>
      <c r="AV219" s="748"/>
      <c r="AW219" s="748"/>
      <c r="AX219" s="748"/>
      <c r="AY219" s="748"/>
      <c r="AZ219" s="748"/>
      <c r="BA219" s="748"/>
      <c r="BB219" s="748"/>
      <c r="BC219" s="748"/>
      <c r="BD219" s="748"/>
      <c r="BE219" s="748"/>
      <c r="BF219" s="748"/>
      <c r="BG219" s="748"/>
      <c r="BH219" s="748"/>
      <c r="BI219" s="748"/>
      <c r="BJ219" s="748"/>
      <c r="BK219" s="748"/>
      <c r="BL219" s="748"/>
      <c r="BM219" s="748"/>
      <c r="BN219" s="748"/>
      <c r="BO219" s="748"/>
      <c r="BP219" s="748"/>
      <c r="BQ219" s="748"/>
      <c r="BR219" s="748"/>
      <c r="BS219" s="748"/>
      <c r="BT219" s="748"/>
      <c r="BU219" s="748"/>
      <c r="BV219" s="748"/>
      <c r="BW219" s="748"/>
      <c r="BX219" s="748"/>
      <c r="BY219" s="748"/>
      <c r="BZ219" s="748"/>
      <c r="CA219" s="748"/>
      <c r="CB219" s="748"/>
      <c r="CC219" s="748"/>
      <c r="CD219" s="748"/>
      <c r="CE219" s="748"/>
    </row>
    <row customHeight="1" ht="5.25" hidden="1">
      <c r="A220" s="1277"/>
      <c r="B220" s="748"/>
      <c r="C220" s="748"/>
      <c r="D220" s="2392"/>
      <c r="E220" s="1301"/>
      <c r="F220" s="1302"/>
      <c r="G220" s="1302"/>
      <c r="H220" s="1303"/>
      <c r="I220" s="1303"/>
      <c r="J220" s="1303"/>
      <c r="K220" s="1303"/>
      <c r="L220" s="1303"/>
      <c r="M220" s="1303"/>
      <c r="N220" s="1303"/>
      <c r="O220" s="1303"/>
      <c r="P220" s="1303"/>
      <c r="Q220" s="1303"/>
      <c r="R220" s="1202"/>
      <c r="S220" s="1304"/>
      <c r="T220" s="955"/>
      <c r="U220" s="2389"/>
      <c r="V220" s="2389"/>
      <c r="W220" s="748"/>
      <c r="X220" s="748"/>
      <c r="Y220" s="748"/>
      <c r="Z220" s="748"/>
      <c r="AA220" s="748"/>
      <c r="AB220" s="748"/>
      <c r="AC220" s="1295"/>
      <c r="AD220" s="1296"/>
      <c r="AE220" s="748"/>
      <c r="AF220" s="748"/>
      <c r="AG220" s="748"/>
      <c r="AH220" s="748"/>
      <c r="AI220" s="748"/>
      <c r="AJ220" s="748"/>
      <c r="AK220" s="748"/>
      <c r="AL220" s="748"/>
      <c r="AM220" s="748"/>
      <c r="AN220" s="748"/>
      <c r="AO220" s="748"/>
      <c r="AP220" s="748"/>
      <c r="AQ220" s="748"/>
      <c r="AR220" s="748"/>
      <c r="AS220" s="748"/>
      <c r="AT220" s="748"/>
      <c r="AU220" s="748"/>
      <c r="AV220" s="748"/>
      <c r="AW220" s="748"/>
      <c r="AX220" s="748"/>
      <c r="AY220" s="748"/>
      <c r="AZ220" s="748"/>
      <c r="BA220" s="748"/>
      <c r="BB220" s="748"/>
      <c r="BC220" s="748"/>
      <c r="BD220" s="748"/>
      <c r="BE220" s="748"/>
      <c r="BF220" s="748"/>
      <c r="BG220" s="748"/>
      <c r="BH220" s="748"/>
      <c r="BI220" s="748"/>
      <c r="BJ220" s="748"/>
      <c r="BK220" s="748"/>
      <c r="BL220" s="748"/>
      <c r="BM220" s="748"/>
      <c r="BN220" s="748"/>
      <c r="BO220" s="748"/>
      <c r="BP220" s="748"/>
      <c r="BQ220" s="748"/>
      <c r="BR220" s="748"/>
      <c r="BS220" s="748"/>
      <c r="BT220" s="748"/>
      <c r="BU220" s="748"/>
      <c r="BV220" s="748"/>
      <c r="BW220" s="748"/>
      <c r="BX220" s="748"/>
      <c r="BY220" s="748"/>
      <c r="BZ220" s="748"/>
      <c r="CA220" s="748"/>
      <c r="CB220" s="748"/>
      <c r="CC220" s="748"/>
      <c r="CD220" s="748"/>
      <c r="CE220" s="748"/>
    </row>
    <row customHeight="1" ht="15" hidden="1">
      <c r="A221" s="860" t="s">
        <v>183</v>
      </c>
      <c r="B221" s="861"/>
      <c r="C221" s="861" t="s">
        <v>17</v>
      </c>
      <c r="D221" s="2390" t="s">
        <v>1832</v>
      </c>
      <c r="E221" s="2374" t="s">
        <v>105</v>
      </c>
      <c r="F221" s="2375"/>
      <c r="G221" s="2376"/>
      <c r="H221" s="2377" t="str">
        <f>IF(A221="","",INDEX(DIFFERENTIATION_UNMERGE_VD,MATCH(A221,DIFFERENTIATION_ID_DIFF,0)))</f>
        <v>Производство тепловой энергии. Некомбинированная выработка</v>
      </c>
      <c r="I221" s="2377"/>
      <c r="J221" s="2377"/>
      <c r="K221" s="2377"/>
      <c r="L221" s="2377"/>
      <c r="M221" s="2377"/>
      <c r="N221" s="2377"/>
      <c r="O221" s="2377"/>
      <c r="P221" s="2377"/>
      <c r="Q221" s="2377"/>
      <c r="R221" s="2377"/>
      <c r="S221" s="956"/>
      <c r="T221" s="953"/>
      <c r="U221" s="862"/>
      <c r="V221" s="862"/>
      <c r="W221" s="863"/>
      <c r="X221" s="863"/>
      <c r="Y221" s="863"/>
      <c r="Z221" s="863"/>
      <c r="AA221" s="864"/>
      <c r="AB221" s="865"/>
      <c r="AC221" s="2373"/>
      <c r="AD221" s="866"/>
      <c r="AE221" s="867" t="s">
        <v>17</v>
      </c>
      <c r="AF221" s="867"/>
      <c r="AG221" s="868" t="s">
        <v>1475</v>
      </c>
      <c r="AH221" s="869">
        <v>3</v>
      </c>
      <c r="AI221" s="862"/>
      <c r="AJ221" s="862"/>
      <c r="AK221" s="862"/>
      <c r="AL221" s="862"/>
      <c r="AM221" s="862"/>
      <c r="AN221" s="862"/>
      <c r="AO221" s="862"/>
      <c r="AP221" s="862"/>
      <c r="AQ221" s="862"/>
      <c r="AR221" s="862"/>
      <c r="AS221" s="862"/>
      <c r="AT221" s="862"/>
      <c r="AU221" s="862"/>
      <c r="AV221" s="862"/>
      <c r="AW221" s="862"/>
      <c r="AX221" s="862"/>
      <c r="AY221" s="862"/>
      <c r="AZ221" s="862"/>
      <c r="BA221" s="862"/>
      <c r="BB221" s="862"/>
      <c r="BC221" s="862"/>
      <c r="BD221" s="862"/>
      <c r="BE221" s="862"/>
      <c r="BF221" s="862"/>
      <c r="BG221" s="862"/>
      <c r="BH221" s="862"/>
      <c r="BI221" s="862"/>
      <c r="BJ221" s="862"/>
      <c r="BK221" s="862"/>
      <c r="BL221" s="862"/>
      <c r="BM221" s="862"/>
      <c r="BN221" s="862"/>
      <c r="BO221" s="862"/>
      <c r="BP221" s="862"/>
      <c r="BQ221" s="862"/>
      <c r="BR221" s="862"/>
      <c r="BS221" s="862"/>
      <c r="BT221" s="862"/>
      <c r="BU221" s="862"/>
      <c r="BV221" s="863"/>
      <c r="BW221" s="863"/>
      <c r="BX221" s="863"/>
      <c r="BY221" s="863"/>
      <c r="BZ221" s="863"/>
      <c r="CA221" s="863"/>
      <c r="CB221" s="863"/>
      <c r="CC221" s="863"/>
      <c r="CD221" s="863"/>
      <c r="CE221" s="863"/>
    </row>
    <row customHeight="1" ht="15" hidden="1">
      <c r="A222" s="860"/>
      <c r="B222" s="861"/>
      <c r="C222" s="861"/>
      <c r="D222" s="2391"/>
      <c r="E222" s="2374" t="s">
        <v>1476</v>
      </c>
      <c r="F222" s="2375"/>
      <c r="G222" s="2376"/>
      <c r="H222" s="2377" t="str">
        <f>IF(A221="","",INDEX(DIFFERENTIATION_UNMERGE_AREA,MATCH(A221,DIFFERENTIATION_ID_DIFF,0)))</f>
        <v>Территория 1</v>
      </c>
      <c r="I222" s="2377"/>
      <c r="J222" s="2377"/>
      <c r="K222" s="2377"/>
      <c r="L222" s="2377"/>
      <c r="M222" s="2377"/>
      <c r="N222" s="2377"/>
      <c r="O222" s="2377"/>
      <c r="P222" s="2377"/>
      <c r="Q222" s="2377"/>
      <c r="R222" s="2377"/>
      <c r="S222" s="956"/>
      <c r="T222" s="953"/>
      <c r="U222" s="862"/>
      <c r="V222" s="862"/>
      <c r="W222" s="863"/>
      <c r="X222" s="863"/>
      <c r="Y222" s="863"/>
      <c r="Z222" s="863"/>
      <c r="AA222" s="864"/>
      <c r="AB222" s="865"/>
      <c r="AC222" s="2373"/>
      <c r="AD222" s="866"/>
      <c r="AE222" s="867"/>
      <c r="AF222" s="867"/>
      <c r="AG222" s="868"/>
      <c r="AH222" s="869"/>
      <c r="AI222" s="862"/>
      <c r="AJ222" s="862"/>
      <c r="AK222" s="862"/>
      <c r="AL222" s="862"/>
      <c r="AM222" s="862"/>
      <c r="AN222" s="862"/>
      <c r="AO222" s="862"/>
      <c r="AP222" s="862"/>
      <c r="AQ222" s="862"/>
      <c r="AR222" s="862"/>
      <c r="AS222" s="862"/>
      <c r="AT222" s="862"/>
      <c r="AU222" s="862"/>
      <c r="AV222" s="862"/>
      <c r="AW222" s="862"/>
      <c r="AX222" s="862"/>
      <c r="AY222" s="862"/>
      <c r="AZ222" s="862"/>
      <c r="BA222" s="862"/>
      <c r="BB222" s="862"/>
      <c r="BC222" s="862"/>
      <c r="BD222" s="862"/>
      <c r="BE222" s="862"/>
      <c r="BF222" s="862"/>
      <c r="BG222" s="862"/>
      <c r="BH222" s="862"/>
      <c r="BI222" s="862"/>
      <c r="BJ222" s="862"/>
      <c r="BK222" s="862"/>
      <c r="BL222" s="862"/>
      <c r="BM222" s="862"/>
      <c r="BN222" s="862"/>
      <c r="BO222" s="862"/>
      <c r="BP222" s="862"/>
      <c r="BQ222" s="862"/>
      <c r="BR222" s="862"/>
      <c r="BS222" s="862"/>
      <c r="BT222" s="862"/>
      <c r="BU222" s="862"/>
      <c r="BV222" s="863"/>
      <c r="BW222" s="863"/>
      <c r="BX222" s="863"/>
      <c r="BY222" s="863"/>
      <c r="BZ222" s="863"/>
      <c r="CA222" s="863"/>
      <c r="CB222" s="863"/>
      <c r="CC222" s="863"/>
      <c r="CD222" s="863"/>
      <c r="CE222" s="863"/>
    </row>
    <row customHeight="1" ht="15" hidden="1">
      <c r="A223" s="860"/>
      <c r="B223" s="861"/>
      <c r="C223" s="861"/>
      <c r="D223" s="2391"/>
      <c r="E223" s="2374" t="s">
        <v>1477</v>
      </c>
      <c r="F223" s="2375"/>
      <c r="G223" s="2376"/>
      <c r="H223" s="2377" t="str">
        <f>IF(A221="","",INDEX(DIFFERENTIATION_UNMERGE_SYSTEM,MATCH(A221,DIFFERENTIATION_ID_DIFF,0)))</f>
        <v>Котельная №25,  МКР Г-1, ул.Гидротехническая</v>
      </c>
      <c r="I223" s="2377"/>
      <c r="J223" s="2377"/>
      <c r="K223" s="2377"/>
      <c r="L223" s="2377"/>
      <c r="M223" s="2377"/>
      <c r="N223" s="2377"/>
      <c r="O223" s="2377"/>
      <c r="P223" s="2377"/>
      <c r="Q223" s="2377"/>
      <c r="R223" s="2377"/>
      <c r="S223" s="956"/>
      <c r="T223" s="953"/>
      <c r="U223" s="862"/>
      <c r="V223" s="862"/>
      <c r="W223" s="863"/>
      <c r="X223" s="863"/>
      <c r="Y223" s="863"/>
      <c r="Z223" s="863"/>
      <c r="AA223" s="864"/>
      <c r="AB223" s="865"/>
      <c r="AC223" s="2373"/>
      <c r="AD223" s="866"/>
      <c r="AE223" s="867"/>
      <c r="AF223" s="867"/>
      <c r="AG223" s="868"/>
      <c r="AH223" s="869"/>
      <c r="AI223" s="862"/>
      <c r="AJ223" s="862"/>
      <c r="AK223" s="862"/>
      <c r="AL223" s="862"/>
      <c r="AM223" s="862"/>
      <c r="AN223" s="862"/>
      <c r="AO223" s="862"/>
      <c r="AP223" s="862"/>
      <c r="AQ223" s="862"/>
      <c r="AR223" s="862"/>
      <c r="AS223" s="862"/>
      <c r="AT223" s="862"/>
      <c r="AU223" s="862"/>
      <c r="AV223" s="862"/>
      <c r="AW223" s="862"/>
      <c r="AX223" s="862"/>
      <c r="AY223" s="862"/>
      <c r="AZ223" s="862"/>
      <c r="BA223" s="862"/>
      <c r="BB223" s="862"/>
      <c r="BC223" s="862"/>
      <c r="BD223" s="862"/>
      <c r="BE223" s="862"/>
      <c r="BF223" s="862"/>
      <c r="BG223" s="862"/>
      <c r="BH223" s="862"/>
      <c r="BI223" s="862"/>
      <c r="BJ223" s="862"/>
      <c r="BK223" s="862"/>
      <c r="BL223" s="862"/>
      <c r="BM223" s="862"/>
      <c r="BN223" s="862"/>
      <c r="BO223" s="862"/>
      <c r="BP223" s="862"/>
      <c r="BQ223" s="862"/>
      <c r="BR223" s="862"/>
      <c r="BS223" s="862"/>
      <c r="BT223" s="862"/>
      <c r="BU223" s="862"/>
      <c r="BV223" s="863"/>
      <c r="BW223" s="863"/>
      <c r="BX223" s="863"/>
      <c r="BY223" s="863"/>
      <c r="BZ223" s="863"/>
      <c r="CA223" s="863"/>
      <c r="CB223" s="863"/>
      <c r="CC223" s="863"/>
      <c r="CD223" s="863"/>
      <c r="CE223" s="863"/>
    </row>
    <row customHeight="1" ht="24.75" hidden="1">
      <c r="A224" s="870"/>
      <c r="B224" s="653"/>
      <c r="C224" s="648"/>
      <c r="D224" s="2391"/>
      <c r="E224" s="2388" t="s">
        <v>1478</v>
      </c>
      <c r="F224" s="2388"/>
      <c r="G224" s="2388"/>
      <c r="H224" s="2388"/>
      <c r="I224" s="2388"/>
      <c r="J224" s="2388"/>
      <c r="K224" s="2388"/>
      <c r="L224" s="2388"/>
      <c r="M224" s="2388"/>
      <c r="N224" s="2388"/>
      <c r="O224" s="2388"/>
      <c r="P224" s="2388"/>
      <c r="Q224" s="795">
        <f>SUMIF(T225:T226,"i",Q225:Q226)</f>
        <v>0</v>
      </c>
      <c r="R224" s="1273"/>
      <c r="S224" s="1278" t="s">
        <v>1479</v>
      </c>
      <c r="T224" s="954" t="s">
        <v>1480</v>
      </c>
      <c r="U224" s="2389">
        <v>1</v>
      </c>
      <c r="V224" s="2389" t="s">
        <v>1481</v>
      </c>
      <c r="W224" s="653"/>
      <c r="X224" s="653"/>
      <c r="Y224" s="653"/>
      <c r="Z224" s="653"/>
      <c r="AA224" s="748"/>
      <c r="AB224" s="653"/>
      <c r="AC224" s="2373"/>
      <c r="AD224" s="866"/>
      <c r="AE224" s="653"/>
      <c r="AF224" s="653"/>
      <c r="AG224" s="748"/>
      <c r="AH224" s="748"/>
      <c r="AI224" s="748"/>
      <c r="AJ224" s="748"/>
      <c r="AK224" s="748"/>
      <c r="AL224" s="748"/>
      <c r="AM224" s="748"/>
      <c r="AN224" s="748"/>
      <c r="AO224" s="748"/>
      <c r="AP224" s="748"/>
      <c r="AQ224" s="748"/>
      <c r="AR224" s="748"/>
      <c r="AS224" s="748"/>
      <c r="AT224" s="748"/>
      <c r="AU224" s="748"/>
      <c r="AV224" s="748"/>
      <c r="AW224" s="748"/>
      <c r="AX224" s="748"/>
      <c r="AY224" s="748"/>
      <c r="AZ224" s="748"/>
      <c r="BA224" s="748"/>
      <c r="BB224" s="748"/>
      <c r="BC224" s="748"/>
      <c r="BD224" s="748"/>
      <c r="BE224" s="748"/>
      <c r="BF224" s="748"/>
      <c r="BG224" s="748"/>
      <c r="BH224" s="748"/>
      <c r="BI224" s="748"/>
      <c r="BJ224" s="748"/>
      <c r="BK224" s="748"/>
      <c r="BL224" s="748"/>
      <c r="BM224" s="748"/>
      <c r="BN224" s="748"/>
      <c r="BO224" s="748"/>
      <c r="BP224" s="748"/>
      <c r="BQ224" s="748"/>
      <c r="BR224" s="748"/>
      <c r="BS224" s="748"/>
      <c r="BT224" s="748"/>
      <c r="BU224" s="748"/>
      <c r="BV224" s="653"/>
      <c r="BW224" s="653"/>
      <c r="BX224" s="653"/>
      <c r="BY224" s="653"/>
      <c r="BZ224" s="653"/>
      <c r="CA224" s="653"/>
      <c r="CB224" s="653"/>
      <c r="CC224" s="653"/>
      <c r="CD224" s="653"/>
      <c r="CE224" s="653"/>
    </row>
    <row customHeight="1" ht="11.25" hidden="1">
      <c r="A225" s="1277"/>
      <c r="B225" s="748"/>
      <c r="C225" s="748"/>
      <c r="D225" s="2391"/>
      <c r="E225" s="872"/>
      <c r="F225" s="872">
        <v>0</v>
      </c>
      <c r="G225" s="872"/>
      <c r="H225" s="872"/>
      <c r="I225" s="872"/>
      <c r="J225" s="872"/>
      <c r="K225" s="872"/>
      <c r="L225" s="872"/>
      <c r="M225" s="872"/>
      <c r="N225" s="872"/>
      <c r="O225" s="872"/>
      <c r="P225" s="872"/>
      <c r="Q225" s="872"/>
      <c r="R225" s="872"/>
      <c r="S225" s="873"/>
      <c r="T225" s="955"/>
      <c r="U225" s="2389"/>
      <c r="V225" s="2389"/>
      <c r="W225" s="748"/>
      <c r="X225" s="748"/>
      <c r="Y225" s="748"/>
      <c r="Z225" s="748"/>
      <c r="AA225" s="748"/>
      <c r="AB225" s="653"/>
      <c r="AC225" s="2373"/>
      <c r="AD225" s="866"/>
      <c r="AE225" s="653"/>
      <c r="AF225" s="653"/>
      <c r="AG225" s="748"/>
      <c r="AH225" s="748"/>
      <c r="AI225" s="748"/>
      <c r="AJ225" s="748"/>
      <c r="AK225" s="748"/>
      <c r="AL225" s="748"/>
      <c r="AM225" s="748"/>
      <c r="AN225" s="748"/>
      <c r="AO225" s="748"/>
      <c r="AP225" s="748"/>
      <c r="AQ225" s="748"/>
      <c r="AR225" s="748"/>
      <c r="AS225" s="748"/>
      <c r="AT225" s="748"/>
      <c r="AU225" s="748"/>
      <c r="AV225" s="748"/>
      <c r="AW225" s="748"/>
      <c r="AX225" s="748"/>
      <c r="AY225" s="748"/>
      <c r="AZ225" s="748"/>
      <c r="BA225" s="748"/>
      <c r="BB225" s="748"/>
      <c r="BC225" s="748"/>
      <c r="BD225" s="748"/>
      <c r="BE225" s="748"/>
      <c r="BF225" s="748"/>
      <c r="BG225" s="748"/>
      <c r="BH225" s="748"/>
      <c r="BI225" s="748"/>
      <c r="BJ225" s="748"/>
      <c r="BK225" s="748"/>
      <c r="BL225" s="748"/>
      <c r="BM225" s="748"/>
      <c r="BN225" s="748"/>
      <c r="BO225" s="748"/>
      <c r="BP225" s="748"/>
      <c r="BQ225" s="748"/>
      <c r="BR225" s="748"/>
      <c r="BS225" s="748"/>
      <c r="BT225" s="748"/>
      <c r="BU225" s="748"/>
      <c r="BV225" s="748"/>
      <c r="BW225" s="748"/>
      <c r="BX225" s="748"/>
      <c r="BY225" s="748"/>
      <c r="BZ225" s="748"/>
      <c r="CA225" s="748"/>
      <c r="CB225" s="748"/>
      <c r="CC225" s="748"/>
      <c r="CD225" s="748"/>
      <c r="CE225" s="748"/>
    </row>
    <row customHeight="1" ht="11.25" hidden="1">
      <c r="A226" s="870"/>
      <c r="B226" s="653"/>
      <c r="C226" s="648"/>
      <c r="D226" s="2391"/>
      <c r="E226" s="886" t="s">
        <v>17</v>
      </c>
      <c r="F226" s="887" t="s">
        <v>17</v>
      </c>
      <c r="G226" s="887" t="s">
        <v>1482</v>
      </c>
      <c r="H226" s="888" t="s">
        <v>17</v>
      </c>
      <c r="I226" s="888"/>
      <c r="J226" s="888"/>
      <c r="K226" s="888"/>
      <c r="L226" s="888"/>
      <c r="M226" s="888"/>
      <c r="N226" s="888"/>
      <c r="O226" s="888"/>
      <c r="P226" s="888"/>
      <c r="Q226" s="888"/>
      <c r="R226" s="889"/>
      <c r="S226" s="890"/>
      <c r="T226" s="955"/>
      <c r="U226" s="2389"/>
      <c r="V226" s="2389"/>
      <c r="W226" s="653"/>
      <c r="X226" s="653"/>
      <c r="Y226" s="653"/>
      <c r="Z226" s="653"/>
      <c r="AA226" s="748"/>
      <c r="AB226" s="653"/>
      <c r="AC226" s="2373"/>
      <c r="AD226" s="866"/>
      <c r="AE226" s="653"/>
      <c r="AF226" s="653"/>
      <c r="AG226" s="748"/>
      <c r="AH226" s="748"/>
      <c r="AI226" s="748"/>
      <c r="AJ226" s="748"/>
      <c r="AK226" s="748"/>
      <c r="AL226" s="748"/>
      <c r="AM226" s="748"/>
      <c r="AN226" s="748"/>
      <c r="AO226" s="748"/>
      <c r="AP226" s="748"/>
      <c r="AQ226" s="748"/>
      <c r="AR226" s="748"/>
      <c r="AS226" s="748"/>
      <c r="AT226" s="748"/>
      <c r="AU226" s="748"/>
      <c r="AV226" s="748"/>
      <c r="AW226" s="748"/>
      <c r="AX226" s="748"/>
      <c r="AY226" s="748"/>
      <c r="AZ226" s="748"/>
      <c r="BA226" s="748"/>
      <c r="BB226" s="748"/>
      <c r="BC226" s="748"/>
      <c r="BD226" s="748"/>
      <c r="BE226" s="748"/>
      <c r="BF226" s="748"/>
      <c r="BG226" s="748"/>
      <c r="BH226" s="748"/>
      <c r="BI226" s="748"/>
      <c r="BJ226" s="748"/>
      <c r="BK226" s="748"/>
      <c r="BL226" s="748"/>
      <c r="BM226" s="748"/>
      <c r="BN226" s="748"/>
      <c r="BO226" s="748"/>
      <c r="BP226" s="748"/>
      <c r="BQ226" s="748"/>
      <c r="BR226" s="748"/>
      <c r="BS226" s="748"/>
      <c r="BT226" s="748"/>
      <c r="BU226" s="748"/>
      <c r="BV226" s="653"/>
      <c r="BW226" s="653"/>
      <c r="BX226" s="653"/>
      <c r="BY226" s="653"/>
      <c r="BZ226" s="653"/>
      <c r="CA226" s="653"/>
      <c r="CB226" s="653"/>
      <c r="CC226" s="653"/>
      <c r="CD226" s="653"/>
      <c r="CE226" s="653"/>
    </row>
    <row customHeight="1" ht="5.25" hidden="1">
      <c r="A227" s="1277"/>
      <c r="B227" s="748"/>
      <c r="C227" s="748"/>
      <c r="D227" s="2391"/>
      <c r="E227" s="1297"/>
      <c r="F227" s="1297"/>
      <c r="G227" s="1297"/>
      <c r="H227" s="1297"/>
      <c r="I227" s="1297"/>
      <c r="J227" s="1297"/>
      <c r="K227" s="1297"/>
      <c r="L227" s="1297"/>
      <c r="M227" s="1297"/>
      <c r="N227" s="1297"/>
      <c r="O227" s="1297"/>
      <c r="P227" s="1297"/>
      <c r="Q227" s="1298"/>
      <c r="R227" s="1299"/>
      <c r="S227" s="1300"/>
      <c r="T227" s="954" t="s">
        <v>1480</v>
      </c>
      <c r="U227" s="2389">
        <v>1</v>
      </c>
      <c r="V227" s="2389" t="s">
        <v>1481</v>
      </c>
      <c r="W227" s="748"/>
      <c r="X227" s="748"/>
      <c r="Y227" s="748"/>
      <c r="Z227" s="748"/>
      <c r="AA227" s="748"/>
      <c r="AB227" s="748"/>
      <c r="AC227" s="1295"/>
      <c r="AD227" s="1296"/>
      <c r="AE227" s="748"/>
      <c r="AF227" s="748"/>
      <c r="AG227" s="748"/>
      <c r="AH227" s="748"/>
      <c r="AI227" s="748"/>
      <c r="AJ227" s="748"/>
      <c r="AK227" s="748"/>
      <c r="AL227" s="748"/>
      <c r="AM227" s="748"/>
      <c r="AN227" s="748"/>
      <c r="AO227" s="748"/>
      <c r="AP227" s="748"/>
      <c r="AQ227" s="748"/>
      <c r="AR227" s="748"/>
      <c r="AS227" s="748"/>
      <c r="AT227" s="748"/>
      <c r="AU227" s="748"/>
      <c r="AV227" s="748"/>
      <c r="AW227" s="748"/>
      <c r="AX227" s="748"/>
      <c r="AY227" s="748"/>
      <c r="AZ227" s="748"/>
      <c r="BA227" s="748"/>
      <c r="BB227" s="748"/>
      <c r="BC227" s="748"/>
      <c r="BD227" s="748"/>
      <c r="BE227" s="748"/>
      <c r="BF227" s="748"/>
      <c r="BG227" s="748"/>
      <c r="BH227" s="748"/>
      <c r="BI227" s="748"/>
      <c r="BJ227" s="748"/>
      <c r="BK227" s="748"/>
      <c r="BL227" s="748"/>
      <c r="BM227" s="748"/>
      <c r="BN227" s="748"/>
      <c r="BO227" s="748"/>
      <c r="BP227" s="748"/>
      <c r="BQ227" s="748"/>
      <c r="BR227" s="748"/>
      <c r="BS227" s="748"/>
      <c r="BT227" s="748"/>
      <c r="BU227" s="748"/>
      <c r="BV227" s="748"/>
      <c r="BW227" s="748"/>
      <c r="BX227" s="748"/>
      <c r="BY227" s="748"/>
      <c r="BZ227" s="748"/>
      <c r="CA227" s="748"/>
      <c r="CB227" s="748"/>
      <c r="CC227" s="748"/>
      <c r="CD227" s="748"/>
      <c r="CE227" s="748"/>
    </row>
    <row customHeight="1" ht="5.25" hidden="1">
      <c r="A228" s="1277"/>
      <c r="B228" s="748"/>
      <c r="C228" s="748"/>
      <c r="D228" s="2391"/>
      <c r="E228" s="872"/>
      <c r="F228" s="872"/>
      <c r="G228" s="872"/>
      <c r="H228" s="872"/>
      <c r="I228" s="872"/>
      <c r="J228" s="872"/>
      <c r="K228" s="872"/>
      <c r="L228" s="872"/>
      <c r="M228" s="872"/>
      <c r="N228" s="872"/>
      <c r="O228" s="872"/>
      <c r="P228" s="872"/>
      <c r="Q228" s="872"/>
      <c r="R228" s="872"/>
      <c r="S228" s="873"/>
      <c r="T228" s="955"/>
      <c r="U228" s="2389"/>
      <c r="V228" s="2389"/>
      <c r="W228" s="748"/>
      <c r="X228" s="748"/>
      <c r="Y228" s="748"/>
      <c r="Z228" s="748"/>
      <c r="AA228" s="748"/>
      <c r="AB228" s="748"/>
      <c r="AC228" s="1295"/>
      <c r="AD228" s="1296"/>
      <c r="AE228" s="748"/>
      <c r="AF228" s="748"/>
      <c r="AG228" s="748"/>
      <c r="AH228" s="748"/>
      <c r="AI228" s="748"/>
      <c r="AJ228" s="748"/>
      <c r="AK228" s="748"/>
      <c r="AL228" s="748"/>
      <c r="AM228" s="748"/>
      <c r="AN228" s="748"/>
      <c r="AO228" s="748"/>
      <c r="AP228" s="748"/>
      <c r="AQ228" s="748"/>
      <c r="AR228" s="748"/>
      <c r="AS228" s="748"/>
      <c r="AT228" s="748"/>
      <c r="AU228" s="748"/>
      <c r="AV228" s="748"/>
      <c r="AW228" s="748"/>
      <c r="AX228" s="748"/>
      <c r="AY228" s="748"/>
      <c r="AZ228" s="748"/>
      <c r="BA228" s="748"/>
      <c r="BB228" s="748"/>
      <c r="BC228" s="748"/>
      <c r="BD228" s="748"/>
      <c r="BE228" s="748"/>
      <c r="BF228" s="748"/>
      <c r="BG228" s="748"/>
      <c r="BH228" s="748"/>
      <c r="BI228" s="748"/>
      <c r="BJ228" s="748"/>
      <c r="BK228" s="748"/>
      <c r="BL228" s="748"/>
      <c r="BM228" s="748"/>
      <c r="BN228" s="748"/>
      <c r="BO228" s="748"/>
      <c r="BP228" s="748"/>
      <c r="BQ228" s="748"/>
      <c r="BR228" s="748"/>
      <c r="BS228" s="748"/>
      <c r="BT228" s="748"/>
      <c r="BU228" s="748"/>
      <c r="BV228" s="748"/>
      <c r="BW228" s="748"/>
      <c r="BX228" s="748"/>
      <c r="BY228" s="748"/>
      <c r="BZ228" s="748"/>
      <c r="CA228" s="748"/>
      <c r="CB228" s="748"/>
      <c r="CC228" s="748"/>
      <c r="CD228" s="748"/>
      <c r="CE228" s="748"/>
    </row>
    <row customHeight="1" ht="5.25" hidden="1">
      <c r="A229" s="1277"/>
      <c r="B229" s="748"/>
      <c r="C229" s="748"/>
      <c r="D229" s="2392"/>
      <c r="E229" s="1301"/>
      <c r="F229" s="1302"/>
      <c r="G229" s="1302"/>
      <c r="H229" s="1303"/>
      <c r="I229" s="1303"/>
      <c r="J229" s="1303"/>
      <c r="K229" s="1303"/>
      <c r="L229" s="1303"/>
      <c r="M229" s="1303"/>
      <c r="N229" s="1303"/>
      <c r="O229" s="1303"/>
      <c r="P229" s="1303"/>
      <c r="Q229" s="1303"/>
      <c r="R229" s="1202"/>
      <c r="S229" s="1304"/>
      <c r="T229" s="955"/>
      <c r="U229" s="2389"/>
      <c r="V229" s="2389"/>
      <c r="W229" s="748"/>
      <c r="X229" s="748"/>
      <c r="Y229" s="748"/>
      <c r="Z229" s="748"/>
      <c r="AA229" s="748"/>
      <c r="AB229" s="748"/>
      <c r="AC229" s="1295"/>
      <c r="AD229" s="1296"/>
      <c r="AE229" s="748"/>
      <c r="AF229" s="748"/>
      <c r="AG229" s="748"/>
      <c r="AH229" s="748"/>
      <c r="AI229" s="748"/>
      <c r="AJ229" s="748"/>
      <c r="AK229" s="748"/>
      <c r="AL229" s="748"/>
      <c r="AM229" s="748"/>
      <c r="AN229" s="748"/>
      <c r="AO229" s="748"/>
      <c r="AP229" s="748"/>
      <c r="AQ229" s="748"/>
      <c r="AR229" s="748"/>
      <c r="AS229" s="748"/>
      <c r="AT229" s="748"/>
      <c r="AU229" s="748"/>
      <c r="AV229" s="748"/>
      <c r="AW229" s="748"/>
      <c r="AX229" s="748"/>
      <c r="AY229" s="748"/>
      <c r="AZ229" s="748"/>
      <c r="BA229" s="748"/>
      <c r="BB229" s="748"/>
      <c r="BC229" s="748"/>
      <c r="BD229" s="748"/>
      <c r="BE229" s="748"/>
      <c r="BF229" s="748"/>
      <c r="BG229" s="748"/>
      <c r="BH229" s="748"/>
      <c r="BI229" s="748"/>
      <c r="BJ229" s="748"/>
      <c r="BK229" s="748"/>
      <c r="BL229" s="748"/>
      <c r="BM229" s="748"/>
      <c r="BN229" s="748"/>
      <c r="BO229" s="748"/>
      <c r="BP229" s="748"/>
      <c r="BQ229" s="748"/>
      <c r="BR229" s="748"/>
      <c r="BS229" s="748"/>
      <c r="BT229" s="748"/>
      <c r="BU229" s="748"/>
      <c r="BV229" s="748"/>
      <c r="BW229" s="748"/>
      <c r="BX229" s="748"/>
      <c r="BY229" s="748"/>
      <c r="BZ229" s="748"/>
      <c r="CA229" s="748"/>
      <c r="CB229" s="748"/>
      <c r="CC229" s="748"/>
      <c r="CD229" s="748"/>
      <c r="CE229" s="748"/>
    </row>
    <row customHeight="1" ht="15" hidden="1">
      <c r="A230" s="860" t="s">
        <v>186</v>
      </c>
      <c r="B230" s="861"/>
      <c r="C230" s="861" t="s">
        <v>17</v>
      </c>
      <c r="D230" s="2390" t="s">
        <v>1833</v>
      </c>
      <c r="E230" s="2374" t="s">
        <v>105</v>
      </c>
      <c r="F230" s="2375"/>
      <c r="G230" s="2376"/>
      <c r="H230" s="2377" t="str">
        <f>IF(A230="","",INDEX(DIFFERENTIATION_UNMERGE_VD,MATCH(A230,DIFFERENTIATION_ID_DIFF,0)))</f>
        <v>Производство тепловой энергии. Некомбинированная выработка</v>
      </c>
      <c r="I230" s="2377"/>
      <c r="J230" s="2377"/>
      <c r="K230" s="2377"/>
      <c r="L230" s="2377"/>
      <c r="M230" s="2377"/>
      <c r="N230" s="2377"/>
      <c r="O230" s="2377"/>
      <c r="P230" s="2377"/>
      <c r="Q230" s="2377"/>
      <c r="R230" s="2377"/>
      <c r="S230" s="956"/>
      <c r="T230" s="953"/>
      <c r="U230" s="862"/>
      <c r="V230" s="862"/>
      <c r="W230" s="863"/>
      <c r="X230" s="863"/>
      <c r="Y230" s="863"/>
      <c r="Z230" s="863"/>
      <c r="AA230" s="864"/>
      <c r="AB230" s="865"/>
      <c r="AC230" s="2373"/>
      <c r="AD230" s="866"/>
      <c r="AE230" s="867" t="s">
        <v>17</v>
      </c>
      <c r="AF230" s="867"/>
      <c r="AG230" s="868" t="s">
        <v>1475</v>
      </c>
      <c r="AH230" s="869">
        <v>3</v>
      </c>
      <c r="AI230" s="862"/>
      <c r="AJ230" s="862"/>
      <c r="AK230" s="862"/>
      <c r="AL230" s="862"/>
      <c r="AM230" s="862"/>
      <c r="AN230" s="862"/>
      <c r="AO230" s="862"/>
      <c r="AP230" s="862"/>
      <c r="AQ230" s="862"/>
      <c r="AR230" s="862"/>
      <c r="AS230" s="862"/>
      <c r="AT230" s="862"/>
      <c r="AU230" s="862"/>
      <c r="AV230" s="862"/>
      <c r="AW230" s="862"/>
      <c r="AX230" s="862"/>
      <c r="AY230" s="862"/>
      <c r="AZ230" s="862"/>
      <c r="BA230" s="862"/>
      <c r="BB230" s="862"/>
      <c r="BC230" s="862"/>
      <c r="BD230" s="862"/>
      <c r="BE230" s="862"/>
      <c r="BF230" s="862"/>
      <c r="BG230" s="862"/>
      <c r="BH230" s="862"/>
      <c r="BI230" s="862"/>
      <c r="BJ230" s="862"/>
      <c r="BK230" s="862"/>
      <c r="BL230" s="862"/>
      <c r="BM230" s="862"/>
      <c r="BN230" s="862"/>
      <c r="BO230" s="862"/>
      <c r="BP230" s="862"/>
      <c r="BQ230" s="862"/>
      <c r="BR230" s="862"/>
      <c r="BS230" s="862"/>
      <c r="BT230" s="862"/>
      <c r="BU230" s="862"/>
      <c r="BV230" s="863"/>
      <c r="BW230" s="863"/>
      <c r="BX230" s="863"/>
      <c r="BY230" s="863"/>
      <c r="BZ230" s="863"/>
      <c r="CA230" s="863"/>
      <c r="CB230" s="863"/>
      <c r="CC230" s="863"/>
      <c r="CD230" s="863"/>
      <c r="CE230" s="863"/>
    </row>
    <row customHeight="1" ht="15" hidden="1">
      <c r="A231" s="860"/>
      <c r="B231" s="861"/>
      <c r="C231" s="861"/>
      <c r="D231" s="2391"/>
      <c r="E231" s="2374" t="s">
        <v>1476</v>
      </c>
      <c r="F231" s="2375"/>
      <c r="G231" s="2376"/>
      <c r="H231" s="2377" t="str">
        <f>IF(A230="","",INDEX(DIFFERENTIATION_UNMERGE_AREA,MATCH(A230,DIFFERENTIATION_ID_DIFF,0)))</f>
        <v>Территория 1</v>
      </c>
      <c r="I231" s="2377"/>
      <c r="J231" s="2377"/>
      <c r="K231" s="2377"/>
      <c r="L231" s="2377"/>
      <c r="M231" s="2377"/>
      <c r="N231" s="2377"/>
      <c r="O231" s="2377"/>
      <c r="P231" s="2377"/>
      <c r="Q231" s="2377"/>
      <c r="R231" s="2377"/>
      <c r="S231" s="956"/>
      <c r="T231" s="953"/>
      <c r="U231" s="862"/>
      <c r="V231" s="862"/>
      <c r="W231" s="863"/>
      <c r="X231" s="863"/>
      <c r="Y231" s="863"/>
      <c r="Z231" s="863"/>
      <c r="AA231" s="864"/>
      <c r="AB231" s="865"/>
      <c r="AC231" s="2373"/>
      <c r="AD231" s="866"/>
      <c r="AE231" s="867"/>
      <c r="AF231" s="867"/>
      <c r="AG231" s="868"/>
      <c r="AH231" s="869"/>
      <c r="AI231" s="862"/>
      <c r="AJ231" s="862"/>
      <c r="AK231" s="862"/>
      <c r="AL231" s="862"/>
      <c r="AM231" s="862"/>
      <c r="AN231" s="862"/>
      <c r="AO231" s="862"/>
      <c r="AP231" s="862"/>
      <c r="AQ231" s="862"/>
      <c r="AR231" s="862"/>
      <c r="AS231" s="862"/>
      <c r="AT231" s="862"/>
      <c r="AU231" s="862"/>
      <c r="AV231" s="862"/>
      <c r="AW231" s="862"/>
      <c r="AX231" s="862"/>
      <c r="AY231" s="862"/>
      <c r="AZ231" s="862"/>
      <c r="BA231" s="862"/>
      <c r="BB231" s="862"/>
      <c r="BC231" s="862"/>
      <c r="BD231" s="862"/>
      <c r="BE231" s="862"/>
      <c r="BF231" s="862"/>
      <c r="BG231" s="862"/>
      <c r="BH231" s="862"/>
      <c r="BI231" s="862"/>
      <c r="BJ231" s="862"/>
      <c r="BK231" s="862"/>
      <c r="BL231" s="862"/>
      <c r="BM231" s="862"/>
      <c r="BN231" s="862"/>
      <c r="BO231" s="862"/>
      <c r="BP231" s="862"/>
      <c r="BQ231" s="862"/>
      <c r="BR231" s="862"/>
      <c r="BS231" s="862"/>
      <c r="BT231" s="862"/>
      <c r="BU231" s="862"/>
      <c r="BV231" s="863"/>
      <c r="BW231" s="863"/>
      <c r="BX231" s="863"/>
      <c r="BY231" s="863"/>
      <c r="BZ231" s="863"/>
      <c r="CA231" s="863"/>
      <c r="CB231" s="863"/>
      <c r="CC231" s="863"/>
      <c r="CD231" s="863"/>
      <c r="CE231" s="863"/>
    </row>
    <row customHeight="1" ht="15" hidden="1">
      <c r="A232" s="860"/>
      <c r="B232" s="861"/>
      <c r="C232" s="861"/>
      <c r="D232" s="2391"/>
      <c r="E232" s="2374" t="s">
        <v>1477</v>
      </c>
      <c r="F232" s="2375"/>
      <c r="G232" s="2376"/>
      <c r="H232" s="2377" t="str">
        <f>IF(A230="","",INDEX(DIFFERENTIATION_UNMERGE_SYSTEM,MATCH(A230,DIFFERENTIATION_ID_DIFF,0)))</f>
        <v>ЦТП-7, ул.Оборонная</v>
      </c>
      <c r="I232" s="2377"/>
      <c r="J232" s="2377"/>
      <c r="K232" s="2377"/>
      <c r="L232" s="2377"/>
      <c r="M232" s="2377"/>
      <c r="N232" s="2377"/>
      <c r="O232" s="2377"/>
      <c r="P232" s="2377"/>
      <c r="Q232" s="2377"/>
      <c r="R232" s="2377"/>
      <c r="S232" s="956"/>
      <c r="T232" s="953"/>
      <c r="U232" s="862"/>
      <c r="V232" s="862"/>
      <c r="W232" s="863"/>
      <c r="X232" s="863"/>
      <c r="Y232" s="863"/>
      <c r="Z232" s="863"/>
      <c r="AA232" s="864"/>
      <c r="AB232" s="865"/>
      <c r="AC232" s="2373"/>
      <c r="AD232" s="866"/>
      <c r="AE232" s="867"/>
      <c r="AF232" s="867"/>
      <c r="AG232" s="868"/>
      <c r="AH232" s="869"/>
      <c r="AI232" s="862"/>
      <c r="AJ232" s="862"/>
      <c r="AK232" s="862"/>
      <c r="AL232" s="862"/>
      <c r="AM232" s="862"/>
      <c r="AN232" s="862"/>
      <c r="AO232" s="862"/>
      <c r="AP232" s="862"/>
      <c r="AQ232" s="862"/>
      <c r="AR232" s="862"/>
      <c r="AS232" s="862"/>
      <c r="AT232" s="862"/>
      <c r="AU232" s="862"/>
      <c r="AV232" s="862"/>
      <c r="AW232" s="862"/>
      <c r="AX232" s="862"/>
      <c r="AY232" s="862"/>
      <c r="AZ232" s="862"/>
      <c r="BA232" s="862"/>
      <c r="BB232" s="862"/>
      <c r="BC232" s="862"/>
      <c r="BD232" s="862"/>
      <c r="BE232" s="862"/>
      <c r="BF232" s="862"/>
      <c r="BG232" s="862"/>
      <c r="BH232" s="862"/>
      <c r="BI232" s="862"/>
      <c r="BJ232" s="862"/>
      <c r="BK232" s="862"/>
      <c r="BL232" s="862"/>
      <c r="BM232" s="862"/>
      <c r="BN232" s="862"/>
      <c r="BO232" s="862"/>
      <c r="BP232" s="862"/>
      <c r="BQ232" s="862"/>
      <c r="BR232" s="862"/>
      <c r="BS232" s="862"/>
      <c r="BT232" s="862"/>
      <c r="BU232" s="862"/>
      <c r="BV232" s="863"/>
      <c r="BW232" s="863"/>
      <c r="BX232" s="863"/>
      <c r="BY232" s="863"/>
      <c r="BZ232" s="863"/>
      <c r="CA232" s="863"/>
      <c r="CB232" s="863"/>
      <c r="CC232" s="863"/>
      <c r="CD232" s="863"/>
      <c r="CE232" s="863"/>
    </row>
    <row customHeight="1" ht="24.75" hidden="1">
      <c r="A233" s="870"/>
      <c r="B233" s="653"/>
      <c r="C233" s="648"/>
      <c r="D233" s="2391"/>
      <c r="E233" s="2388" t="s">
        <v>1478</v>
      </c>
      <c r="F233" s="2388"/>
      <c r="G233" s="2388"/>
      <c r="H233" s="2388"/>
      <c r="I233" s="2388"/>
      <c r="J233" s="2388"/>
      <c r="K233" s="2388"/>
      <c r="L233" s="2388"/>
      <c r="M233" s="2388"/>
      <c r="N233" s="2388"/>
      <c r="O233" s="2388"/>
      <c r="P233" s="2388"/>
      <c r="Q233" s="795">
        <f>SUMIF(T234:T235,"i",Q234:Q235)</f>
        <v>0</v>
      </c>
      <c r="R233" s="1273"/>
      <c r="S233" s="1278" t="s">
        <v>1479</v>
      </c>
      <c r="T233" s="954" t="s">
        <v>1480</v>
      </c>
      <c r="U233" s="2389">
        <v>1</v>
      </c>
      <c r="V233" s="2389" t="s">
        <v>1481</v>
      </c>
      <c r="W233" s="653"/>
      <c r="X233" s="653"/>
      <c r="Y233" s="653"/>
      <c r="Z233" s="653"/>
      <c r="AA233" s="748"/>
      <c r="AB233" s="653"/>
      <c r="AC233" s="2373"/>
      <c r="AD233" s="866"/>
      <c r="AE233" s="653"/>
      <c r="AF233" s="653"/>
      <c r="AG233" s="748"/>
      <c r="AH233" s="748"/>
      <c r="AI233" s="748"/>
      <c r="AJ233" s="748"/>
      <c r="AK233" s="748"/>
      <c r="AL233" s="748"/>
      <c r="AM233" s="748"/>
      <c r="AN233" s="748"/>
      <c r="AO233" s="748"/>
      <c r="AP233" s="748"/>
      <c r="AQ233" s="748"/>
      <c r="AR233" s="748"/>
      <c r="AS233" s="748"/>
      <c r="AT233" s="748"/>
      <c r="AU233" s="748"/>
      <c r="AV233" s="748"/>
      <c r="AW233" s="748"/>
      <c r="AX233" s="748"/>
      <c r="AY233" s="748"/>
      <c r="AZ233" s="748"/>
      <c r="BA233" s="748"/>
      <c r="BB233" s="748"/>
      <c r="BC233" s="748"/>
      <c r="BD233" s="748"/>
      <c r="BE233" s="748"/>
      <c r="BF233" s="748"/>
      <c r="BG233" s="748"/>
      <c r="BH233" s="748"/>
      <c r="BI233" s="748"/>
      <c r="BJ233" s="748"/>
      <c r="BK233" s="748"/>
      <c r="BL233" s="748"/>
      <c r="BM233" s="748"/>
      <c r="BN233" s="748"/>
      <c r="BO233" s="748"/>
      <c r="BP233" s="748"/>
      <c r="BQ233" s="748"/>
      <c r="BR233" s="748"/>
      <c r="BS233" s="748"/>
      <c r="BT233" s="748"/>
      <c r="BU233" s="748"/>
      <c r="BV233" s="653"/>
      <c r="BW233" s="653"/>
      <c r="BX233" s="653"/>
      <c r="BY233" s="653"/>
      <c r="BZ233" s="653"/>
      <c r="CA233" s="653"/>
      <c r="CB233" s="653"/>
      <c r="CC233" s="653"/>
      <c r="CD233" s="653"/>
      <c r="CE233" s="653"/>
    </row>
    <row customHeight="1" ht="11.25" hidden="1">
      <c r="A234" s="1277"/>
      <c r="B234" s="748"/>
      <c r="C234" s="748"/>
      <c r="D234" s="2391"/>
      <c r="E234" s="872"/>
      <c r="F234" s="872">
        <v>0</v>
      </c>
      <c r="G234" s="872"/>
      <c r="H234" s="872"/>
      <c r="I234" s="872"/>
      <c r="J234" s="872"/>
      <c r="K234" s="872"/>
      <c r="L234" s="872"/>
      <c r="M234" s="872"/>
      <c r="N234" s="872"/>
      <c r="O234" s="872"/>
      <c r="P234" s="872"/>
      <c r="Q234" s="872"/>
      <c r="R234" s="872"/>
      <c r="S234" s="873"/>
      <c r="T234" s="955"/>
      <c r="U234" s="2389"/>
      <c r="V234" s="2389"/>
      <c r="W234" s="748"/>
      <c r="X234" s="748"/>
      <c r="Y234" s="748"/>
      <c r="Z234" s="748"/>
      <c r="AA234" s="748"/>
      <c r="AB234" s="653"/>
      <c r="AC234" s="2373"/>
      <c r="AD234" s="866"/>
      <c r="AE234" s="653"/>
      <c r="AF234" s="653"/>
      <c r="AG234" s="748"/>
      <c r="AH234" s="748"/>
      <c r="AI234" s="748"/>
      <c r="AJ234" s="748"/>
      <c r="AK234" s="748"/>
      <c r="AL234" s="748"/>
      <c r="AM234" s="748"/>
      <c r="AN234" s="748"/>
      <c r="AO234" s="748"/>
      <c r="AP234" s="748"/>
      <c r="AQ234" s="748"/>
      <c r="AR234" s="748"/>
      <c r="AS234" s="748"/>
      <c r="AT234" s="748"/>
      <c r="AU234" s="748"/>
      <c r="AV234" s="748"/>
      <c r="AW234" s="748"/>
      <c r="AX234" s="748"/>
      <c r="AY234" s="748"/>
      <c r="AZ234" s="748"/>
      <c r="BA234" s="748"/>
      <c r="BB234" s="748"/>
      <c r="BC234" s="748"/>
      <c r="BD234" s="748"/>
      <c r="BE234" s="748"/>
      <c r="BF234" s="748"/>
      <c r="BG234" s="748"/>
      <c r="BH234" s="748"/>
      <c r="BI234" s="748"/>
      <c r="BJ234" s="748"/>
      <c r="BK234" s="748"/>
      <c r="BL234" s="748"/>
      <c r="BM234" s="748"/>
      <c r="BN234" s="748"/>
      <c r="BO234" s="748"/>
      <c r="BP234" s="748"/>
      <c r="BQ234" s="748"/>
      <c r="BR234" s="748"/>
      <c r="BS234" s="748"/>
      <c r="BT234" s="748"/>
      <c r="BU234" s="748"/>
      <c r="BV234" s="748"/>
      <c r="BW234" s="748"/>
      <c r="BX234" s="748"/>
      <c r="BY234" s="748"/>
      <c r="BZ234" s="748"/>
      <c r="CA234" s="748"/>
      <c r="CB234" s="748"/>
      <c r="CC234" s="748"/>
      <c r="CD234" s="748"/>
      <c r="CE234" s="748"/>
    </row>
    <row customHeight="1" ht="11.25" hidden="1">
      <c r="A235" s="870"/>
      <c r="B235" s="653"/>
      <c r="C235" s="648"/>
      <c r="D235" s="2391"/>
      <c r="E235" s="886" t="s">
        <v>17</v>
      </c>
      <c r="F235" s="887" t="s">
        <v>17</v>
      </c>
      <c r="G235" s="887" t="s">
        <v>1482</v>
      </c>
      <c r="H235" s="888" t="s">
        <v>17</v>
      </c>
      <c r="I235" s="888"/>
      <c r="J235" s="888"/>
      <c r="K235" s="888"/>
      <c r="L235" s="888"/>
      <c r="M235" s="888"/>
      <c r="N235" s="888"/>
      <c r="O235" s="888"/>
      <c r="P235" s="888"/>
      <c r="Q235" s="888"/>
      <c r="R235" s="889"/>
      <c r="S235" s="890"/>
      <c r="T235" s="955"/>
      <c r="U235" s="2389"/>
      <c r="V235" s="2389"/>
      <c r="W235" s="653"/>
      <c r="X235" s="653"/>
      <c r="Y235" s="653"/>
      <c r="Z235" s="653"/>
      <c r="AA235" s="748"/>
      <c r="AB235" s="653"/>
      <c r="AC235" s="2373"/>
      <c r="AD235" s="866"/>
      <c r="AE235" s="653"/>
      <c r="AF235" s="653"/>
      <c r="AG235" s="748"/>
      <c r="AH235" s="748"/>
      <c r="AI235" s="748"/>
      <c r="AJ235" s="748"/>
      <c r="AK235" s="748"/>
      <c r="AL235" s="748"/>
      <c r="AM235" s="748"/>
      <c r="AN235" s="748"/>
      <c r="AO235" s="748"/>
      <c r="AP235" s="748"/>
      <c r="AQ235" s="748"/>
      <c r="AR235" s="748"/>
      <c r="AS235" s="748"/>
      <c r="AT235" s="748"/>
      <c r="AU235" s="748"/>
      <c r="AV235" s="748"/>
      <c r="AW235" s="748"/>
      <c r="AX235" s="748"/>
      <c r="AY235" s="748"/>
      <c r="AZ235" s="748"/>
      <c r="BA235" s="748"/>
      <c r="BB235" s="748"/>
      <c r="BC235" s="748"/>
      <c r="BD235" s="748"/>
      <c r="BE235" s="748"/>
      <c r="BF235" s="748"/>
      <c r="BG235" s="748"/>
      <c r="BH235" s="748"/>
      <c r="BI235" s="748"/>
      <c r="BJ235" s="748"/>
      <c r="BK235" s="748"/>
      <c r="BL235" s="748"/>
      <c r="BM235" s="748"/>
      <c r="BN235" s="748"/>
      <c r="BO235" s="748"/>
      <c r="BP235" s="748"/>
      <c r="BQ235" s="748"/>
      <c r="BR235" s="748"/>
      <c r="BS235" s="748"/>
      <c r="BT235" s="748"/>
      <c r="BU235" s="748"/>
      <c r="BV235" s="653"/>
      <c r="BW235" s="653"/>
      <c r="BX235" s="653"/>
      <c r="BY235" s="653"/>
      <c r="BZ235" s="653"/>
      <c r="CA235" s="653"/>
      <c r="CB235" s="653"/>
      <c r="CC235" s="653"/>
      <c r="CD235" s="653"/>
      <c r="CE235" s="653"/>
    </row>
    <row customHeight="1" ht="5.25" hidden="1">
      <c r="A236" s="1277"/>
      <c r="B236" s="748"/>
      <c r="C236" s="748"/>
      <c r="D236" s="2391"/>
      <c r="E236" s="1297"/>
      <c r="F236" s="1297"/>
      <c r="G236" s="1297"/>
      <c r="H236" s="1297"/>
      <c r="I236" s="1297"/>
      <c r="J236" s="1297"/>
      <c r="K236" s="1297"/>
      <c r="L236" s="1297"/>
      <c r="M236" s="1297"/>
      <c r="N236" s="1297"/>
      <c r="O236" s="1297"/>
      <c r="P236" s="1297"/>
      <c r="Q236" s="1298"/>
      <c r="R236" s="1299"/>
      <c r="S236" s="1300"/>
      <c r="T236" s="954" t="s">
        <v>1480</v>
      </c>
      <c r="U236" s="2389">
        <v>1</v>
      </c>
      <c r="V236" s="2389" t="s">
        <v>1481</v>
      </c>
      <c r="W236" s="748"/>
      <c r="X236" s="748"/>
      <c r="Y236" s="748"/>
      <c r="Z236" s="748"/>
      <c r="AA236" s="748"/>
      <c r="AB236" s="748"/>
      <c r="AC236" s="1295"/>
      <c r="AD236" s="1296"/>
      <c r="AE236" s="748"/>
      <c r="AF236" s="748"/>
      <c r="AG236" s="748"/>
      <c r="AH236" s="748"/>
      <c r="AI236" s="748"/>
      <c r="AJ236" s="748"/>
      <c r="AK236" s="748"/>
      <c r="AL236" s="748"/>
      <c r="AM236" s="748"/>
      <c r="AN236" s="748"/>
      <c r="AO236" s="748"/>
      <c r="AP236" s="748"/>
      <c r="AQ236" s="748"/>
      <c r="AR236" s="748"/>
      <c r="AS236" s="748"/>
      <c r="AT236" s="748"/>
      <c r="AU236" s="748"/>
      <c r="AV236" s="748"/>
      <c r="AW236" s="748"/>
      <c r="AX236" s="748"/>
      <c r="AY236" s="748"/>
      <c r="AZ236" s="748"/>
      <c r="BA236" s="748"/>
      <c r="BB236" s="748"/>
      <c r="BC236" s="748"/>
      <c r="BD236" s="748"/>
      <c r="BE236" s="748"/>
      <c r="BF236" s="748"/>
      <c r="BG236" s="748"/>
      <c r="BH236" s="748"/>
      <c r="BI236" s="748"/>
      <c r="BJ236" s="748"/>
      <c r="BK236" s="748"/>
      <c r="BL236" s="748"/>
      <c r="BM236" s="748"/>
      <c r="BN236" s="748"/>
      <c r="BO236" s="748"/>
      <c r="BP236" s="748"/>
      <c r="BQ236" s="748"/>
      <c r="BR236" s="748"/>
      <c r="BS236" s="748"/>
      <c r="BT236" s="748"/>
      <c r="BU236" s="748"/>
      <c r="BV236" s="748"/>
      <c r="BW236" s="748"/>
      <c r="BX236" s="748"/>
      <c r="BY236" s="748"/>
      <c r="BZ236" s="748"/>
      <c r="CA236" s="748"/>
      <c r="CB236" s="748"/>
      <c r="CC236" s="748"/>
      <c r="CD236" s="748"/>
      <c r="CE236" s="748"/>
    </row>
    <row customHeight="1" ht="5.25" hidden="1">
      <c r="A237" s="1277"/>
      <c r="B237" s="748"/>
      <c r="C237" s="748"/>
      <c r="D237" s="2391"/>
      <c r="E237" s="872"/>
      <c r="F237" s="872"/>
      <c r="G237" s="872"/>
      <c r="H237" s="872"/>
      <c r="I237" s="872"/>
      <c r="J237" s="872"/>
      <c r="K237" s="872"/>
      <c r="L237" s="872"/>
      <c r="M237" s="872"/>
      <c r="N237" s="872"/>
      <c r="O237" s="872"/>
      <c r="P237" s="872"/>
      <c r="Q237" s="872"/>
      <c r="R237" s="872"/>
      <c r="S237" s="873"/>
      <c r="T237" s="955"/>
      <c r="U237" s="2389"/>
      <c r="V237" s="2389"/>
      <c r="W237" s="748"/>
      <c r="X237" s="748"/>
      <c r="Y237" s="748"/>
      <c r="Z237" s="748"/>
      <c r="AA237" s="748"/>
      <c r="AB237" s="748"/>
      <c r="AC237" s="1295"/>
      <c r="AD237" s="1296"/>
      <c r="AE237" s="748"/>
      <c r="AF237" s="748"/>
      <c r="AG237" s="748"/>
      <c r="AH237" s="748"/>
      <c r="AI237" s="748"/>
      <c r="AJ237" s="748"/>
      <c r="AK237" s="748"/>
      <c r="AL237" s="748"/>
      <c r="AM237" s="748"/>
      <c r="AN237" s="748"/>
      <c r="AO237" s="748"/>
      <c r="AP237" s="748"/>
      <c r="AQ237" s="748"/>
      <c r="AR237" s="748"/>
      <c r="AS237" s="748"/>
      <c r="AT237" s="748"/>
      <c r="AU237" s="748"/>
      <c r="AV237" s="748"/>
      <c r="AW237" s="748"/>
      <c r="AX237" s="748"/>
      <c r="AY237" s="748"/>
      <c r="AZ237" s="748"/>
      <c r="BA237" s="748"/>
      <c r="BB237" s="748"/>
      <c r="BC237" s="748"/>
      <c r="BD237" s="748"/>
      <c r="BE237" s="748"/>
      <c r="BF237" s="748"/>
      <c r="BG237" s="748"/>
      <c r="BH237" s="748"/>
      <c r="BI237" s="748"/>
      <c r="BJ237" s="748"/>
      <c r="BK237" s="748"/>
      <c r="BL237" s="748"/>
      <c r="BM237" s="748"/>
      <c r="BN237" s="748"/>
      <c r="BO237" s="748"/>
      <c r="BP237" s="748"/>
      <c r="BQ237" s="748"/>
      <c r="BR237" s="748"/>
      <c r="BS237" s="748"/>
      <c r="BT237" s="748"/>
      <c r="BU237" s="748"/>
      <c r="BV237" s="748"/>
      <c r="BW237" s="748"/>
      <c r="BX237" s="748"/>
      <c r="BY237" s="748"/>
      <c r="BZ237" s="748"/>
      <c r="CA237" s="748"/>
      <c r="CB237" s="748"/>
      <c r="CC237" s="748"/>
      <c r="CD237" s="748"/>
      <c r="CE237" s="748"/>
    </row>
    <row customHeight="1" ht="5.25" hidden="1">
      <c r="A238" s="1277"/>
      <c r="B238" s="748"/>
      <c r="C238" s="748"/>
      <c r="D238" s="2392"/>
      <c r="E238" s="1301"/>
      <c r="F238" s="1302"/>
      <c r="G238" s="1302"/>
      <c r="H238" s="1303"/>
      <c r="I238" s="1303"/>
      <c r="J238" s="1303"/>
      <c r="K238" s="1303"/>
      <c r="L238" s="1303"/>
      <c r="M238" s="1303"/>
      <c r="N238" s="1303"/>
      <c r="O238" s="1303"/>
      <c r="P238" s="1303"/>
      <c r="Q238" s="1303"/>
      <c r="R238" s="1202"/>
      <c r="S238" s="1304"/>
      <c r="T238" s="955"/>
      <c r="U238" s="2389"/>
      <c r="V238" s="2389"/>
      <c r="W238" s="748"/>
      <c r="X238" s="748"/>
      <c r="Y238" s="748"/>
      <c r="Z238" s="748"/>
      <c r="AA238" s="748"/>
      <c r="AB238" s="748"/>
      <c r="AC238" s="1295"/>
      <c r="AD238" s="1296"/>
      <c r="AE238" s="748"/>
      <c r="AF238" s="748"/>
      <c r="AG238" s="748"/>
      <c r="AH238" s="748"/>
      <c r="AI238" s="748"/>
      <c r="AJ238" s="748"/>
      <c r="AK238" s="748"/>
      <c r="AL238" s="748"/>
      <c r="AM238" s="748"/>
      <c r="AN238" s="748"/>
      <c r="AO238" s="748"/>
      <c r="AP238" s="748"/>
      <c r="AQ238" s="748"/>
      <c r="AR238" s="748"/>
      <c r="AS238" s="748"/>
      <c r="AT238" s="748"/>
      <c r="AU238" s="748"/>
      <c r="AV238" s="748"/>
      <c r="AW238" s="748"/>
      <c r="AX238" s="748"/>
      <c r="AY238" s="748"/>
      <c r="AZ238" s="748"/>
      <c r="BA238" s="748"/>
      <c r="BB238" s="748"/>
      <c r="BC238" s="748"/>
      <c r="BD238" s="748"/>
      <c r="BE238" s="748"/>
      <c r="BF238" s="748"/>
      <c r="BG238" s="748"/>
      <c r="BH238" s="748"/>
      <c r="BI238" s="748"/>
      <c r="BJ238" s="748"/>
      <c r="BK238" s="748"/>
      <c r="BL238" s="748"/>
      <c r="BM238" s="748"/>
      <c r="BN238" s="748"/>
      <c r="BO238" s="748"/>
      <c r="BP238" s="748"/>
      <c r="BQ238" s="748"/>
      <c r="BR238" s="748"/>
      <c r="BS238" s="748"/>
      <c r="BT238" s="748"/>
      <c r="BU238" s="748"/>
      <c r="BV238" s="748"/>
      <c r="BW238" s="748"/>
      <c r="BX238" s="748"/>
      <c r="BY238" s="748"/>
      <c r="BZ238" s="748"/>
      <c r="CA238" s="748"/>
      <c r="CB238" s="748"/>
      <c r="CC238" s="748"/>
      <c r="CD238" s="748"/>
      <c r="CE238" s="748"/>
    </row>
    <row customHeight="1" ht="15" hidden="1">
      <c r="A239" s="860" t="s">
        <v>189</v>
      </c>
      <c r="B239" s="861"/>
      <c r="C239" s="861" t="s">
        <v>17</v>
      </c>
      <c r="D239" s="2390" t="s">
        <v>1834</v>
      </c>
      <c r="E239" s="2374" t="s">
        <v>105</v>
      </c>
      <c r="F239" s="2375"/>
      <c r="G239" s="2376"/>
      <c r="H239" s="2377" t="str">
        <f>IF(A239="","",INDEX(DIFFERENTIATION_UNMERGE_VD,MATCH(A239,DIFFERENTIATION_ID_DIFF,0)))</f>
        <v>Производство тепловой энергии. Некомбинированная выработка</v>
      </c>
      <c r="I239" s="2377"/>
      <c r="J239" s="2377"/>
      <c r="K239" s="2377"/>
      <c r="L239" s="2377"/>
      <c r="M239" s="2377"/>
      <c r="N239" s="2377"/>
      <c r="O239" s="2377"/>
      <c r="P239" s="2377"/>
      <c r="Q239" s="2377"/>
      <c r="R239" s="2377"/>
      <c r="S239" s="956"/>
      <c r="T239" s="953"/>
      <c r="U239" s="862"/>
      <c r="V239" s="862"/>
      <c r="W239" s="863"/>
      <c r="X239" s="863"/>
      <c r="Y239" s="863"/>
      <c r="Z239" s="863"/>
      <c r="AA239" s="864"/>
      <c r="AB239" s="865"/>
      <c r="AC239" s="2373"/>
      <c r="AD239" s="866"/>
      <c r="AE239" s="867" t="s">
        <v>17</v>
      </c>
      <c r="AF239" s="867"/>
      <c r="AG239" s="868" t="s">
        <v>1475</v>
      </c>
      <c r="AH239" s="869">
        <v>3</v>
      </c>
      <c r="AI239" s="862"/>
      <c r="AJ239" s="862"/>
      <c r="AK239" s="862"/>
      <c r="AL239" s="862"/>
      <c r="AM239" s="862"/>
      <c r="AN239" s="862"/>
      <c r="AO239" s="862"/>
      <c r="AP239" s="862"/>
      <c r="AQ239" s="862"/>
      <c r="AR239" s="862"/>
      <c r="AS239" s="862"/>
      <c r="AT239" s="862"/>
      <c r="AU239" s="862"/>
      <c r="AV239" s="862"/>
      <c r="AW239" s="862"/>
      <c r="AX239" s="862"/>
      <c r="AY239" s="862"/>
      <c r="AZ239" s="862"/>
      <c r="BA239" s="862"/>
      <c r="BB239" s="862"/>
      <c r="BC239" s="862"/>
      <c r="BD239" s="862"/>
      <c r="BE239" s="862"/>
      <c r="BF239" s="862"/>
      <c r="BG239" s="862"/>
      <c r="BH239" s="862"/>
      <c r="BI239" s="862"/>
      <c r="BJ239" s="862"/>
      <c r="BK239" s="862"/>
      <c r="BL239" s="862"/>
      <c r="BM239" s="862"/>
      <c r="BN239" s="862"/>
      <c r="BO239" s="862"/>
      <c r="BP239" s="862"/>
      <c r="BQ239" s="862"/>
      <c r="BR239" s="862"/>
      <c r="BS239" s="862"/>
      <c r="BT239" s="862"/>
      <c r="BU239" s="862"/>
      <c r="BV239" s="863"/>
      <c r="BW239" s="863"/>
      <c r="BX239" s="863"/>
      <c r="BY239" s="863"/>
      <c r="BZ239" s="863"/>
      <c r="CA239" s="863"/>
      <c r="CB239" s="863"/>
      <c r="CC239" s="863"/>
      <c r="CD239" s="863"/>
      <c r="CE239" s="863"/>
    </row>
    <row customHeight="1" ht="15" hidden="1">
      <c r="A240" s="860"/>
      <c r="B240" s="861"/>
      <c r="C240" s="861"/>
      <c r="D240" s="2391"/>
      <c r="E240" s="2374" t="s">
        <v>1476</v>
      </c>
      <c r="F240" s="2375"/>
      <c r="G240" s="2376"/>
      <c r="H240" s="2377" t="str">
        <f>IF(A239="","",INDEX(DIFFERENTIATION_UNMERGE_AREA,MATCH(A239,DIFFERENTIATION_ID_DIFF,0)))</f>
        <v>Территория 1</v>
      </c>
      <c r="I240" s="2377"/>
      <c r="J240" s="2377"/>
      <c r="K240" s="2377"/>
      <c r="L240" s="2377"/>
      <c r="M240" s="2377"/>
      <c r="N240" s="2377"/>
      <c r="O240" s="2377"/>
      <c r="P240" s="2377"/>
      <c r="Q240" s="2377"/>
      <c r="R240" s="2377"/>
      <c r="S240" s="956"/>
      <c r="T240" s="953"/>
      <c r="U240" s="862"/>
      <c r="V240" s="862"/>
      <c r="W240" s="863"/>
      <c r="X240" s="863"/>
      <c r="Y240" s="863"/>
      <c r="Z240" s="863"/>
      <c r="AA240" s="864"/>
      <c r="AB240" s="865"/>
      <c r="AC240" s="2373"/>
      <c r="AD240" s="866"/>
      <c r="AE240" s="867"/>
      <c r="AF240" s="867"/>
      <c r="AG240" s="868"/>
      <c r="AH240" s="869"/>
      <c r="AI240" s="862"/>
      <c r="AJ240" s="862"/>
      <c r="AK240" s="862"/>
      <c r="AL240" s="862"/>
      <c r="AM240" s="862"/>
      <c r="AN240" s="862"/>
      <c r="AO240" s="862"/>
      <c r="AP240" s="862"/>
      <c r="AQ240" s="862"/>
      <c r="AR240" s="862"/>
      <c r="AS240" s="862"/>
      <c r="AT240" s="862"/>
      <c r="AU240" s="862"/>
      <c r="AV240" s="862"/>
      <c r="AW240" s="862"/>
      <c r="AX240" s="862"/>
      <c r="AY240" s="862"/>
      <c r="AZ240" s="862"/>
      <c r="BA240" s="862"/>
      <c r="BB240" s="862"/>
      <c r="BC240" s="862"/>
      <c r="BD240" s="862"/>
      <c r="BE240" s="862"/>
      <c r="BF240" s="862"/>
      <c r="BG240" s="862"/>
      <c r="BH240" s="862"/>
      <c r="BI240" s="862"/>
      <c r="BJ240" s="862"/>
      <c r="BK240" s="862"/>
      <c r="BL240" s="862"/>
      <c r="BM240" s="862"/>
      <c r="BN240" s="862"/>
      <c r="BO240" s="862"/>
      <c r="BP240" s="862"/>
      <c r="BQ240" s="862"/>
      <c r="BR240" s="862"/>
      <c r="BS240" s="862"/>
      <c r="BT240" s="862"/>
      <c r="BU240" s="862"/>
      <c r="BV240" s="863"/>
      <c r="BW240" s="863"/>
      <c r="BX240" s="863"/>
      <c r="BY240" s="863"/>
      <c r="BZ240" s="863"/>
      <c r="CA240" s="863"/>
      <c r="CB240" s="863"/>
      <c r="CC240" s="863"/>
      <c r="CD240" s="863"/>
      <c r="CE240" s="863"/>
    </row>
    <row customHeight="1" ht="15" hidden="1">
      <c r="A241" s="860"/>
      <c r="B241" s="861"/>
      <c r="C241" s="861"/>
      <c r="D241" s="2391"/>
      <c r="E241" s="2374" t="s">
        <v>1477</v>
      </c>
      <c r="F241" s="2375"/>
      <c r="G241" s="2376"/>
      <c r="H241" s="2377" t="str">
        <f>IF(A239="","",INDEX(DIFFERENTIATION_UNMERGE_SYSTEM,MATCH(A239,DIFFERENTIATION_ID_DIFF,0)))</f>
        <v>ЦТП-8, ул.Шевченко</v>
      </c>
      <c r="I241" s="2377"/>
      <c r="J241" s="2377"/>
      <c r="K241" s="2377"/>
      <c r="L241" s="2377"/>
      <c r="M241" s="2377"/>
      <c r="N241" s="2377"/>
      <c r="O241" s="2377"/>
      <c r="P241" s="2377"/>
      <c r="Q241" s="2377"/>
      <c r="R241" s="2377"/>
      <c r="S241" s="956"/>
      <c r="T241" s="953"/>
      <c r="U241" s="862"/>
      <c r="V241" s="862"/>
      <c r="W241" s="863"/>
      <c r="X241" s="863"/>
      <c r="Y241" s="863"/>
      <c r="Z241" s="863"/>
      <c r="AA241" s="864"/>
      <c r="AB241" s="865"/>
      <c r="AC241" s="2373"/>
      <c r="AD241" s="866"/>
      <c r="AE241" s="867"/>
      <c r="AF241" s="867"/>
      <c r="AG241" s="868"/>
      <c r="AH241" s="869"/>
      <c r="AI241" s="862"/>
      <c r="AJ241" s="862"/>
      <c r="AK241" s="862"/>
      <c r="AL241" s="862"/>
      <c r="AM241" s="862"/>
      <c r="AN241" s="862"/>
      <c r="AO241" s="862"/>
      <c r="AP241" s="862"/>
      <c r="AQ241" s="862"/>
      <c r="AR241" s="862"/>
      <c r="AS241" s="862"/>
      <c r="AT241" s="862"/>
      <c r="AU241" s="862"/>
      <c r="AV241" s="862"/>
      <c r="AW241" s="862"/>
      <c r="AX241" s="862"/>
      <c r="AY241" s="862"/>
      <c r="AZ241" s="862"/>
      <c r="BA241" s="862"/>
      <c r="BB241" s="862"/>
      <c r="BC241" s="862"/>
      <c r="BD241" s="862"/>
      <c r="BE241" s="862"/>
      <c r="BF241" s="862"/>
      <c r="BG241" s="862"/>
      <c r="BH241" s="862"/>
      <c r="BI241" s="862"/>
      <c r="BJ241" s="862"/>
      <c r="BK241" s="862"/>
      <c r="BL241" s="862"/>
      <c r="BM241" s="862"/>
      <c r="BN241" s="862"/>
      <c r="BO241" s="862"/>
      <c r="BP241" s="862"/>
      <c r="BQ241" s="862"/>
      <c r="BR241" s="862"/>
      <c r="BS241" s="862"/>
      <c r="BT241" s="862"/>
      <c r="BU241" s="862"/>
      <c r="BV241" s="863"/>
      <c r="BW241" s="863"/>
      <c r="BX241" s="863"/>
      <c r="BY241" s="863"/>
      <c r="BZ241" s="863"/>
      <c r="CA241" s="863"/>
      <c r="CB241" s="863"/>
      <c r="CC241" s="863"/>
      <c r="CD241" s="863"/>
      <c r="CE241" s="863"/>
    </row>
    <row customHeight="1" ht="24.75" hidden="1">
      <c r="A242" s="870"/>
      <c r="B242" s="653"/>
      <c r="C242" s="648"/>
      <c r="D242" s="2391"/>
      <c r="E242" s="2388" t="s">
        <v>1478</v>
      </c>
      <c r="F242" s="2388"/>
      <c r="G242" s="2388"/>
      <c r="H242" s="2388"/>
      <c r="I242" s="2388"/>
      <c r="J242" s="2388"/>
      <c r="K242" s="2388"/>
      <c r="L242" s="2388"/>
      <c r="M242" s="2388"/>
      <c r="N242" s="2388"/>
      <c r="O242" s="2388"/>
      <c r="P242" s="2388"/>
      <c r="Q242" s="795">
        <f>SUMIF(T243:T244,"i",Q243:Q244)</f>
        <v>0</v>
      </c>
      <c r="R242" s="1273"/>
      <c r="S242" s="1278" t="s">
        <v>1479</v>
      </c>
      <c r="T242" s="954" t="s">
        <v>1480</v>
      </c>
      <c r="U242" s="2389">
        <v>1</v>
      </c>
      <c r="V242" s="2389" t="s">
        <v>1481</v>
      </c>
      <c r="W242" s="653"/>
      <c r="X242" s="653"/>
      <c r="Y242" s="653"/>
      <c r="Z242" s="653"/>
      <c r="AA242" s="748"/>
      <c r="AB242" s="653"/>
      <c r="AC242" s="2373"/>
      <c r="AD242" s="866"/>
      <c r="AE242" s="653"/>
      <c r="AF242" s="653"/>
      <c r="AG242" s="748"/>
      <c r="AH242" s="748"/>
      <c r="AI242" s="748"/>
      <c r="AJ242" s="748"/>
      <c r="AK242" s="748"/>
      <c r="AL242" s="748"/>
      <c r="AM242" s="748"/>
      <c r="AN242" s="748"/>
      <c r="AO242" s="748"/>
      <c r="AP242" s="748"/>
      <c r="AQ242" s="748"/>
      <c r="AR242" s="748"/>
      <c r="AS242" s="748"/>
      <c r="AT242" s="748"/>
      <c r="AU242" s="748"/>
      <c r="AV242" s="748"/>
      <c r="AW242" s="748"/>
      <c r="AX242" s="748"/>
      <c r="AY242" s="748"/>
      <c r="AZ242" s="748"/>
      <c r="BA242" s="748"/>
      <c r="BB242" s="748"/>
      <c r="BC242" s="748"/>
      <c r="BD242" s="748"/>
      <c r="BE242" s="748"/>
      <c r="BF242" s="748"/>
      <c r="BG242" s="748"/>
      <c r="BH242" s="748"/>
      <c r="BI242" s="748"/>
      <c r="BJ242" s="748"/>
      <c r="BK242" s="748"/>
      <c r="BL242" s="748"/>
      <c r="BM242" s="748"/>
      <c r="BN242" s="748"/>
      <c r="BO242" s="748"/>
      <c r="BP242" s="748"/>
      <c r="BQ242" s="748"/>
      <c r="BR242" s="748"/>
      <c r="BS242" s="748"/>
      <c r="BT242" s="748"/>
      <c r="BU242" s="748"/>
      <c r="BV242" s="653"/>
      <c r="BW242" s="653"/>
      <c r="BX242" s="653"/>
      <c r="BY242" s="653"/>
      <c r="BZ242" s="653"/>
      <c r="CA242" s="653"/>
      <c r="CB242" s="653"/>
      <c r="CC242" s="653"/>
      <c r="CD242" s="653"/>
      <c r="CE242" s="653"/>
    </row>
    <row customHeight="1" ht="11.25" hidden="1">
      <c r="A243" s="1277"/>
      <c r="B243" s="748"/>
      <c r="C243" s="748"/>
      <c r="D243" s="2391"/>
      <c r="E243" s="872"/>
      <c r="F243" s="872">
        <v>0</v>
      </c>
      <c r="G243" s="872"/>
      <c r="H243" s="872"/>
      <c r="I243" s="872"/>
      <c r="J243" s="872"/>
      <c r="K243" s="872"/>
      <c r="L243" s="872"/>
      <c r="M243" s="872"/>
      <c r="N243" s="872"/>
      <c r="O243" s="872"/>
      <c r="P243" s="872"/>
      <c r="Q243" s="872"/>
      <c r="R243" s="872"/>
      <c r="S243" s="873"/>
      <c r="T243" s="955"/>
      <c r="U243" s="2389"/>
      <c r="V243" s="2389"/>
      <c r="W243" s="748"/>
      <c r="X243" s="748"/>
      <c r="Y243" s="748"/>
      <c r="Z243" s="748"/>
      <c r="AA243" s="748"/>
      <c r="AB243" s="653"/>
      <c r="AC243" s="2373"/>
      <c r="AD243" s="866"/>
      <c r="AE243" s="653"/>
      <c r="AF243" s="653"/>
      <c r="AG243" s="748"/>
      <c r="AH243" s="748"/>
      <c r="AI243" s="748"/>
      <c r="AJ243" s="748"/>
      <c r="AK243" s="748"/>
      <c r="AL243" s="748"/>
      <c r="AM243" s="748"/>
      <c r="AN243" s="748"/>
      <c r="AO243" s="748"/>
      <c r="AP243" s="748"/>
      <c r="AQ243" s="748"/>
      <c r="AR243" s="748"/>
      <c r="AS243" s="748"/>
      <c r="AT243" s="748"/>
      <c r="AU243" s="748"/>
      <c r="AV243" s="748"/>
      <c r="AW243" s="748"/>
      <c r="AX243" s="748"/>
      <c r="AY243" s="748"/>
      <c r="AZ243" s="748"/>
      <c r="BA243" s="748"/>
      <c r="BB243" s="748"/>
      <c r="BC243" s="748"/>
      <c r="BD243" s="748"/>
      <c r="BE243" s="748"/>
      <c r="BF243" s="748"/>
      <c r="BG243" s="748"/>
      <c r="BH243" s="748"/>
      <c r="BI243" s="748"/>
      <c r="BJ243" s="748"/>
      <c r="BK243" s="748"/>
      <c r="BL243" s="748"/>
      <c r="BM243" s="748"/>
      <c r="BN243" s="748"/>
      <c r="BO243" s="748"/>
      <c r="BP243" s="748"/>
      <c r="BQ243" s="748"/>
      <c r="BR243" s="748"/>
      <c r="BS243" s="748"/>
      <c r="BT243" s="748"/>
      <c r="BU243" s="748"/>
      <c r="BV243" s="748"/>
      <c r="BW243" s="748"/>
      <c r="BX243" s="748"/>
      <c r="BY243" s="748"/>
      <c r="BZ243" s="748"/>
      <c r="CA243" s="748"/>
      <c r="CB243" s="748"/>
      <c r="CC243" s="748"/>
      <c r="CD243" s="748"/>
      <c r="CE243" s="748"/>
    </row>
    <row customHeight="1" ht="11.25" hidden="1">
      <c r="A244" s="870"/>
      <c r="B244" s="653"/>
      <c r="C244" s="648"/>
      <c r="D244" s="2391"/>
      <c r="E244" s="886" t="s">
        <v>17</v>
      </c>
      <c r="F244" s="887" t="s">
        <v>17</v>
      </c>
      <c r="G244" s="887" t="s">
        <v>1482</v>
      </c>
      <c r="H244" s="888" t="s">
        <v>17</v>
      </c>
      <c r="I244" s="888"/>
      <c r="J244" s="888"/>
      <c r="K244" s="888"/>
      <c r="L244" s="888"/>
      <c r="M244" s="888"/>
      <c r="N244" s="888"/>
      <c r="O244" s="888"/>
      <c r="P244" s="888"/>
      <c r="Q244" s="888"/>
      <c r="R244" s="889"/>
      <c r="S244" s="890"/>
      <c r="T244" s="955"/>
      <c r="U244" s="2389"/>
      <c r="V244" s="2389"/>
      <c r="W244" s="653"/>
      <c r="X244" s="653"/>
      <c r="Y244" s="653"/>
      <c r="Z244" s="653"/>
      <c r="AA244" s="748"/>
      <c r="AB244" s="653"/>
      <c r="AC244" s="2373"/>
      <c r="AD244" s="866"/>
      <c r="AE244" s="653"/>
      <c r="AF244" s="653"/>
      <c r="AG244" s="748"/>
      <c r="AH244" s="748"/>
      <c r="AI244" s="748"/>
      <c r="AJ244" s="748"/>
      <c r="AK244" s="748"/>
      <c r="AL244" s="748"/>
      <c r="AM244" s="748"/>
      <c r="AN244" s="748"/>
      <c r="AO244" s="748"/>
      <c r="AP244" s="748"/>
      <c r="AQ244" s="748"/>
      <c r="AR244" s="748"/>
      <c r="AS244" s="748"/>
      <c r="AT244" s="748"/>
      <c r="AU244" s="748"/>
      <c r="AV244" s="748"/>
      <c r="AW244" s="748"/>
      <c r="AX244" s="748"/>
      <c r="AY244" s="748"/>
      <c r="AZ244" s="748"/>
      <c r="BA244" s="748"/>
      <c r="BB244" s="748"/>
      <c r="BC244" s="748"/>
      <c r="BD244" s="748"/>
      <c r="BE244" s="748"/>
      <c r="BF244" s="748"/>
      <c r="BG244" s="748"/>
      <c r="BH244" s="748"/>
      <c r="BI244" s="748"/>
      <c r="BJ244" s="748"/>
      <c r="BK244" s="748"/>
      <c r="BL244" s="748"/>
      <c r="BM244" s="748"/>
      <c r="BN244" s="748"/>
      <c r="BO244" s="748"/>
      <c r="BP244" s="748"/>
      <c r="BQ244" s="748"/>
      <c r="BR244" s="748"/>
      <c r="BS244" s="748"/>
      <c r="BT244" s="748"/>
      <c r="BU244" s="748"/>
      <c r="BV244" s="653"/>
      <c r="BW244" s="653"/>
      <c r="BX244" s="653"/>
      <c r="BY244" s="653"/>
      <c r="BZ244" s="653"/>
      <c r="CA244" s="653"/>
      <c r="CB244" s="653"/>
      <c r="CC244" s="653"/>
      <c r="CD244" s="653"/>
      <c r="CE244" s="653"/>
    </row>
    <row customHeight="1" ht="5.25" hidden="1">
      <c r="A245" s="1277"/>
      <c r="B245" s="748"/>
      <c r="C245" s="748"/>
      <c r="D245" s="2391"/>
      <c r="E245" s="1297"/>
      <c r="F245" s="1297"/>
      <c r="G245" s="1297"/>
      <c r="H245" s="1297"/>
      <c r="I245" s="1297"/>
      <c r="J245" s="1297"/>
      <c r="K245" s="1297"/>
      <c r="L245" s="1297"/>
      <c r="M245" s="1297"/>
      <c r="N245" s="1297"/>
      <c r="O245" s="1297"/>
      <c r="P245" s="1297"/>
      <c r="Q245" s="1298"/>
      <c r="R245" s="1299"/>
      <c r="S245" s="1300"/>
      <c r="T245" s="954" t="s">
        <v>1480</v>
      </c>
      <c r="U245" s="2389">
        <v>1</v>
      </c>
      <c r="V245" s="2389" t="s">
        <v>1481</v>
      </c>
      <c r="W245" s="748"/>
      <c r="X245" s="748"/>
      <c r="Y245" s="748"/>
      <c r="Z245" s="748"/>
      <c r="AA245" s="748"/>
      <c r="AB245" s="748"/>
      <c r="AC245" s="1295"/>
      <c r="AD245" s="1296"/>
      <c r="AE245" s="748"/>
      <c r="AF245" s="748"/>
      <c r="AG245" s="748"/>
      <c r="AH245" s="748"/>
      <c r="AI245" s="748"/>
      <c r="AJ245" s="748"/>
      <c r="AK245" s="748"/>
      <c r="AL245" s="748"/>
      <c r="AM245" s="748"/>
      <c r="AN245" s="748"/>
      <c r="AO245" s="748"/>
      <c r="AP245" s="748"/>
      <c r="AQ245" s="748"/>
      <c r="AR245" s="748"/>
      <c r="AS245" s="748"/>
      <c r="AT245" s="748"/>
      <c r="AU245" s="748"/>
      <c r="AV245" s="748"/>
      <c r="AW245" s="748"/>
      <c r="AX245" s="748"/>
      <c r="AY245" s="748"/>
      <c r="AZ245" s="748"/>
      <c r="BA245" s="748"/>
      <c r="BB245" s="748"/>
      <c r="BC245" s="748"/>
      <c r="BD245" s="748"/>
      <c r="BE245" s="748"/>
      <c r="BF245" s="748"/>
      <c r="BG245" s="748"/>
      <c r="BH245" s="748"/>
      <c r="BI245" s="748"/>
      <c r="BJ245" s="748"/>
      <c r="BK245" s="748"/>
      <c r="BL245" s="748"/>
      <c r="BM245" s="748"/>
      <c r="BN245" s="748"/>
      <c r="BO245" s="748"/>
      <c r="BP245" s="748"/>
      <c r="BQ245" s="748"/>
      <c r="BR245" s="748"/>
      <c r="BS245" s="748"/>
      <c r="BT245" s="748"/>
      <c r="BU245" s="748"/>
      <c r="BV245" s="748"/>
      <c r="BW245" s="748"/>
      <c r="BX245" s="748"/>
      <c r="BY245" s="748"/>
      <c r="BZ245" s="748"/>
      <c r="CA245" s="748"/>
      <c r="CB245" s="748"/>
      <c r="CC245" s="748"/>
      <c r="CD245" s="748"/>
      <c r="CE245" s="748"/>
    </row>
    <row customHeight="1" ht="5.25" hidden="1">
      <c r="A246" s="1277"/>
      <c r="B246" s="748"/>
      <c r="C246" s="748"/>
      <c r="D246" s="2391"/>
      <c r="E246" s="872"/>
      <c r="F246" s="872"/>
      <c r="G246" s="872"/>
      <c r="H246" s="872"/>
      <c r="I246" s="872"/>
      <c r="J246" s="872"/>
      <c r="K246" s="872"/>
      <c r="L246" s="872"/>
      <c r="M246" s="872"/>
      <c r="N246" s="872"/>
      <c r="O246" s="872"/>
      <c r="P246" s="872"/>
      <c r="Q246" s="872"/>
      <c r="R246" s="872"/>
      <c r="S246" s="873"/>
      <c r="T246" s="955"/>
      <c r="U246" s="2389"/>
      <c r="V246" s="2389"/>
      <c r="W246" s="748"/>
      <c r="X246" s="748"/>
      <c r="Y246" s="748"/>
      <c r="Z246" s="748"/>
      <c r="AA246" s="748"/>
      <c r="AB246" s="748"/>
      <c r="AC246" s="1295"/>
      <c r="AD246" s="1296"/>
      <c r="AE246" s="748"/>
      <c r="AF246" s="748"/>
      <c r="AG246" s="748"/>
      <c r="AH246" s="748"/>
      <c r="AI246" s="748"/>
      <c r="AJ246" s="748"/>
      <c r="AK246" s="748"/>
      <c r="AL246" s="748"/>
      <c r="AM246" s="748"/>
      <c r="AN246" s="748"/>
      <c r="AO246" s="748"/>
      <c r="AP246" s="748"/>
      <c r="AQ246" s="748"/>
      <c r="AR246" s="748"/>
      <c r="AS246" s="748"/>
      <c r="AT246" s="748"/>
      <c r="AU246" s="748"/>
      <c r="AV246" s="748"/>
      <c r="AW246" s="748"/>
      <c r="AX246" s="748"/>
      <c r="AY246" s="748"/>
      <c r="AZ246" s="748"/>
      <c r="BA246" s="748"/>
      <c r="BB246" s="748"/>
      <c r="BC246" s="748"/>
      <c r="BD246" s="748"/>
      <c r="BE246" s="748"/>
      <c r="BF246" s="748"/>
      <c r="BG246" s="748"/>
      <c r="BH246" s="748"/>
      <c r="BI246" s="748"/>
      <c r="BJ246" s="748"/>
      <c r="BK246" s="748"/>
      <c r="BL246" s="748"/>
      <c r="BM246" s="748"/>
      <c r="BN246" s="748"/>
      <c r="BO246" s="748"/>
      <c r="BP246" s="748"/>
      <c r="BQ246" s="748"/>
      <c r="BR246" s="748"/>
      <c r="BS246" s="748"/>
      <c r="BT246" s="748"/>
      <c r="BU246" s="748"/>
      <c r="BV246" s="748"/>
      <c r="BW246" s="748"/>
      <c r="BX246" s="748"/>
      <c r="BY246" s="748"/>
      <c r="BZ246" s="748"/>
      <c r="CA246" s="748"/>
      <c r="CB246" s="748"/>
      <c r="CC246" s="748"/>
      <c r="CD246" s="748"/>
      <c r="CE246" s="748"/>
    </row>
    <row customHeight="1" ht="5.25" hidden="1">
      <c r="A247" s="1277"/>
      <c r="B247" s="748"/>
      <c r="C247" s="748"/>
      <c r="D247" s="2392"/>
      <c r="E247" s="1301"/>
      <c r="F247" s="1302"/>
      <c r="G247" s="1302"/>
      <c r="H247" s="1303"/>
      <c r="I247" s="1303"/>
      <c r="J247" s="1303"/>
      <c r="K247" s="1303"/>
      <c r="L247" s="1303"/>
      <c r="M247" s="1303"/>
      <c r="N247" s="1303"/>
      <c r="O247" s="1303"/>
      <c r="P247" s="1303"/>
      <c r="Q247" s="1303"/>
      <c r="R247" s="1202"/>
      <c r="S247" s="1304"/>
      <c r="T247" s="955"/>
      <c r="U247" s="2389"/>
      <c r="V247" s="2389"/>
      <c r="W247" s="748"/>
      <c r="X247" s="748"/>
      <c r="Y247" s="748"/>
      <c r="Z247" s="748"/>
      <c r="AA247" s="748"/>
      <c r="AB247" s="748"/>
      <c r="AC247" s="1295"/>
      <c r="AD247" s="1296"/>
      <c r="AE247" s="748"/>
      <c r="AF247" s="748"/>
      <c r="AG247" s="748"/>
      <c r="AH247" s="748"/>
      <c r="AI247" s="748"/>
      <c r="AJ247" s="748"/>
      <c r="AK247" s="748"/>
      <c r="AL247" s="748"/>
      <c r="AM247" s="748"/>
      <c r="AN247" s="748"/>
      <c r="AO247" s="748"/>
      <c r="AP247" s="748"/>
      <c r="AQ247" s="748"/>
      <c r="AR247" s="748"/>
      <c r="AS247" s="748"/>
      <c r="AT247" s="748"/>
      <c r="AU247" s="748"/>
      <c r="AV247" s="748"/>
      <c r="AW247" s="748"/>
      <c r="AX247" s="748"/>
      <c r="AY247" s="748"/>
      <c r="AZ247" s="748"/>
      <c r="BA247" s="748"/>
      <c r="BB247" s="748"/>
      <c r="BC247" s="748"/>
      <c r="BD247" s="748"/>
      <c r="BE247" s="748"/>
      <c r="BF247" s="748"/>
      <c r="BG247" s="748"/>
      <c r="BH247" s="748"/>
      <c r="BI247" s="748"/>
      <c r="BJ247" s="748"/>
      <c r="BK247" s="748"/>
      <c r="BL247" s="748"/>
      <c r="BM247" s="748"/>
      <c r="BN247" s="748"/>
      <c r="BO247" s="748"/>
      <c r="BP247" s="748"/>
      <c r="BQ247" s="748"/>
      <c r="BR247" s="748"/>
      <c r="BS247" s="748"/>
      <c r="BT247" s="748"/>
      <c r="BU247" s="748"/>
      <c r="BV247" s="748"/>
      <c r="BW247" s="748"/>
      <c r="BX247" s="748"/>
      <c r="BY247" s="748"/>
      <c r="BZ247" s="748"/>
      <c r="CA247" s="748"/>
      <c r="CB247" s="748"/>
      <c r="CC247" s="748"/>
      <c r="CD247" s="748"/>
      <c r="CE247" s="748"/>
    </row>
    <row customHeight="1" ht="15" hidden="1">
      <c r="A248" s="860" t="s">
        <v>192</v>
      </c>
      <c r="B248" s="861"/>
      <c r="C248" s="861" t="s">
        <v>17</v>
      </c>
      <c r="D248" s="2390" t="s">
        <v>1835</v>
      </c>
      <c r="E248" s="2374" t="s">
        <v>105</v>
      </c>
      <c r="F248" s="2375"/>
      <c r="G248" s="2376"/>
      <c r="H248" s="2377" t="str">
        <f>IF(A248="","",INDEX(DIFFERENTIATION_UNMERGE_VD,MATCH(A248,DIFFERENTIATION_ID_DIFF,0)))</f>
        <v>Производство тепловой энергии. Некомбинированная выработка</v>
      </c>
      <c r="I248" s="2377"/>
      <c r="J248" s="2377"/>
      <c r="K248" s="2377"/>
      <c r="L248" s="2377"/>
      <c r="M248" s="2377"/>
      <c r="N248" s="2377"/>
      <c r="O248" s="2377"/>
      <c r="P248" s="2377"/>
      <c r="Q248" s="2377"/>
      <c r="R248" s="2377"/>
      <c r="S248" s="956"/>
      <c r="T248" s="953"/>
      <c r="U248" s="862"/>
      <c r="V248" s="862"/>
      <c r="W248" s="863"/>
      <c r="X248" s="863"/>
      <c r="Y248" s="863"/>
      <c r="Z248" s="863"/>
      <c r="AA248" s="864"/>
      <c r="AB248" s="865"/>
      <c r="AC248" s="2373"/>
      <c r="AD248" s="866"/>
      <c r="AE248" s="867" t="s">
        <v>17</v>
      </c>
      <c r="AF248" s="867"/>
      <c r="AG248" s="868" t="s">
        <v>1475</v>
      </c>
      <c r="AH248" s="869">
        <v>3</v>
      </c>
      <c r="AI248" s="862"/>
      <c r="AJ248" s="862"/>
      <c r="AK248" s="862"/>
      <c r="AL248" s="862"/>
      <c r="AM248" s="862"/>
      <c r="AN248" s="862"/>
      <c r="AO248" s="862"/>
      <c r="AP248" s="862"/>
      <c r="AQ248" s="862"/>
      <c r="AR248" s="862"/>
      <c r="AS248" s="862"/>
      <c r="AT248" s="862"/>
      <c r="AU248" s="862"/>
      <c r="AV248" s="862"/>
      <c r="AW248" s="862"/>
      <c r="AX248" s="862"/>
      <c r="AY248" s="862"/>
      <c r="AZ248" s="862"/>
      <c r="BA248" s="862"/>
      <c r="BB248" s="862"/>
      <c r="BC248" s="862"/>
      <c r="BD248" s="862"/>
      <c r="BE248" s="862"/>
      <c r="BF248" s="862"/>
      <c r="BG248" s="862"/>
      <c r="BH248" s="862"/>
      <c r="BI248" s="862"/>
      <c r="BJ248" s="862"/>
      <c r="BK248" s="862"/>
      <c r="BL248" s="862"/>
      <c r="BM248" s="862"/>
      <c r="BN248" s="862"/>
      <c r="BO248" s="862"/>
      <c r="BP248" s="862"/>
      <c r="BQ248" s="862"/>
      <c r="BR248" s="862"/>
      <c r="BS248" s="862"/>
      <c r="BT248" s="862"/>
      <c r="BU248" s="862"/>
      <c r="BV248" s="863"/>
      <c r="BW248" s="863"/>
      <c r="BX248" s="863"/>
      <c r="BY248" s="863"/>
      <c r="BZ248" s="863"/>
      <c r="CA248" s="863"/>
      <c r="CB248" s="863"/>
      <c r="CC248" s="863"/>
      <c r="CD248" s="863"/>
      <c r="CE248" s="863"/>
    </row>
    <row customHeight="1" ht="15" hidden="1">
      <c r="A249" s="860"/>
      <c r="B249" s="861"/>
      <c r="C249" s="861"/>
      <c r="D249" s="2391"/>
      <c r="E249" s="2374" t="s">
        <v>1476</v>
      </c>
      <c r="F249" s="2375"/>
      <c r="G249" s="2376"/>
      <c r="H249" s="2377" t="str">
        <f>IF(A248="","",INDEX(DIFFERENTIATION_UNMERGE_AREA,MATCH(A248,DIFFERENTIATION_ID_DIFF,0)))</f>
        <v>Территория 1</v>
      </c>
      <c r="I249" s="2377"/>
      <c r="J249" s="2377"/>
      <c r="K249" s="2377"/>
      <c r="L249" s="2377"/>
      <c r="M249" s="2377"/>
      <c r="N249" s="2377"/>
      <c r="O249" s="2377"/>
      <c r="P249" s="2377"/>
      <c r="Q249" s="2377"/>
      <c r="R249" s="2377"/>
      <c r="S249" s="956"/>
      <c r="T249" s="953"/>
      <c r="U249" s="862"/>
      <c r="V249" s="862"/>
      <c r="W249" s="863"/>
      <c r="X249" s="863"/>
      <c r="Y249" s="863"/>
      <c r="Z249" s="863"/>
      <c r="AA249" s="864"/>
      <c r="AB249" s="865"/>
      <c r="AC249" s="2373"/>
      <c r="AD249" s="866"/>
      <c r="AE249" s="867"/>
      <c r="AF249" s="867"/>
      <c r="AG249" s="868"/>
      <c r="AH249" s="869"/>
      <c r="AI249" s="862"/>
      <c r="AJ249" s="862"/>
      <c r="AK249" s="862"/>
      <c r="AL249" s="862"/>
      <c r="AM249" s="862"/>
      <c r="AN249" s="862"/>
      <c r="AO249" s="862"/>
      <c r="AP249" s="862"/>
      <c r="AQ249" s="862"/>
      <c r="AR249" s="862"/>
      <c r="AS249" s="862"/>
      <c r="AT249" s="862"/>
      <c r="AU249" s="862"/>
      <c r="AV249" s="862"/>
      <c r="AW249" s="862"/>
      <c r="AX249" s="862"/>
      <c r="AY249" s="862"/>
      <c r="AZ249" s="862"/>
      <c r="BA249" s="862"/>
      <c r="BB249" s="862"/>
      <c r="BC249" s="862"/>
      <c r="BD249" s="862"/>
      <c r="BE249" s="862"/>
      <c r="BF249" s="862"/>
      <c r="BG249" s="862"/>
      <c r="BH249" s="862"/>
      <c r="BI249" s="862"/>
      <c r="BJ249" s="862"/>
      <c r="BK249" s="862"/>
      <c r="BL249" s="862"/>
      <c r="BM249" s="862"/>
      <c r="BN249" s="862"/>
      <c r="BO249" s="862"/>
      <c r="BP249" s="862"/>
      <c r="BQ249" s="862"/>
      <c r="BR249" s="862"/>
      <c r="BS249" s="862"/>
      <c r="BT249" s="862"/>
      <c r="BU249" s="862"/>
      <c r="BV249" s="863"/>
      <c r="BW249" s="863"/>
      <c r="BX249" s="863"/>
      <c r="BY249" s="863"/>
      <c r="BZ249" s="863"/>
      <c r="CA249" s="863"/>
      <c r="CB249" s="863"/>
      <c r="CC249" s="863"/>
      <c r="CD249" s="863"/>
      <c r="CE249" s="863"/>
    </row>
    <row customHeight="1" ht="15" hidden="1">
      <c r="A250" s="860"/>
      <c r="B250" s="861"/>
      <c r="C250" s="861"/>
      <c r="D250" s="2391"/>
      <c r="E250" s="2374" t="s">
        <v>1477</v>
      </c>
      <c r="F250" s="2375"/>
      <c r="G250" s="2376"/>
      <c r="H250" s="2377" t="str">
        <f>IF(A248="","",INDEX(DIFFERENTIATION_UNMERGE_SYSTEM,MATCH(A248,DIFFERENTIATION_ID_DIFF,0)))</f>
        <v>ПНС, ул.Парковая</v>
      </c>
      <c r="I250" s="2377"/>
      <c r="J250" s="2377"/>
      <c r="K250" s="2377"/>
      <c r="L250" s="2377"/>
      <c r="M250" s="2377"/>
      <c r="N250" s="2377"/>
      <c r="O250" s="2377"/>
      <c r="P250" s="2377"/>
      <c r="Q250" s="2377"/>
      <c r="R250" s="2377"/>
      <c r="S250" s="956"/>
      <c r="T250" s="953"/>
      <c r="U250" s="862"/>
      <c r="V250" s="862"/>
      <c r="W250" s="863"/>
      <c r="X250" s="863"/>
      <c r="Y250" s="863"/>
      <c r="Z250" s="863"/>
      <c r="AA250" s="864"/>
      <c r="AB250" s="865"/>
      <c r="AC250" s="2373"/>
      <c r="AD250" s="866"/>
      <c r="AE250" s="867"/>
      <c r="AF250" s="867"/>
      <c r="AG250" s="868"/>
      <c r="AH250" s="869"/>
      <c r="AI250" s="862"/>
      <c r="AJ250" s="862"/>
      <c r="AK250" s="862"/>
      <c r="AL250" s="862"/>
      <c r="AM250" s="862"/>
      <c r="AN250" s="862"/>
      <c r="AO250" s="862"/>
      <c r="AP250" s="862"/>
      <c r="AQ250" s="862"/>
      <c r="AR250" s="862"/>
      <c r="AS250" s="862"/>
      <c r="AT250" s="862"/>
      <c r="AU250" s="862"/>
      <c r="AV250" s="862"/>
      <c r="AW250" s="862"/>
      <c r="AX250" s="862"/>
      <c r="AY250" s="862"/>
      <c r="AZ250" s="862"/>
      <c r="BA250" s="862"/>
      <c r="BB250" s="862"/>
      <c r="BC250" s="862"/>
      <c r="BD250" s="862"/>
      <c r="BE250" s="862"/>
      <c r="BF250" s="862"/>
      <c r="BG250" s="862"/>
      <c r="BH250" s="862"/>
      <c r="BI250" s="862"/>
      <c r="BJ250" s="862"/>
      <c r="BK250" s="862"/>
      <c r="BL250" s="862"/>
      <c r="BM250" s="862"/>
      <c r="BN250" s="862"/>
      <c r="BO250" s="862"/>
      <c r="BP250" s="862"/>
      <c r="BQ250" s="862"/>
      <c r="BR250" s="862"/>
      <c r="BS250" s="862"/>
      <c r="BT250" s="862"/>
      <c r="BU250" s="862"/>
      <c r="BV250" s="863"/>
      <c r="BW250" s="863"/>
      <c r="BX250" s="863"/>
      <c r="BY250" s="863"/>
      <c r="BZ250" s="863"/>
      <c r="CA250" s="863"/>
      <c r="CB250" s="863"/>
      <c r="CC250" s="863"/>
      <c r="CD250" s="863"/>
      <c r="CE250" s="863"/>
    </row>
    <row customHeight="1" ht="24.75" hidden="1">
      <c r="A251" s="870"/>
      <c r="B251" s="653"/>
      <c r="C251" s="648"/>
      <c r="D251" s="2391"/>
      <c r="E251" s="2388" t="s">
        <v>1478</v>
      </c>
      <c r="F251" s="2388"/>
      <c r="G251" s="2388"/>
      <c r="H251" s="2388"/>
      <c r="I251" s="2388"/>
      <c r="J251" s="2388"/>
      <c r="K251" s="2388"/>
      <c r="L251" s="2388"/>
      <c r="M251" s="2388"/>
      <c r="N251" s="2388"/>
      <c r="O251" s="2388"/>
      <c r="P251" s="2388"/>
      <c r="Q251" s="795">
        <f>SUMIF(T252:T253,"i",Q252:Q253)</f>
        <v>0</v>
      </c>
      <c r="R251" s="1273"/>
      <c r="S251" s="1278" t="s">
        <v>1479</v>
      </c>
      <c r="T251" s="954" t="s">
        <v>1480</v>
      </c>
      <c r="U251" s="2389">
        <v>1</v>
      </c>
      <c r="V251" s="2389" t="s">
        <v>1481</v>
      </c>
      <c r="W251" s="653"/>
      <c r="X251" s="653"/>
      <c r="Y251" s="653"/>
      <c r="Z251" s="653"/>
      <c r="AA251" s="748"/>
      <c r="AB251" s="653"/>
      <c r="AC251" s="2373"/>
      <c r="AD251" s="866"/>
      <c r="AE251" s="653"/>
      <c r="AF251" s="653"/>
      <c r="AG251" s="748"/>
      <c r="AH251" s="748"/>
      <c r="AI251" s="748"/>
      <c r="AJ251" s="748"/>
      <c r="AK251" s="748"/>
      <c r="AL251" s="748"/>
      <c r="AM251" s="748"/>
      <c r="AN251" s="748"/>
      <c r="AO251" s="748"/>
      <c r="AP251" s="748"/>
      <c r="AQ251" s="748"/>
      <c r="AR251" s="748"/>
      <c r="AS251" s="748"/>
      <c r="AT251" s="748"/>
      <c r="AU251" s="748"/>
      <c r="AV251" s="748"/>
      <c r="AW251" s="748"/>
      <c r="AX251" s="748"/>
      <c r="AY251" s="748"/>
      <c r="AZ251" s="748"/>
      <c r="BA251" s="748"/>
      <c r="BB251" s="748"/>
      <c r="BC251" s="748"/>
      <c r="BD251" s="748"/>
      <c r="BE251" s="748"/>
      <c r="BF251" s="748"/>
      <c r="BG251" s="748"/>
      <c r="BH251" s="748"/>
      <c r="BI251" s="748"/>
      <c r="BJ251" s="748"/>
      <c r="BK251" s="748"/>
      <c r="BL251" s="748"/>
      <c r="BM251" s="748"/>
      <c r="BN251" s="748"/>
      <c r="BO251" s="748"/>
      <c r="BP251" s="748"/>
      <c r="BQ251" s="748"/>
      <c r="BR251" s="748"/>
      <c r="BS251" s="748"/>
      <c r="BT251" s="748"/>
      <c r="BU251" s="748"/>
      <c r="BV251" s="653"/>
      <c r="BW251" s="653"/>
      <c r="BX251" s="653"/>
      <c r="BY251" s="653"/>
      <c r="BZ251" s="653"/>
      <c r="CA251" s="653"/>
      <c r="CB251" s="653"/>
      <c r="CC251" s="653"/>
      <c r="CD251" s="653"/>
      <c r="CE251" s="653"/>
    </row>
    <row customHeight="1" ht="11.25" hidden="1">
      <c r="A252" s="1277"/>
      <c r="B252" s="748"/>
      <c r="C252" s="748"/>
      <c r="D252" s="2391"/>
      <c r="E252" s="872"/>
      <c r="F252" s="872">
        <v>0</v>
      </c>
      <c r="G252" s="872"/>
      <c r="H252" s="872"/>
      <c r="I252" s="872"/>
      <c r="J252" s="872"/>
      <c r="K252" s="872"/>
      <c r="L252" s="872"/>
      <c r="M252" s="872"/>
      <c r="N252" s="872"/>
      <c r="O252" s="872"/>
      <c r="P252" s="872"/>
      <c r="Q252" s="872"/>
      <c r="R252" s="872"/>
      <c r="S252" s="873"/>
      <c r="T252" s="955"/>
      <c r="U252" s="2389"/>
      <c r="V252" s="2389"/>
      <c r="W252" s="748"/>
      <c r="X252" s="748"/>
      <c r="Y252" s="748"/>
      <c r="Z252" s="748"/>
      <c r="AA252" s="748"/>
      <c r="AB252" s="653"/>
      <c r="AC252" s="2373"/>
      <c r="AD252" s="866"/>
      <c r="AE252" s="653"/>
      <c r="AF252" s="653"/>
      <c r="AG252" s="748"/>
      <c r="AH252" s="748"/>
      <c r="AI252" s="748"/>
      <c r="AJ252" s="748"/>
      <c r="AK252" s="748"/>
      <c r="AL252" s="748"/>
      <c r="AM252" s="748"/>
      <c r="AN252" s="748"/>
      <c r="AO252" s="748"/>
      <c r="AP252" s="748"/>
      <c r="AQ252" s="748"/>
      <c r="AR252" s="748"/>
      <c r="AS252" s="748"/>
      <c r="AT252" s="748"/>
      <c r="AU252" s="748"/>
      <c r="AV252" s="748"/>
      <c r="AW252" s="748"/>
      <c r="AX252" s="748"/>
      <c r="AY252" s="748"/>
      <c r="AZ252" s="748"/>
      <c r="BA252" s="748"/>
      <c r="BB252" s="748"/>
      <c r="BC252" s="748"/>
      <c r="BD252" s="748"/>
      <c r="BE252" s="748"/>
      <c r="BF252" s="748"/>
      <c r="BG252" s="748"/>
      <c r="BH252" s="748"/>
      <c r="BI252" s="748"/>
      <c r="BJ252" s="748"/>
      <c r="BK252" s="748"/>
      <c r="BL252" s="748"/>
      <c r="BM252" s="748"/>
      <c r="BN252" s="748"/>
      <c r="BO252" s="748"/>
      <c r="BP252" s="748"/>
      <c r="BQ252" s="748"/>
      <c r="BR252" s="748"/>
      <c r="BS252" s="748"/>
      <c r="BT252" s="748"/>
      <c r="BU252" s="748"/>
      <c r="BV252" s="748"/>
      <c r="BW252" s="748"/>
      <c r="BX252" s="748"/>
      <c r="BY252" s="748"/>
      <c r="BZ252" s="748"/>
      <c r="CA252" s="748"/>
      <c r="CB252" s="748"/>
      <c r="CC252" s="748"/>
      <c r="CD252" s="748"/>
      <c r="CE252" s="748"/>
    </row>
    <row customHeight="1" ht="11.25" hidden="1">
      <c r="A253" s="870"/>
      <c r="B253" s="653"/>
      <c r="C253" s="648"/>
      <c r="D253" s="2391"/>
      <c r="E253" s="886" t="s">
        <v>17</v>
      </c>
      <c r="F253" s="887" t="s">
        <v>17</v>
      </c>
      <c r="G253" s="887" t="s">
        <v>1482</v>
      </c>
      <c r="H253" s="888" t="s">
        <v>17</v>
      </c>
      <c r="I253" s="888"/>
      <c r="J253" s="888"/>
      <c r="K253" s="888"/>
      <c r="L253" s="888"/>
      <c r="M253" s="888"/>
      <c r="N253" s="888"/>
      <c r="O253" s="888"/>
      <c r="P253" s="888"/>
      <c r="Q253" s="888"/>
      <c r="R253" s="889"/>
      <c r="S253" s="890"/>
      <c r="T253" s="955"/>
      <c r="U253" s="2389"/>
      <c r="V253" s="2389"/>
      <c r="W253" s="653"/>
      <c r="X253" s="653"/>
      <c r="Y253" s="653"/>
      <c r="Z253" s="653"/>
      <c r="AA253" s="748"/>
      <c r="AB253" s="653"/>
      <c r="AC253" s="2373"/>
      <c r="AD253" s="866"/>
      <c r="AE253" s="653"/>
      <c r="AF253" s="653"/>
      <c r="AG253" s="748"/>
      <c r="AH253" s="748"/>
      <c r="AI253" s="748"/>
      <c r="AJ253" s="748"/>
      <c r="AK253" s="748"/>
      <c r="AL253" s="748"/>
      <c r="AM253" s="748"/>
      <c r="AN253" s="748"/>
      <c r="AO253" s="748"/>
      <c r="AP253" s="748"/>
      <c r="AQ253" s="748"/>
      <c r="AR253" s="748"/>
      <c r="AS253" s="748"/>
      <c r="AT253" s="748"/>
      <c r="AU253" s="748"/>
      <c r="AV253" s="748"/>
      <c r="AW253" s="748"/>
      <c r="AX253" s="748"/>
      <c r="AY253" s="748"/>
      <c r="AZ253" s="748"/>
      <c r="BA253" s="748"/>
      <c r="BB253" s="748"/>
      <c r="BC253" s="748"/>
      <c r="BD253" s="748"/>
      <c r="BE253" s="748"/>
      <c r="BF253" s="748"/>
      <c r="BG253" s="748"/>
      <c r="BH253" s="748"/>
      <c r="BI253" s="748"/>
      <c r="BJ253" s="748"/>
      <c r="BK253" s="748"/>
      <c r="BL253" s="748"/>
      <c r="BM253" s="748"/>
      <c r="BN253" s="748"/>
      <c r="BO253" s="748"/>
      <c r="BP253" s="748"/>
      <c r="BQ253" s="748"/>
      <c r="BR253" s="748"/>
      <c r="BS253" s="748"/>
      <c r="BT253" s="748"/>
      <c r="BU253" s="748"/>
      <c r="BV253" s="653"/>
      <c r="BW253" s="653"/>
      <c r="BX253" s="653"/>
      <c r="BY253" s="653"/>
      <c r="BZ253" s="653"/>
      <c r="CA253" s="653"/>
      <c r="CB253" s="653"/>
      <c r="CC253" s="653"/>
      <c r="CD253" s="653"/>
      <c r="CE253" s="653"/>
    </row>
    <row customHeight="1" ht="5.25" hidden="1">
      <c r="A254" s="1277"/>
      <c r="B254" s="748"/>
      <c r="C254" s="748"/>
      <c r="D254" s="2391"/>
      <c r="E254" s="1297"/>
      <c r="F254" s="1297"/>
      <c r="G254" s="1297"/>
      <c r="H254" s="1297"/>
      <c r="I254" s="1297"/>
      <c r="J254" s="1297"/>
      <c r="K254" s="1297"/>
      <c r="L254" s="1297"/>
      <c r="M254" s="1297"/>
      <c r="N254" s="1297"/>
      <c r="O254" s="1297"/>
      <c r="P254" s="1297"/>
      <c r="Q254" s="1298"/>
      <c r="R254" s="1299"/>
      <c r="S254" s="1300"/>
      <c r="T254" s="954" t="s">
        <v>1480</v>
      </c>
      <c r="U254" s="2389">
        <v>1</v>
      </c>
      <c r="V254" s="2389" t="s">
        <v>1481</v>
      </c>
      <c r="W254" s="748"/>
      <c r="X254" s="748"/>
      <c r="Y254" s="748"/>
      <c r="Z254" s="748"/>
      <c r="AA254" s="748"/>
      <c r="AB254" s="748"/>
      <c r="AC254" s="1295"/>
      <c r="AD254" s="1296"/>
      <c r="AE254" s="748"/>
      <c r="AF254" s="748"/>
      <c r="AG254" s="748"/>
      <c r="AH254" s="748"/>
      <c r="AI254" s="748"/>
      <c r="AJ254" s="748"/>
      <c r="AK254" s="748"/>
      <c r="AL254" s="748"/>
      <c r="AM254" s="748"/>
      <c r="AN254" s="748"/>
      <c r="AO254" s="748"/>
      <c r="AP254" s="748"/>
      <c r="AQ254" s="748"/>
      <c r="AR254" s="748"/>
      <c r="AS254" s="748"/>
      <c r="AT254" s="748"/>
      <c r="AU254" s="748"/>
      <c r="AV254" s="748"/>
      <c r="AW254" s="748"/>
      <c r="AX254" s="748"/>
      <c r="AY254" s="748"/>
      <c r="AZ254" s="748"/>
      <c r="BA254" s="748"/>
      <c r="BB254" s="748"/>
      <c r="BC254" s="748"/>
      <c r="BD254" s="748"/>
      <c r="BE254" s="748"/>
      <c r="BF254" s="748"/>
      <c r="BG254" s="748"/>
      <c r="BH254" s="748"/>
      <c r="BI254" s="748"/>
      <c r="BJ254" s="748"/>
      <c r="BK254" s="748"/>
      <c r="BL254" s="748"/>
      <c r="BM254" s="748"/>
      <c r="BN254" s="748"/>
      <c r="BO254" s="748"/>
      <c r="BP254" s="748"/>
      <c r="BQ254" s="748"/>
      <c r="BR254" s="748"/>
      <c r="BS254" s="748"/>
      <c r="BT254" s="748"/>
      <c r="BU254" s="748"/>
      <c r="BV254" s="748"/>
      <c r="BW254" s="748"/>
      <c r="BX254" s="748"/>
      <c r="BY254" s="748"/>
      <c r="BZ254" s="748"/>
      <c r="CA254" s="748"/>
      <c r="CB254" s="748"/>
      <c r="CC254" s="748"/>
      <c r="CD254" s="748"/>
      <c r="CE254" s="748"/>
    </row>
    <row customHeight="1" ht="5.25" hidden="1">
      <c r="A255" s="1277"/>
      <c r="B255" s="748"/>
      <c r="C255" s="748"/>
      <c r="D255" s="2391"/>
      <c r="E255" s="872"/>
      <c r="F255" s="872"/>
      <c r="G255" s="872"/>
      <c r="H255" s="872"/>
      <c r="I255" s="872"/>
      <c r="J255" s="872"/>
      <c r="K255" s="872"/>
      <c r="L255" s="872"/>
      <c r="M255" s="872"/>
      <c r="N255" s="872"/>
      <c r="O255" s="872"/>
      <c r="P255" s="872"/>
      <c r="Q255" s="872"/>
      <c r="R255" s="872"/>
      <c r="S255" s="873"/>
      <c r="T255" s="955"/>
      <c r="U255" s="2389"/>
      <c r="V255" s="2389"/>
      <c r="W255" s="748"/>
      <c r="X255" s="748"/>
      <c r="Y255" s="748"/>
      <c r="Z255" s="748"/>
      <c r="AA255" s="748"/>
      <c r="AB255" s="748"/>
      <c r="AC255" s="1295"/>
      <c r="AD255" s="1296"/>
      <c r="AE255" s="748"/>
      <c r="AF255" s="748"/>
      <c r="AG255" s="748"/>
      <c r="AH255" s="748"/>
      <c r="AI255" s="748"/>
      <c r="AJ255" s="748"/>
      <c r="AK255" s="748"/>
      <c r="AL255" s="748"/>
      <c r="AM255" s="748"/>
      <c r="AN255" s="748"/>
      <c r="AO255" s="748"/>
      <c r="AP255" s="748"/>
      <c r="AQ255" s="748"/>
      <c r="AR255" s="748"/>
      <c r="AS255" s="748"/>
      <c r="AT255" s="748"/>
      <c r="AU255" s="748"/>
      <c r="AV255" s="748"/>
      <c r="AW255" s="748"/>
      <c r="AX255" s="748"/>
      <c r="AY255" s="748"/>
      <c r="AZ255" s="748"/>
      <c r="BA255" s="748"/>
      <c r="BB255" s="748"/>
      <c r="BC255" s="748"/>
      <c r="BD255" s="748"/>
      <c r="BE255" s="748"/>
      <c r="BF255" s="748"/>
      <c r="BG255" s="748"/>
      <c r="BH255" s="748"/>
      <c r="BI255" s="748"/>
      <c r="BJ255" s="748"/>
      <c r="BK255" s="748"/>
      <c r="BL255" s="748"/>
      <c r="BM255" s="748"/>
      <c r="BN255" s="748"/>
      <c r="BO255" s="748"/>
      <c r="BP255" s="748"/>
      <c r="BQ255" s="748"/>
      <c r="BR255" s="748"/>
      <c r="BS255" s="748"/>
      <c r="BT255" s="748"/>
      <c r="BU255" s="748"/>
      <c r="BV255" s="748"/>
      <c r="BW255" s="748"/>
      <c r="BX255" s="748"/>
      <c r="BY255" s="748"/>
      <c r="BZ255" s="748"/>
      <c r="CA255" s="748"/>
      <c r="CB255" s="748"/>
      <c r="CC255" s="748"/>
      <c r="CD255" s="748"/>
      <c r="CE255" s="748"/>
    </row>
    <row customHeight="1" ht="5.25" hidden="1">
      <c r="A256" s="1277"/>
      <c r="B256" s="748"/>
      <c r="C256" s="748"/>
      <c r="D256" s="2392"/>
      <c r="E256" s="1301"/>
      <c r="F256" s="1302"/>
      <c r="G256" s="1302"/>
      <c r="H256" s="1303"/>
      <c r="I256" s="1303"/>
      <c r="J256" s="1303"/>
      <c r="K256" s="1303"/>
      <c r="L256" s="1303"/>
      <c r="M256" s="1303"/>
      <c r="N256" s="1303"/>
      <c r="O256" s="1303"/>
      <c r="P256" s="1303"/>
      <c r="Q256" s="1303"/>
      <c r="R256" s="1202"/>
      <c r="S256" s="1304"/>
      <c r="T256" s="955"/>
      <c r="U256" s="2389"/>
      <c r="V256" s="2389"/>
      <c r="W256" s="748"/>
      <c r="X256" s="748"/>
      <c r="Y256" s="748"/>
      <c r="Z256" s="748"/>
      <c r="AA256" s="748"/>
      <c r="AB256" s="748"/>
      <c r="AC256" s="1295"/>
      <c r="AD256" s="1296"/>
      <c r="AE256" s="748"/>
      <c r="AF256" s="748"/>
      <c r="AG256" s="748"/>
      <c r="AH256" s="748"/>
      <c r="AI256" s="748"/>
      <c r="AJ256" s="748"/>
      <c r="AK256" s="748"/>
      <c r="AL256" s="748"/>
      <c r="AM256" s="748"/>
      <c r="AN256" s="748"/>
      <c r="AO256" s="748"/>
      <c r="AP256" s="748"/>
      <c r="AQ256" s="748"/>
      <c r="AR256" s="748"/>
      <c r="AS256" s="748"/>
      <c r="AT256" s="748"/>
      <c r="AU256" s="748"/>
      <c r="AV256" s="748"/>
      <c r="AW256" s="748"/>
      <c r="AX256" s="748"/>
      <c r="AY256" s="748"/>
      <c r="AZ256" s="748"/>
      <c r="BA256" s="748"/>
      <c r="BB256" s="748"/>
      <c r="BC256" s="748"/>
      <c r="BD256" s="748"/>
      <c r="BE256" s="748"/>
      <c r="BF256" s="748"/>
      <c r="BG256" s="748"/>
      <c r="BH256" s="748"/>
      <c r="BI256" s="748"/>
      <c r="BJ256" s="748"/>
      <c r="BK256" s="748"/>
      <c r="BL256" s="748"/>
      <c r="BM256" s="748"/>
      <c r="BN256" s="748"/>
      <c r="BO256" s="748"/>
      <c r="BP256" s="748"/>
      <c r="BQ256" s="748"/>
      <c r="BR256" s="748"/>
      <c r="BS256" s="748"/>
      <c r="BT256" s="748"/>
      <c r="BU256" s="748"/>
      <c r="BV256" s="748"/>
      <c r="BW256" s="748"/>
      <c r="BX256" s="748"/>
      <c r="BY256" s="748"/>
      <c r="BZ256" s="748"/>
      <c r="CA256" s="748"/>
      <c r="CB256" s="748"/>
      <c r="CC256" s="748"/>
      <c r="CD256" s="748"/>
      <c r="CE256" s="748"/>
    </row>
    <row customHeight="1" ht="15" hidden="1">
      <c r="A257" s="860" t="s">
        <v>195</v>
      </c>
      <c r="B257" s="861"/>
      <c r="C257" s="861" t="s">
        <v>17</v>
      </c>
      <c r="D257" s="2390" t="s">
        <v>1836</v>
      </c>
      <c r="E257" s="2374" t="s">
        <v>105</v>
      </c>
      <c r="F257" s="2375"/>
      <c r="G257" s="2376"/>
      <c r="H257" s="2377" t="str">
        <f>IF(A257="","",INDEX(DIFFERENTIATION_UNMERGE_VD,MATCH(A257,DIFFERENTIATION_ID_DIFF,0)))</f>
        <v>Производство тепловой энергии. Некомбинированная выработка</v>
      </c>
      <c r="I257" s="2377"/>
      <c r="J257" s="2377"/>
      <c r="K257" s="2377"/>
      <c r="L257" s="2377"/>
      <c r="M257" s="2377"/>
      <c r="N257" s="2377"/>
      <c r="O257" s="2377"/>
      <c r="P257" s="2377"/>
      <c r="Q257" s="2377"/>
      <c r="R257" s="2377"/>
      <c r="S257" s="956"/>
      <c r="T257" s="953"/>
      <c r="U257" s="862"/>
      <c r="V257" s="862"/>
      <c r="W257" s="863"/>
      <c r="X257" s="863"/>
      <c r="Y257" s="863"/>
      <c r="Z257" s="863"/>
      <c r="AA257" s="864"/>
      <c r="AB257" s="865"/>
      <c r="AC257" s="2373"/>
      <c r="AD257" s="866"/>
      <c r="AE257" s="867" t="s">
        <v>17</v>
      </c>
      <c r="AF257" s="867"/>
      <c r="AG257" s="868" t="s">
        <v>1475</v>
      </c>
      <c r="AH257" s="869">
        <v>3</v>
      </c>
      <c r="AI257" s="862"/>
      <c r="AJ257" s="862"/>
      <c r="AK257" s="862"/>
      <c r="AL257" s="862"/>
      <c r="AM257" s="862"/>
      <c r="AN257" s="862"/>
      <c r="AO257" s="862"/>
      <c r="AP257" s="862"/>
      <c r="AQ257" s="862"/>
      <c r="AR257" s="862"/>
      <c r="AS257" s="862"/>
      <c r="AT257" s="862"/>
      <c r="AU257" s="862"/>
      <c r="AV257" s="862"/>
      <c r="AW257" s="862"/>
      <c r="AX257" s="862"/>
      <c r="AY257" s="862"/>
      <c r="AZ257" s="862"/>
      <c r="BA257" s="862"/>
      <c r="BB257" s="862"/>
      <c r="BC257" s="862"/>
      <c r="BD257" s="862"/>
      <c r="BE257" s="862"/>
      <c r="BF257" s="862"/>
      <c r="BG257" s="862"/>
      <c r="BH257" s="862"/>
      <c r="BI257" s="862"/>
      <c r="BJ257" s="862"/>
      <c r="BK257" s="862"/>
      <c r="BL257" s="862"/>
      <c r="BM257" s="862"/>
      <c r="BN257" s="862"/>
      <c r="BO257" s="862"/>
      <c r="BP257" s="862"/>
      <c r="BQ257" s="862"/>
      <c r="BR257" s="862"/>
      <c r="BS257" s="862"/>
      <c r="BT257" s="862"/>
      <c r="BU257" s="862"/>
      <c r="BV257" s="863"/>
      <c r="BW257" s="863"/>
      <c r="BX257" s="863"/>
      <c r="BY257" s="863"/>
      <c r="BZ257" s="863"/>
      <c r="CA257" s="863"/>
      <c r="CB257" s="863"/>
      <c r="CC257" s="863"/>
      <c r="CD257" s="863"/>
      <c r="CE257" s="863"/>
    </row>
    <row customHeight="1" ht="15" hidden="1">
      <c r="A258" s="860"/>
      <c r="B258" s="861"/>
      <c r="C258" s="861"/>
      <c r="D258" s="2391"/>
      <c r="E258" s="2374" t="s">
        <v>1476</v>
      </c>
      <c r="F258" s="2375"/>
      <c r="G258" s="2376"/>
      <c r="H258" s="2377" t="str">
        <f>IF(A257="","",INDEX(DIFFERENTIATION_UNMERGE_AREA,MATCH(A257,DIFFERENTIATION_ID_DIFF,0)))</f>
        <v>Территория 1</v>
      </c>
      <c r="I258" s="2377"/>
      <c r="J258" s="2377"/>
      <c r="K258" s="2377"/>
      <c r="L258" s="2377"/>
      <c r="M258" s="2377"/>
      <c r="N258" s="2377"/>
      <c r="O258" s="2377"/>
      <c r="P258" s="2377"/>
      <c r="Q258" s="2377"/>
      <c r="R258" s="2377"/>
      <c r="S258" s="956"/>
      <c r="T258" s="953"/>
      <c r="U258" s="862"/>
      <c r="V258" s="862"/>
      <c r="W258" s="863"/>
      <c r="X258" s="863"/>
      <c r="Y258" s="863"/>
      <c r="Z258" s="863"/>
      <c r="AA258" s="864"/>
      <c r="AB258" s="865"/>
      <c r="AC258" s="2373"/>
      <c r="AD258" s="866"/>
      <c r="AE258" s="867"/>
      <c r="AF258" s="867"/>
      <c r="AG258" s="868"/>
      <c r="AH258" s="869"/>
      <c r="AI258" s="862"/>
      <c r="AJ258" s="862"/>
      <c r="AK258" s="862"/>
      <c r="AL258" s="862"/>
      <c r="AM258" s="862"/>
      <c r="AN258" s="862"/>
      <c r="AO258" s="862"/>
      <c r="AP258" s="862"/>
      <c r="AQ258" s="862"/>
      <c r="AR258" s="862"/>
      <c r="AS258" s="862"/>
      <c r="AT258" s="862"/>
      <c r="AU258" s="862"/>
      <c r="AV258" s="862"/>
      <c r="AW258" s="862"/>
      <c r="AX258" s="862"/>
      <c r="AY258" s="862"/>
      <c r="AZ258" s="862"/>
      <c r="BA258" s="862"/>
      <c r="BB258" s="862"/>
      <c r="BC258" s="862"/>
      <c r="BD258" s="862"/>
      <c r="BE258" s="862"/>
      <c r="BF258" s="862"/>
      <c r="BG258" s="862"/>
      <c r="BH258" s="862"/>
      <c r="BI258" s="862"/>
      <c r="BJ258" s="862"/>
      <c r="BK258" s="862"/>
      <c r="BL258" s="862"/>
      <c r="BM258" s="862"/>
      <c r="BN258" s="862"/>
      <c r="BO258" s="862"/>
      <c r="BP258" s="862"/>
      <c r="BQ258" s="862"/>
      <c r="BR258" s="862"/>
      <c r="BS258" s="862"/>
      <c r="BT258" s="862"/>
      <c r="BU258" s="862"/>
      <c r="BV258" s="863"/>
      <c r="BW258" s="863"/>
      <c r="BX258" s="863"/>
      <c r="BY258" s="863"/>
      <c r="BZ258" s="863"/>
      <c r="CA258" s="863"/>
      <c r="CB258" s="863"/>
      <c r="CC258" s="863"/>
      <c r="CD258" s="863"/>
      <c r="CE258" s="863"/>
    </row>
    <row customHeight="1" ht="15" hidden="1">
      <c r="A259" s="860"/>
      <c r="B259" s="861"/>
      <c r="C259" s="861"/>
      <c r="D259" s="2391"/>
      <c r="E259" s="2374" t="s">
        <v>1477</v>
      </c>
      <c r="F259" s="2375"/>
      <c r="G259" s="2376"/>
      <c r="H259" s="2377" t="str">
        <f>IF(A257="","",INDEX(DIFFERENTIATION_UNMERGE_SYSTEM,MATCH(A257,DIFFERENTIATION_ID_DIFF,0)))</f>
        <v>Котельная №27, п.Богатырь, ул.Управленческая</v>
      </c>
      <c r="I259" s="2377"/>
      <c r="J259" s="2377"/>
      <c r="K259" s="2377"/>
      <c r="L259" s="2377"/>
      <c r="M259" s="2377"/>
      <c r="N259" s="2377"/>
      <c r="O259" s="2377"/>
      <c r="P259" s="2377"/>
      <c r="Q259" s="2377"/>
      <c r="R259" s="2377"/>
      <c r="S259" s="956"/>
      <c r="T259" s="953"/>
      <c r="U259" s="862"/>
      <c r="V259" s="862"/>
      <c r="W259" s="863"/>
      <c r="X259" s="863"/>
      <c r="Y259" s="863"/>
      <c r="Z259" s="863"/>
      <c r="AA259" s="864"/>
      <c r="AB259" s="865"/>
      <c r="AC259" s="2373"/>
      <c r="AD259" s="866"/>
      <c r="AE259" s="867"/>
      <c r="AF259" s="867"/>
      <c r="AG259" s="868"/>
      <c r="AH259" s="869"/>
      <c r="AI259" s="862"/>
      <c r="AJ259" s="862"/>
      <c r="AK259" s="862"/>
      <c r="AL259" s="862"/>
      <c r="AM259" s="862"/>
      <c r="AN259" s="862"/>
      <c r="AO259" s="862"/>
      <c r="AP259" s="862"/>
      <c r="AQ259" s="862"/>
      <c r="AR259" s="862"/>
      <c r="AS259" s="862"/>
      <c r="AT259" s="862"/>
      <c r="AU259" s="862"/>
      <c r="AV259" s="862"/>
      <c r="AW259" s="862"/>
      <c r="AX259" s="862"/>
      <c r="AY259" s="862"/>
      <c r="AZ259" s="862"/>
      <c r="BA259" s="862"/>
      <c r="BB259" s="862"/>
      <c r="BC259" s="862"/>
      <c r="BD259" s="862"/>
      <c r="BE259" s="862"/>
      <c r="BF259" s="862"/>
      <c r="BG259" s="862"/>
      <c r="BH259" s="862"/>
      <c r="BI259" s="862"/>
      <c r="BJ259" s="862"/>
      <c r="BK259" s="862"/>
      <c r="BL259" s="862"/>
      <c r="BM259" s="862"/>
      <c r="BN259" s="862"/>
      <c r="BO259" s="862"/>
      <c r="BP259" s="862"/>
      <c r="BQ259" s="862"/>
      <c r="BR259" s="862"/>
      <c r="BS259" s="862"/>
      <c r="BT259" s="862"/>
      <c r="BU259" s="862"/>
      <c r="BV259" s="863"/>
      <c r="BW259" s="863"/>
      <c r="BX259" s="863"/>
      <c r="BY259" s="863"/>
      <c r="BZ259" s="863"/>
      <c r="CA259" s="863"/>
      <c r="CB259" s="863"/>
      <c r="CC259" s="863"/>
      <c r="CD259" s="863"/>
      <c r="CE259" s="863"/>
    </row>
    <row customHeight="1" ht="24.75" hidden="1">
      <c r="A260" s="870"/>
      <c r="B260" s="653"/>
      <c r="C260" s="648"/>
      <c r="D260" s="2391"/>
      <c r="E260" s="2388" t="s">
        <v>1478</v>
      </c>
      <c r="F260" s="2388"/>
      <c r="G260" s="2388"/>
      <c r="H260" s="2388"/>
      <c r="I260" s="2388"/>
      <c r="J260" s="2388"/>
      <c r="K260" s="2388"/>
      <c r="L260" s="2388"/>
      <c r="M260" s="2388"/>
      <c r="N260" s="2388"/>
      <c r="O260" s="2388"/>
      <c r="P260" s="2388"/>
      <c r="Q260" s="795">
        <f>SUMIF(T261:T262,"i",Q261:Q262)</f>
        <v>0</v>
      </c>
      <c r="R260" s="1273"/>
      <c r="S260" s="1278" t="s">
        <v>1479</v>
      </c>
      <c r="T260" s="954" t="s">
        <v>1480</v>
      </c>
      <c r="U260" s="2389">
        <v>1</v>
      </c>
      <c r="V260" s="2389" t="s">
        <v>1481</v>
      </c>
      <c r="W260" s="653"/>
      <c r="X260" s="653"/>
      <c r="Y260" s="653"/>
      <c r="Z260" s="653"/>
      <c r="AA260" s="748"/>
      <c r="AB260" s="653"/>
      <c r="AC260" s="2373"/>
      <c r="AD260" s="866"/>
      <c r="AE260" s="653"/>
      <c r="AF260" s="653"/>
      <c r="AG260" s="748"/>
      <c r="AH260" s="748"/>
      <c r="AI260" s="748"/>
      <c r="AJ260" s="748"/>
      <c r="AK260" s="748"/>
      <c r="AL260" s="748"/>
      <c r="AM260" s="748"/>
      <c r="AN260" s="748"/>
      <c r="AO260" s="748"/>
      <c r="AP260" s="748"/>
      <c r="AQ260" s="748"/>
      <c r="AR260" s="748"/>
      <c r="AS260" s="748"/>
      <c r="AT260" s="748"/>
      <c r="AU260" s="748"/>
      <c r="AV260" s="748"/>
      <c r="AW260" s="748"/>
      <c r="AX260" s="748"/>
      <c r="AY260" s="748"/>
      <c r="AZ260" s="748"/>
      <c r="BA260" s="748"/>
      <c r="BB260" s="748"/>
      <c r="BC260" s="748"/>
      <c r="BD260" s="748"/>
      <c r="BE260" s="748"/>
      <c r="BF260" s="748"/>
      <c r="BG260" s="748"/>
      <c r="BH260" s="748"/>
      <c r="BI260" s="748"/>
      <c r="BJ260" s="748"/>
      <c r="BK260" s="748"/>
      <c r="BL260" s="748"/>
      <c r="BM260" s="748"/>
      <c r="BN260" s="748"/>
      <c r="BO260" s="748"/>
      <c r="BP260" s="748"/>
      <c r="BQ260" s="748"/>
      <c r="BR260" s="748"/>
      <c r="BS260" s="748"/>
      <c r="BT260" s="748"/>
      <c r="BU260" s="748"/>
      <c r="BV260" s="653"/>
      <c r="BW260" s="653"/>
      <c r="BX260" s="653"/>
      <c r="BY260" s="653"/>
      <c r="BZ260" s="653"/>
      <c r="CA260" s="653"/>
      <c r="CB260" s="653"/>
      <c r="CC260" s="653"/>
      <c r="CD260" s="653"/>
      <c r="CE260" s="653"/>
    </row>
    <row customHeight="1" ht="11.25" hidden="1">
      <c r="A261" s="1277"/>
      <c r="B261" s="748"/>
      <c r="C261" s="748"/>
      <c r="D261" s="2391"/>
      <c r="E261" s="872"/>
      <c r="F261" s="872">
        <v>0</v>
      </c>
      <c r="G261" s="872"/>
      <c r="H261" s="872"/>
      <c r="I261" s="872"/>
      <c r="J261" s="872"/>
      <c r="K261" s="872"/>
      <c r="L261" s="872"/>
      <c r="M261" s="872"/>
      <c r="N261" s="872"/>
      <c r="O261" s="872"/>
      <c r="P261" s="872"/>
      <c r="Q261" s="872"/>
      <c r="R261" s="872"/>
      <c r="S261" s="873"/>
      <c r="T261" s="955"/>
      <c r="U261" s="2389"/>
      <c r="V261" s="2389"/>
      <c r="W261" s="748"/>
      <c r="X261" s="748"/>
      <c r="Y261" s="748"/>
      <c r="Z261" s="748"/>
      <c r="AA261" s="748"/>
      <c r="AB261" s="653"/>
      <c r="AC261" s="2373"/>
      <c r="AD261" s="866"/>
      <c r="AE261" s="653"/>
      <c r="AF261" s="653"/>
      <c r="AG261" s="748"/>
      <c r="AH261" s="748"/>
      <c r="AI261" s="748"/>
      <c r="AJ261" s="748"/>
      <c r="AK261" s="748"/>
      <c r="AL261" s="748"/>
      <c r="AM261" s="748"/>
      <c r="AN261" s="748"/>
      <c r="AO261" s="748"/>
      <c r="AP261" s="748"/>
      <c r="AQ261" s="748"/>
      <c r="AR261" s="748"/>
      <c r="AS261" s="748"/>
      <c r="AT261" s="748"/>
      <c r="AU261" s="748"/>
      <c r="AV261" s="748"/>
      <c r="AW261" s="748"/>
      <c r="AX261" s="748"/>
      <c r="AY261" s="748"/>
      <c r="AZ261" s="748"/>
      <c r="BA261" s="748"/>
      <c r="BB261" s="748"/>
      <c r="BC261" s="748"/>
      <c r="BD261" s="748"/>
      <c r="BE261" s="748"/>
      <c r="BF261" s="748"/>
      <c r="BG261" s="748"/>
      <c r="BH261" s="748"/>
      <c r="BI261" s="748"/>
      <c r="BJ261" s="748"/>
      <c r="BK261" s="748"/>
      <c r="BL261" s="748"/>
      <c r="BM261" s="748"/>
      <c r="BN261" s="748"/>
      <c r="BO261" s="748"/>
      <c r="BP261" s="748"/>
      <c r="BQ261" s="748"/>
      <c r="BR261" s="748"/>
      <c r="BS261" s="748"/>
      <c r="BT261" s="748"/>
      <c r="BU261" s="748"/>
      <c r="BV261" s="748"/>
      <c r="BW261" s="748"/>
      <c r="BX261" s="748"/>
      <c r="BY261" s="748"/>
      <c r="BZ261" s="748"/>
      <c r="CA261" s="748"/>
      <c r="CB261" s="748"/>
      <c r="CC261" s="748"/>
      <c r="CD261" s="748"/>
      <c r="CE261" s="748"/>
    </row>
    <row customHeight="1" ht="11.25" hidden="1">
      <c r="A262" s="870"/>
      <c r="B262" s="653"/>
      <c r="C262" s="648"/>
      <c r="D262" s="2391"/>
      <c r="E262" s="886" t="s">
        <v>17</v>
      </c>
      <c r="F262" s="887" t="s">
        <v>17</v>
      </c>
      <c r="G262" s="887" t="s">
        <v>1482</v>
      </c>
      <c r="H262" s="888" t="s">
        <v>17</v>
      </c>
      <c r="I262" s="888"/>
      <c r="J262" s="888"/>
      <c r="K262" s="888"/>
      <c r="L262" s="888"/>
      <c r="M262" s="888"/>
      <c r="N262" s="888"/>
      <c r="O262" s="888"/>
      <c r="P262" s="888"/>
      <c r="Q262" s="888"/>
      <c r="R262" s="889"/>
      <c r="S262" s="890"/>
      <c r="T262" s="955"/>
      <c r="U262" s="2389"/>
      <c r="V262" s="2389"/>
      <c r="W262" s="653"/>
      <c r="X262" s="653"/>
      <c r="Y262" s="653"/>
      <c r="Z262" s="653"/>
      <c r="AA262" s="748"/>
      <c r="AB262" s="653"/>
      <c r="AC262" s="2373"/>
      <c r="AD262" s="866"/>
      <c r="AE262" s="653"/>
      <c r="AF262" s="653"/>
      <c r="AG262" s="748"/>
      <c r="AH262" s="748"/>
      <c r="AI262" s="748"/>
      <c r="AJ262" s="748"/>
      <c r="AK262" s="748"/>
      <c r="AL262" s="748"/>
      <c r="AM262" s="748"/>
      <c r="AN262" s="748"/>
      <c r="AO262" s="748"/>
      <c r="AP262" s="748"/>
      <c r="AQ262" s="748"/>
      <c r="AR262" s="748"/>
      <c r="AS262" s="748"/>
      <c r="AT262" s="748"/>
      <c r="AU262" s="748"/>
      <c r="AV262" s="748"/>
      <c r="AW262" s="748"/>
      <c r="AX262" s="748"/>
      <c r="AY262" s="748"/>
      <c r="AZ262" s="748"/>
      <c r="BA262" s="748"/>
      <c r="BB262" s="748"/>
      <c r="BC262" s="748"/>
      <c r="BD262" s="748"/>
      <c r="BE262" s="748"/>
      <c r="BF262" s="748"/>
      <c r="BG262" s="748"/>
      <c r="BH262" s="748"/>
      <c r="BI262" s="748"/>
      <c r="BJ262" s="748"/>
      <c r="BK262" s="748"/>
      <c r="BL262" s="748"/>
      <c r="BM262" s="748"/>
      <c r="BN262" s="748"/>
      <c r="BO262" s="748"/>
      <c r="BP262" s="748"/>
      <c r="BQ262" s="748"/>
      <c r="BR262" s="748"/>
      <c r="BS262" s="748"/>
      <c r="BT262" s="748"/>
      <c r="BU262" s="748"/>
      <c r="BV262" s="653"/>
      <c r="BW262" s="653"/>
      <c r="BX262" s="653"/>
      <c r="BY262" s="653"/>
      <c r="BZ262" s="653"/>
      <c r="CA262" s="653"/>
      <c r="CB262" s="653"/>
      <c r="CC262" s="653"/>
      <c r="CD262" s="653"/>
      <c r="CE262" s="653"/>
    </row>
    <row customHeight="1" ht="5.25" hidden="1">
      <c r="A263" s="1277"/>
      <c r="B263" s="748"/>
      <c r="C263" s="748"/>
      <c r="D263" s="2391"/>
      <c r="E263" s="1297"/>
      <c r="F263" s="1297"/>
      <c r="G263" s="1297"/>
      <c r="H263" s="1297"/>
      <c r="I263" s="1297"/>
      <c r="J263" s="1297"/>
      <c r="K263" s="1297"/>
      <c r="L263" s="1297"/>
      <c r="M263" s="1297"/>
      <c r="N263" s="1297"/>
      <c r="O263" s="1297"/>
      <c r="P263" s="1297"/>
      <c r="Q263" s="1298"/>
      <c r="R263" s="1299"/>
      <c r="S263" s="1300"/>
      <c r="T263" s="954" t="s">
        <v>1480</v>
      </c>
      <c r="U263" s="2389">
        <v>1</v>
      </c>
      <c r="V263" s="2389" t="s">
        <v>1481</v>
      </c>
      <c r="W263" s="748"/>
      <c r="X263" s="748"/>
      <c r="Y263" s="748"/>
      <c r="Z263" s="748"/>
      <c r="AA263" s="748"/>
      <c r="AB263" s="748"/>
      <c r="AC263" s="1295"/>
      <c r="AD263" s="1296"/>
      <c r="AE263" s="748"/>
      <c r="AF263" s="748"/>
      <c r="AG263" s="748"/>
      <c r="AH263" s="748"/>
      <c r="AI263" s="748"/>
      <c r="AJ263" s="748"/>
      <c r="AK263" s="748"/>
      <c r="AL263" s="748"/>
      <c r="AM263" s="748"/>
      <c r="AN263" s="748"/>
      <c r="AO263" s="748"/>
      <c r="AP263" s="748"/>
      <c r="AQ263" s="748"/>
      <c r="AR263" s="748"/>
      <c r="AS263" s="748"/>
      <c r="AT263" s="748"/>
      <c r="AU263" s="748"/>
      <c r="AV263" s="748"/>
      <c r="AW263" s="748"/>
      <c r="AX263" s="748"/>
      <c r="AY263" s="748"/>
      <c r="AZ263" s="748"/>
      <c r="BA263" s="748"/>
      <c r="BB263" s="748"/>
      <c r="BC263" s="748"/>
      <c r="BD263" s="748"/>
      <c r="BE263" s="748"/>
      <c r="BF263" s="748"/>
      <c r="BG263" s="748"/>
      <c r="BH263" s="748"/>
      <c r="BI263" s="748"/>
      <c r="BJ263" s="748"/>
      <c r="BK263" s="748"/>
      <c r="BL263" s="748"/>
      <c r="BM263" s="748"/>
      <c r="BN263" s="748"/>
      <c r="BO263" s="748"/>
      <c r="BP263" s="748"/>
      <c r="BQ263" s="748"/>
      <c r="BR263" s="748"/>
      <c r="BS263" s="748"/>
      <c r="BT263" s="748"/>
      <c r="BU263" s="748"/>
      <c r="BV263" s="748"/>
      <c r="BW263" s="748"/>
      <c r="BX263" s="748"/>
      <c r="BY263" s="748"/>
      <c r="BZ263" s="748"/>
      <c r="CA263" s="748"/>
      <c r="CB263" s="748"/>
      <c r="CC263" s="748"/>
      <c r="CD263" s="748"/>
      <c r="CE263" s="748"/>
    </row>
    <row customHeight="1" ht="5.25" hidden="1">
      <c r="A264" s="1277"/>
      <c r="B264" s="748"/>
      <c r="C264" s="748"/>
      <c r="D264" s="2391"/>
      <c r="E264" s="872"/>
      <c r="F264" s="872"/>
      <c r="G264" s="872"/>
      <c r="H264" s="872"/>
      <c r="I264" s="872"/>
      <c r="J264" s="872"/>
      <c r="K264" s="872"/>
      <c r="L264" s="872"/>
      <c r="M264" s="872"/>
      <c r="N264" s="872"/>
      <c r="O264" s="872"/>
      <c r="P264" s="872"/>
      <c r="Q264" s="872"/>
      <c r="R264" s="872"/>
      <c r="S264" s="873"/>
      <c r="T264" s="955"/>
      <c r="U264" s="2389"/>
      <c r="V264" s="2389"/>
      <c r="W264" s="748"/>
      <c r="X264" s="748"/>
      <c r="Y264" s="748"/>
      <c r="Z264" s="748"/>
      <c r="AA264" s="748"/>
      <c r="AB264" s="748"/>
      <c r="AC264" s="1295"/>
      <c r="AD264" s="1296"/>
      <c r="AE264" s="748"/>
      <c r="AF264" s="748"/>
      <c r="AG264" s="748"/>
      <c r="AH264" s="748"/>
      <c r="AI264" s="748"/>
      <c r="AJ264" s="748"/>
      <c r="AK264" s="748"/>
      <c r="AL264" s="748"/>
      <c r="AM264" s="748"/>
      <c r="AN264" s="748"/>
      <c r="AO264" s="748"/>
      <c r="AP264" s="748"/>
      <c r="AQ264" s="748"/>
      <c r="AR264" s="748"/>
      <c r="AS264" s="748"/>
      <c r="AT264" s="748"/>
      <c r="AU264" s="748"/>
      <c r="AV264" s="748"/>
      <c r="AW264" s="748"/>
      <c r="AX264" s="748"/>
      <c r="AY264" s="748"/>
      <c r="AZ264" s="748"/>
      <c r="BA264" s="748"/>
      <c r="BB264" s="748"/>
      <c r="BC264" s="748"/>
      <c r="BD264" s="748"/>
      <c r="BE264" s="748"/>
      <c r="BF264" s="748"/>
      <c r="BG264" s="748"/>
      <c r="BH264" s="748"/>
      <c r="BI264" s="748"/>
      <c r="BJ264" s="748"/>
      <c r="BK264" s="748"/>
      <c r="BL264" s="748"/>
      <c r="BM264" s="748"/>
      <c r="BN264" s="748"/>
      <c r="BO264" s="748"/>
      <c r="BP264" s="748"/>
      <c r="BQ264" s="748"/>
      <c r="BR264" s="748"/>
      <c r="BS264" s="748"/>
      <c r="BT264" s="748"/>
      <c r="BU264" s="748"/>
      <c r="BV264" s="748"/>
      <c r="BW264" s="748"/>
      <c r="BX264" s="748"/>
      <c r="BY264" s="748"/>
      <c r="BZ264" s="748"/>
      <c r="CA264" s="748"/>
      <c r="CB264" s="748"/>
      <c r="CC264" s="748"/>
      <c r="CD264" s="748"/>
      <c r="CE264" s="748"/>
    </row>
    <row customHeight="1" ht="5.25" hidden="1">
      <c r="A265" s="1277"/>
      <c r="B265" s="748"/>
      <c r="C265" s="748"/>
      <c r="D265" s="2392"/>
      <c r="E265" s="1301"/>
      <c r="F265" s="1302"/>
      <c r="G265" s="1302"/>
      <c r="H265" s="1303"/>
      <c r="I265" s="1303"/>
      <c r="J265" s="1303"/>
      <c r="K265" s="1303"/>
      <c r="L265" s="1303"/>
      <c r="M265" s="1303"/>
      <c r="N265" s="1303"/>
      <c r="O265" s="1303"/>
      <c r="P265" s="1303"/>
      <c r="Q265" s="1303"/>
      <c r="R265" s="1202"/>
      <c r="S265" s="1304"/>
      <c r="T265" s="955"/>
      <c r="U265" s="2389"/>
      <c r="V265" s="2389"/>
      <c r="W265" s="748"/>
      <c r="X265" s="748"/>
      <c r="Y265" s="748"/>
      <c r="Z265" s="748"/>
      <c r="AA265" s="748"/>
      <c r="AB265" s="748"/>
      <c r="AC265" s="1295"/>
      <c r="AD265" s="1296"/>
      <c r="AE265" s="748"/>
      <c r="AF265" s="748"/>
      <c r="AG265" s="748"/>
      <c r="AH265" s="748"/>
      <c r="AI265" s="748"/>
      <c r="AJ265" s="748"/>
      <c r="AK265" s="748"/>
      <c r="AL265" s="748"/>
      <c r="AM265" s="748"/>
      <c r="AN265" s="748"/>
      <c r="AO265" s="748"/>
      <c r="AP265" s="748"/>
      <c r="AQ265" s="748"/>
      <c r="AR265" s="748"/>
      <c r="AS265" s="748"/>
      <c r="AT265" s="748"/>
      <c r="AU265" s="748"/>
      <c r="AV265" s="748"/>
      <c r="AW265" s="748"/>
      <c r="AX265" s="748"/>
      <c r="AY265" s="748"/>
      <c r="AZ265" s="748"/>
      <c r="BA265" s="748"/>
      <c r="BB265" s="748"/>
      <c r="BC265" s="748"/>
      <c r="BD265" s="748"/>
      <c r="BE265" s="748"/>
      <c r="BF265" s="748"/>
      <c r="BG265" s="748"/>
      <c r="BH265" s="748"/>
      <c r="BI265" s="748"/>
      <c r="BJ265" s="748"/>
      <c r="BK265" s="748"/>
      <c r="BL265" s="748"/>
      <c r="BM265" s="748"/>
      <c r="BN265" s="748"/>
      <c r="BO265" s="748"/>
      <c r="BP265" s="748"/>
      <c r="BQ265" s="748"/>
      <c r="BR265" s="748"/>
      <c r="BS265" s="748"/>
      <c r="BT265" s="748"/>
      <c r="BU265" s="748"/>
      <c r="BV265" s="748"/>
      <c r="BW265" s="748"/>
      <c r="BX265" s="748"/>
      <c r="BY265" s="748"/>
      <c r="BZ265" s="748"/>
      <c r="CA265" s="748"/>
      <c r="CB265" s="748"/>
      <c r="CC265" s="748"/>
      <c r="CD265" s="748"/>
      <c r="CE265" s="748"/>
    </row>
    <row customHeight="1" ht="18.75">
      <c r="D266" s="1306"/>
      <c r="E266" s="1306"/>
      <c r="F266" s="1306"/>
      <c r="G266" s="1306"/>
      <c r="H266" s="1306"/>
      <c r="I266" s="1306"/>
      <c r="J266" s="1306"/>
      <c r="K266" s="1306"/>
      <c r="L266" s="1306"/>
      <c r="M266" s="1306"/>
      <c r="N266" s="1306"/>
      <c r="O266" s="1306"/>
      <c r="P266" s="1306"/>
      <c r="Q266" s="1306"/>
      <c r="R266" s="1306"/>
      <c r="S266" s="1306"/>
      <c r="T266" s="555"/>
    </row>
    <row customHeight="1" ht="11.25">
      <c r="D267" s="746"/>
    </row>
    <row customHeight="1" ht="11.25">
      <c r="D268" s="891"/>
      <c r="E268" s="891"/>
      <c r="F268" s="891"/>
      <c r="G268" s="892"/>
    </row>
    <row r="270" customHeight="1" ht="11.25">
      <c r="D270" s="893"/>
      <c r="E270" s="2597"/>
      <c r="F270" s="2597"/>
      <c r="G270" s="2597"/>
      <c r="H270" s="2597"/>
      <c r="I270" s="2597"/>
      <c r="J270" s="2597"/>
      <c r="K270" s="2597"/>
      <c r="L270" s="2597"/>
      <c r="M270" s="2597"/>
      <c r="N270" s="2597"/>
      <c r="O270" s="2597"/>
      <c r="P270" s="2597"/>
      <c r="Q270" s="2597"/>
      <c r="R270" s="2597"/>
    </row>
    <row customHeight="1" ht="11.25">
      <c r="F271" s="997"/>
      <c r="G271" s="997"/>
    </row>
  </sheetData>
  <sheetProtection formatColumns="0" formatRows="0" autoFilter="0" sort="0" insertRows="0" insertColumns="1" deleteRows="0" deleteColumns="0"/>
  <mergeCells count="373">
    <mergeCell ref="E5:K5"/>
    <mergeCell ref="E6:K6"/>
    <mergeCell ref="E9:R9"/>
    <mergeCell ref="S9:S10"/>
    <mergeCell ref="E10:F10"/>
    <mergeCell ref="H10:I10"/>
    <mergeCell ref="L10:M10"/>
    <mergeCell ref="D14:D22"/>
    <mergeCell ref="H14:R14"/>
    <mergeCell ref="H15:R15"/>
    <mergeCell ref="H16:R16"/>
    <mergeCell ref="E270:R270"/>
    <mergeCell ref="E20:P20"/>
    <mergeCell ref="U20:U22"/>
    <mergeCell ref="V20:V22"/>
    <mergeCell ref="AC14:AC19"/>
    <mergeCell ref="E17:P17"/>
    <mergeCell ref="U17:U19"/>
    <mergeCell ref="V17:V19"/>
    <mergeCell ref="E14:G14"/>
    <mergeCell ref="E15:G15"/>
    <mergeCell ref="E16:G16"/>
    <mergeCell ref="U29:U31"/>
    <mergeCell ref="V29:V31"/>
    <mergeCell ref="U26:U28"/>
    <mergeCell ref="V26:V28"/>
    <mergeCell ref="D23:D31"/>
    <mergeCell ref="E23:G23"/>
    <mergeCell ref="H23:R23"/>
    <mergeCell ref="AC23:AC28"/>
    <mergeCell ref="E24:G24"/>
    <mergeCell ref="H24:R24"/>
    <mergeCell ref="E25:G25"/>
    <mergeCell ref="H25:R25"/>
    <mergeCell ref="E26:P26"/>
    <mergeCell ref="U38:U40"/>
    <mergeCell ref="V38:V40"/>
    <mergeCell ref="U35:U37"/>
    <mergeCell ref="V35:V37"/>
    <mergeCell ref="D32:D40"/>
    <mergeCell ref="E32:G32"/>
    <mergeCell ref="H32:R32"/>
    <mergeCell ref="AC32:AC37"/>
    <mergeCell ref="E33:G33"/>
    <mergeCell ref="H33:R33"/>
    <mergeCell ref="E34:G34"/>
    <mergeCell ref="H34:R34"/>
    <mergeCell ref="E35:P35"/>
    <mergeCell ref="U47:U49"/>
    <mergeCell ref="V47:V49"/>
    <mergeCell ref="U44:U46"/>
    <mergeCell ref="V44:V46"/>
    <mergeCell ref="D41:D49"/>
    <mergeCell ref="E41:G41"/>
    <mergeCell ref="H41:R41"/>
    <mergeCell ref="AC41:AC46"/>
    <mergeCell ref="E42:G42"/>
    <mergeCell ref="H42:R42"/>
    <mergeCell ref="E43:G43"/>
    <mergeCell ref="H43:R43"/>
    <mergeCell ref="E44:P44"/>
    <mergeCell ref="U56:U58"/>
    <mergeCell ref="V56:V58"/>
    <mergeCell ref="U53:U55"/>
    <mergeCell ref="V53:V55"/>
    <mergeCell ref="D50:D58"/>
    <mergeCell ref="E50:G50"/>
    <mergeCell ref="H50:R50"/>
    <mergeCell ref="AC50:AC55"/>
    <mergeCell ref="E51:G51"/>
    <mergeCell ref="H51:R51"/>
    <mergeCell ref="E52:G52"/>
    <mergeCell ref="H52:R52"/>
    <mergeCell ref="E53:P53"/>
    <mergeCell ref="U65:U67"/>
    <mergeCell ref="V65:V67"/>
    <mergeCell ref="U62:U64"/>
    <mergeCell ref="V62:V64"/>
    <mergeCell ref="D59:D67"/>
    <mergeCell ref="E59:G59"/>
    <mergeCell ref="H59:R59"/>
    <mergeCell ref="AC59:AC64"/>
    <mergeCell ref="E60:G60"/>
    <mergeCell ref="H60:R60"/>
    <mergeCell ref="E61:G61"/>
    <mergeCell ref="H61:R61"/>
    <mergeCell ref="E62:P62"/>
    <mergeCell ref="U74:U76"/>
    <mergeCell ref="V74:V76"/>
    <mergeCell ref="U71:U73"/>
    <mergeCell ref="V71:V73"/>
    <mergeCell ref="D68:D76"/>
    <mergeCell ref="E68:G68"/>
    <mergeCell ref="H68:R68"/>
    <mergeCell ref="AC68:AC73"/>
    <mergeCell ref="E69:G69"/>
    <mergeCell ref="H69:R69"/>
    <mergeCell ref="E70:G70"/>
    <mergeCell ref="H70:R70"/>
    <mergeCell ref="E71:P71"/>
    <mergeCell ref="U83:U85"/>
    <mergeCell ref="V83:V85"/>
    <mergeCell ref="U80:U82"/>
    <mergeCell ref="V80:V82"/>
    <mergeCell ref="D77:D85"/>
    <mergeCell ref="E77:G77"/>
    <mergeCell ref="H77:R77"/>
    <mergeCell ref="AC77:AC82"/>
    <mergeCell ref="E78:G78"/>
    <mergeCell ref="H78:R78"/>
    <mergeCell ref="E79:G79"/>
    <mergeCell ref="H79:R79"/>
    <mergeCell ref="E80:P80"/>
    <mergeCell ref="U92:U94"/>
    <mergeCell ref="V92:V94"/>
    <mergeCell ref="U89:U91"/>
    <mergeCell ref="V89:V91"/>
    <mergeCell ref="D86:D94"/>
    <mergeCell ref="E86:G86"/>
    <mergeCell ref="H86:R86"/>
    <mergeCell ref="AC86:AC91"/>
    <mergeCell ref="E87:G87"/>
    <mergeCell ref="H87:R87"/>
    <mergeCell ref="E88:G88"/>
    <mergeCell ref="H88:R88"/>
    <mergeCell ref="E89:P89"/>
    <mergeCell ref="U101:U103"/>
    <mergeCell ref="V101:V103"/>
    <mergeCell ref="U98:U100"/>
    <mergeCell ref="V98:V100"/>
    <mergeCell ref="D95:D103"/>
    <mergeCell ref="E95:G95"/>
    <mergeCell ref="H95:R95"/>
    <mergeCell ref="AC95:AC100"/>
    <mergeCell ref="E96:G96"/>
    <mergeCell ref="H96:R96"/>
    <mergeCell ref="E97:G97"/>
    <mergeCell ref="H97:R97"/>
    <mergeCell ref="E98:P98"/>
    <mergeCell ref="U110:U112"/>
    <mergeCell ref="V110:V112"/>
    <mergeCell ref="U107:U109"/>
    <mergeCell ref="V107:V109"/>
    <mergeCell ref="D104:D112"/>
    <mergeCell ref="E104:G104"/>
    <mergeCell ref="H104:R104"/>
    <mergeCell ref="AC104:AC109"/>
    <mergeCell ref="E105:G105"/>
    <mergeCell ref="H105:R105"/>
    <mergeCell ref="E106:G106"/>
    <mergeCell ref="H106:R106"/>
    <mergeCell ref="E107:P107"/>
    <mergeCell ref="U119:U121"/>
    <mergeCell ref="V119:V121"/>
    <mergeCell ref="U116:U118"/>
    <mergeCell ref="V116:V118"/>
    <mergeCell ref="D113:D121"/>
    <mergeCell ref="E113:G113"/>
    <mergeCell ref="H113:R113"/>
    <mergeCell ref="AC113:AC118"/>
    <mergeCell ref="E114:G114"/>
    <mergeCell ref="H114:R114"/>
    <mergeCell ref="E115:G115"/>
    <mergeCell ref="H115:R115"/>
    <mergeCell ref="E116:P116"/>
    <mergeCell ref="U128:U130"/>
    <mergeCell ref="V128:V130"/>
    <mergeCell ref="U125:U127"/>
    <mergeCell ref="V125:V127"/>
    <mergeCell ref="D122:D130"/>
    <mergeCell ref="E122:G122"/>
    <mergeCell ref="H122:R122"/>
    <mergeCell ref="AC122:AC127"/>
    <mergeCell ref="E123:G123"/>
    <mergeCell ref="H123:R123"/>
    <mergeCell ref="E124:G124"/>
    <mergeCell ref="H124:R124"/>
    <mergeCell ref="E125:P125"/>
    <mergeCell ref="U137:U139"/>
    <mergeCell ref="V137:V139"/>
    <mergeCell ref="U134:U136"/>
    <mergeCell ref="V134:V136"/>
    <mergeCell ref="D131:D139"/>
    <mergeCell ref="E131:G131"/>
    <mergeCell ref="H131:R131"/>
    <mergeCell ref="AC131:AC136"/>
    <mergeCell ref="E132:G132"/>
    <mergeCell ref="H132:R132"/>
    <mergeCell ref="E133:G133"/>
    <mergeCell ref="H133:R133"/>
    <mergeCell ref="E134:P134"/>
    <mergeCell ref="U146:U148"/>
    <mergeCell ref="V146:V148"/>
    <mergeCell ref="U143:U145"/>
    <mergeCell ref="V143:V145"/>
    <mergeCell ref="D140:D148"/>
    <mergeCell ref="E140:G140"/>
    <mergeCell ref="H140:R140"/>
    <mergeCell ref="AC140:AC145"/>
    <mergeCell ref="E141:G141"/>
    <mergeCell ref="H141:R141"/>
    <mergeCell ref="E142:G142"/>
    <mergeCell ref="H142:R142"/>
    <mergeCell ref="E143:P143"/>
    <mergeCell ref="U155:U157"/>
    <mergeCell ref="V155:V157"/>
    <mergeCell ref="U152:U154"/>
    <mergeCell ref="V152:V154"/>
    <mergeCell ref="D149:D157"/>
    <mergeCell ref="E149:G149"/>
    <mergeCell ref="H149:R149"/>
    <mergeCell ref="AC149:AC154"/>
    <mergeCell ref="E150:G150"/>
    <mergeCell ref="H150:R150"/>
    <mergeCell ref="E151:G151"/>
    <mergeCell ref="H151:R151"/>
    <mergeCell ref="E152:P152"/>
    <mergeCell ref="U164:U166"/>
    <mergeCell ref="V164:V166"/>
    <mergeCell ref="U161:U163"/>
    <mergeCell ref="V161:V163"/>
    <mergeCell ref="D158:D166"/>
    <mergeCell ref="E158:G158"/>
    <mergeCell ref="H158:R158"/>
    <mergeCell ref="AC158:AC163"/>
    <mergeCell ref="E159:G159"/>
    <mergeCell ref="H159:R159"/>
    <mergeCell ref="E160:G160"/>
    <mergeCell ref="H160:R160"/>
    <mergeCell ref="E161:P161"/>
    <mergeCell ref="U173:U175"/>
    <mergeCell ref="V173:V175"/>
    <mergeCell ref="U170:U172"/>
    <mergeCell ref="V170:V172"/>
    <mergeCell ref="D167:D175"/>
    <mergeCell ref="E167:G167"/>
    <mergeCell ref="H167:R167"/>
    <mergeCell ref="AC167:AC172"/>
    <mergeCell ref="E168:G168"/>
    <mergeCell ref="H168:R168"/>
    <mergeCell ref="E169:G169"/>
    <mergeCell ref="H169:R169"/>
    <mergeCell ref="E170:P170"/>
    <mergeCell ref="U182:U184"/>
    <mergeCell ref="V182:V184"/>
    <mergeCell ref="U179:U181"/>
    <mergeCell ref="V179:V181"/>
    <mergeCell ref="D176:D184"/>
    <mergeCell ref="E176:G176"/>
    <mergeCell ref="H176:R176"/>
    <mergeCell ref="AC176:AC181"/>
    <mergeCell ref="E177:G177"/>
    <mergeCell ref="H177:R177"/>
    <mergeCell ref="E178:G178"/>
    <mergeCell ref="H178:R178"/>
    <mergeCell ref="E179:P179"/>
    <mergeCell ref="U191:U193"/>
    <mergeCell ref="V191:V193"/>
    <mergeCell ref="U188:U190"/>
    <mergeCell ref="V188:V190"/>
    <mergeCell ref="D185:D193"/>
    <mergeCell ref="E185:G185"/>
    <mergeCell ref="H185:R185"/>
    <mergeCell ref="AC185:AC190"/>
    <mergeCell ref="E186:G186"/>
    <mergeCell ref="H186:R186"/>
    <mergeCell ref="E187:G187"/>
    <mergeCell ref="H187:R187"/>
    <mergeCell ref="E188:P188"/>
    <mergeCell ref="U200:U202"/>
    <mergeCell ref="V200:V202"/>
    <mergeCell ref="U197:U199"/>
    <mergeCell ref="V197:V199"/>
    <mergeCell ref="D194:D202"/>
    <mergeCell ref="E194:G194"/>
    <mergeCell ref="H194:R194"/>
    <mergeCell ref="AC194:AC199"/>
    <mergeCell ref="E195:G195"/>
    <mergeCell ref="H195:R195"/>
    <mergeCell ref="E196:G196"/>
    <mergeCell ref="H196:R196"/>
    <mergeCell ref="E197:P197"/>
    <mergeCell ref="U209:U211"/>
    <mergeCell ref="V209:V211"/>
    <mergeCell ref="U206:U208"/>
    <mergeCell ref="V206:V208"/>
    <mergeCell ref="D203:D211"/>
    <mergeCell ref="E203:G203"/>
    <mergeCell ref="H203:R203"/>
    <mergeCell ref="AC203:AC208"/>
    <mergeCell ref="E204:G204"/>
    <mergeCell ref="H204:R204"/>
    <mergeCell ref="E205:G205"/>
    <mergeCell ref="H205:R205"/>
    <mergeCell ref="E206:P206"/>
    <mergeCell ref="U218:U220"/>
    <mergeCell ref="V218:V220"/>
    <mergeCell ref="U215:U217"/>
    <mergeCell ref="V215:V217"/>
    <mergeCell ref="D212:D220"/>
    <mergeCell ref="E212:G212"/>
    <mergeCell ref="H212:R212"/>
    <mergeCell ref="AC212:AC217"/>
    <mergeCell ref="E213:G213"/>
    <mergeCell ref="H213:R213"/>
    <mergeCell ref="E214:G214"/>
    <mergeCell ref="H214:R214"/>
    <mergeCell ref="E215:P215"/>
    <mergeCell ref="U227:U229"/>
    <mergeCell ref="V227:V229"/>
    <mergeCell ref="U224:U226"/>
    <mergeCell ref="V224:V226"/>
    <mergeCell ref="D221:D229"/>
    <mergeCell ref="E221:G221"/>
    <mergeCell ref="H221:R221"/>
    <mergeCell ref="AC221:AC226"/>
    <mergeCell ref="E222:G222"/>
    <mergeCell ref="H222:R222"/>
    <mergeCell ref="E223:G223"/>
    <mergeCell ref="H223:R223"/>
    <mergeCell ref="E224:P224"/>
    <mergeCell ref="U236:U238"/>
    <mergeCell ref="V236:V238"/>
    <mergeCell ref="U233:U235"/>
    <mergeCell ref="V233:V235"/>
    <mergeCell ref="D230:D238"/>
    <mergeCell ref="E230:G230"/>
    <mergeCell ref="H230:R230"/>
    <mergeCell ref="AC230:AC235"/>
    <mergeCell ref="E231:G231"/>
    <mergeCell ref="H231:R231"/>
    <mergeCell ref="E232:G232"/>
    <mergeCell ref="H232:R232"/>
    <mergeCell ref="E233:P233"/>
    <mergeCell ref="U245:U247"/>
    <mergeCell ref="V245:V247"/>
    <mergeCell ref="U242:U244"/>
    <mergeCell ref="V242:V244"/>
    <mergeCell ref="D239:D247"/>
    <mergeCell ref="E239:G239"/>
    <mergeCell ref="H239:R239"/>
    <mergeCell ref="AC239:AC244"/>
    <mergeCell ref="E240:G240"/>
    <mergeCell ref="H240:R240"/>
    <mergeCell ref="E241:G241"/>
    <mergeCell ref="H241:R241"/>
    <mergeCell ref="E242:P242"/>
    <mergeCell ref="U254:U256"/>
    <mergeCell ref="V254:V256"/>
    <mergeCell ref="U251:U253"/>
    <mergeCell ref="V251:V253"/>
    <mergeCell ref="D248:D256"/>
    <mergeCell ref="E248:G248"/>
    <mergeCell ref="H248:R248"/>
    <mergeCell ref="AC248:AC253"/>
    <mergeCell ref="E249:G249"/>
    <mergeCell ref="H249:R249"/>
    <mergeCell ref="E250:G250"/>
    <mergeCell ref="H250:R250"/>
    <mergeCell ref="E251:P251"/>
    <mergeCell ref="U263:U265"/>
    <mergeCell ref="V263:V265"/>
    <mergeCell ref="U260:U262"/>
    <mergeCell ref="V260:V262"/>
    <mergeCell ref="D257:D265"/>
    <mergeCell ref="E257:G257"/>
    <mergeCell ref="H257:R257"/>
    <mergeCell ref="AC257:AC262"/>
    <mergeCell ref="E258:G258"/>
    <mergeCell ref="H258:R258"/>
    <mergeCell ref="E259:G259"/>
    <mergeCell ref="H259:R259"/>
    <mergeCell ref="E260:P260"/>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9763B9E-A135-2167-4149-CB67D7C180B9}" mc:Ignorable="x14ac xr xr2 xr3">
  <sheetPr>
    <tabColor theme="9" tint="-0.25"/>
  </sheetPr>
  <dimension ref="A1:BF218"/>
  <sheetViews>
    <sheetView topLeftCell="D5" showGridLines="0" zoomScale="90" workbookViewId="0">
      <selection activeCell="AJ1" sqref="AJ1:AJ218"/>
    </sheetView>
  </sheetViews>
  <sheetFormatPr defaultColWidth="9.140625" customHeight="1" defaultRowHeight="11.25"/>
  <cols>
    <col min="1" max="1" style="10825" width="10.7109375" hidden="1" customWidth="1"/>
    <col min="2" max="2" style="11074" width="16.8515625" hidden="1" customWidth="1"/>
    <col min="3" max="3" style="10863" width="5.57421875" hidden="1" customWidth="1"/>
    <col min="4" max="4" style="11126" width="3.7109375" customWidth="1"/>
    <col min="5" max="5" style="11126" width="7.7109375" customWidth="1"/>
    <col min="6" max="6" style="11126" width="56.140625" customWidth="1"/>
    <col min="7" max="7" style="11126" width="10.421875" customWidth="1"/>
    <col min="8" max="8" style="11126" width="40.7109375" hidden="1" customWidth="1"/>
    <col min="9" max="36" style="11126" width="40.7109375" customWidth="1"/>
    <col min="37" max="37" style="11126" width="40.7109375" hidden="1" customWidth="1"/>
    <col min="38" max="38" style="11074" width="9.7109375" customWidth="1"/>
    <col min="39" max="39" style="10863" width="5.28125" customWidth="1"/>
    <col min="40" max="40" style="10863" width="3.7109375" customWidth="1"/>
    <col min="41" max="44" style="11074" width="3.7109375" customWidth="1"/>
    <col min="45" max="45" style="10863" width="10.57421875" customWidth="1"/>
    <col min="46" max="46" style="11074" width="34.7109375" customWidth="1"/>
    <col min="47" max="47" style="11074" width="9.421875" customWidth="1"/>
    <col min="48" max="48" style="10827" width="9.140625"/>
    <col min="49" max="53" style="11074" width="9.140625"/>
    <col min="54" max="58" style="11248" width="9.140625"/>
  </cols>
  <sheetData>
    <row s="11074" customFormat="1" customHeight="1" ht="11.25" hidden="1">
      <c r="A1" s="1243"/>
      <c r="C1" s="1949"/>
      <c r="D1" s="774"/>
      <c r="H1" s="1421">
        <v>4</v>
      </c>
      <c r="I1" s="1421">
        <v>4</v>
      </c>
      <c r="J1" s="6978">
        <v>4</v>
      </c>
      <c r="K1" s="6978">
        <v>4</v>
      </c>
      <c r="L1" s="6978">
        <v>4</v>
      </c>
      <c r="M1" s="6978">
        <v>4</v>
      </c>
      <c r="N1" s="6978">
        <v>4</v>
      </c>
      <c r="O1" s="6978">
        <v>4</v>
      </c>
      <c r="P1" s="6978">
        <v>4</v>
      </c>
      <c r="Q1" s="6978">
        <v>4</v>
      </c>
      <c r="R1" s="6978">
        <v>4</v>
      </c>
      <c r="S1" s="6978">
        <v>4</v>
      </c>
      <c r="T1" s="6978">
        <v>4</v>
      </c>
      <c r="U1" s="6978">
        <v>4</v>
      </c>
      <c r="V1" s="6978">
        <v>4</v>
      </c>
      <c r="W1" s="6978">
        <v>4</v>
      </c>
      <c r="X1" s="6978">
        <v>4</v>
      </c>
      <c r="Y1" s="6978">
        <v>4</v>
      </c>
      <c r="Z1" s="6978">
        <v>4</v>
      </c>
      <c r="AA1" s="6978">
        <v>4</v>
      </c>
      <c r="AB1" s="6978">
        <v>4</v>
      </c>
      <c r="AC1" s="6978">
        <v>4</v>
      </c>
      <c r="AD1" s="6978">
        <v>4</v>
      </c>
      <c r="AE1" s="6978">
        <v>4</v>
      </c>
      <c r="AF1" s="6978">
        <v>4</v>
      </c>
      <c r="AG1" s="6978">
        <v>4</v>
      </c>
      <c r="AH1" s="6978">
        <v>4</v>
      </c>
      <c r="AI1" s="6978">
        <v>4</v>
      </c>
      <c r="AJ1" s="6978">
        <v>4</v>
      </c>
      <c r="AK1" s="6978">
        <v>4</v>
      </c>
      <c r="AM1" s="1949"/>
      <c r="AN1" s="1949"/>
      <c r="AS1" s="1949"/>
    </row>
    <row s="11074" customFormat="1" customHeight="1" ht="22.5" hidden="1">
      <c r="A2" s="1243"/>
      <c r="C2" s="1949"/>
      <c r="D2" s="775"/>
      <c r="E2" s="1950"/>
      <c r="F2" s="777"/>
      <c r="G2" s="1952" t="s">
        <v>1772</v>
      </c>
      <c r="H2" s="778"/>
      <c r="I2" s="778"/>
      <c r="J2" s="7441"/>
      <c r="K2" s="7441"/>
      <c r="L2" s="7441"/>
      <c r="M2" s="7441"/>
      <c r="N2" s="7441"/>
      <c r="O2" s="7441"/>
      <c r="P2" s="7441"/>
      <c r="Q2" s="7441"/>
      <c r="R2" s="7441"/>
      <c r="S2" s="7441"/>
      <c r="T2" s="7441"/>
      <c r="U2" s="7441"/>
      <c r="V2" s="7441"/>
      <c r="W2" s="7441"/>
      <c r="X2" s="7441"/>
      <c r="Y2" s="7441"/>
      <c r="Z2" s="7441"/>
      <c r="AA2" s="7441"/>
      <c r="AB2" s="7441"/>
      <c r="AC2" s="7441"/>
      <c r="AD2" s="7441"/>
      <c r="AE2" s="7441"/>
      <c r="AF2" s="7441"/>
      <c r="AG2" s="7441"/>
      <c r="AH2" s="7441"/>
      <c r="AI2" s="7441"/>
      <c r="AJ2" s="7441"/>
      <c r="AK2" s="7441"/>
      <c r="AL2" s="780"/>
      <c r="AM2" s="1949"/>
      <c r="AN2" s="1949"/>
      <c r="AS2" s="1949"/>
      <c r="AV2" s="781"/>
      <c r="BB2" s="1945"/>
      <c r="BC2" s="1945"/>
      <c r="BD2" s="1945"/>
      <c r="BE2" s="1945"/>
      <c r="BF2" s="1945"/>
    </row>
    <row customHeight="1" ht="11.25" hidden="1">
      <c r="J3" s="6985"/>
      <c r="K3" s="6985"/>
      <c r="L3" s="6985"/>
      <c r="M3" s="6985"/>
      <c r="N3" s="6985"/>
      <c r="O3" s="6985"/>
      <c r="P3" s="6985"/>
      <c r="Q3" s="6985"/>
      <c r="R3" s="6985"/>
      <c r="S3" s="6985"/>
      <c r="T3" s="6985"/>
      <c r="U3" s="6985"/>
      <c r="V3" s="6985"/>
      <c r="W3" s="6985"/>
      <c r="X3" s="6985"/>
      <c r="Y3" s="6985"/>
      <c r="Z3" s="6985"/>
      <c r="AA3" s="6985"/>
      <c r="AB3" s="6985"/>
      <c r="AC3" s="6985"/>
      <c r="AD3" s="6985"/>
      <c r="AE3" s="6985"/>
      <c r="AF3" s="6985"/>
      <c r="AG3" s="6985"/>
      <c r="AH3" s="6985"/>
      <c r="AI3" s="6985"/>
      <c r="AJ3" s="6985"/>
      <c r="AK3" s="6985"/>
    </row>
    <row s="11248" customFormat="1" customHeight="1" ht="11.25" hidden="1">
      <c r="A4" s="1243"/>
      <c r="B4" s="1421"/>
      <c r="C4" s="1949"/>
      <c r="D4" s="585"/>
      <c r="J4" s="7452"/>
      <c r="K4" s="7452"/>
      <c r="L4" s="7452"/>
      <c r="M4" s="7452"/>
      <c r="N4" s="7452"/>
      <c r="O4" s="7452"/>
      <c r="P4" s="7452"/>
      <c r="Q4" s="7452"/>
      <c r="R4" s="7452"/>
      <c r="S4" s="7452"/>
      <c r="T4" s="7452"/>
      <c r="U4" s="7452"/>
      <c r="V4" s="7452"/>
      <c r="W4" s="7452"/>
      <c r="X4" s="7452"/>
      <c r="Y4" s="7452"/>
      <c r="Z4" s="7452"/>
      <c r="AA4" s="7452"/>
      <c r="AB4" s="7452"/>
      <c r="AC4" s="7452"/>
      <c r="AD4" s="7452"/>
      <c r="AE4" s="7452"/>
      <c r="AF4" s="7452"/>
      <c r="AG4" s="7452"/>
      <c r="AH4" s="7452"/>
      <c r="AI4" s="7452"/>
      <c r="AJ4" s="7452"/>
      <c r="AK4" s="7452"/>
      <c r="AL4" s="1421"/>
      <c r="AM4" s="1949"/>
      <c r="AN4" s="1949"/>
      <c r="AO4" s="1421"/>
      <c r="AP4" s="1421"/>
      <c r="AQ4" s="1421"/>
      <c r="AR4" s="1421"/>
      <c r="AS4" s="1949"/>
      <c r="AT4" s="1421"/>
      <c r="AU4" s="1421"/>
      <c r="AV4" s="781"/>
      <c r="AW4" s="1421"/>
      <c r="AX4" s="1421"/>
      <c r="AY4" s="1421"/>
      <c r="AZ4" s="1421"/>
      <c r="BA4" s="1421"/>
    </row>
    <row customHeight="1" ht="11.25">
      <c r="J5" s="6985"/>
      <c r="K5" s="6985"/>
      <c r="L5" s="6985"/>
      <c r="M5" s="6985"/>
      <c r="N5" s="6985"/>
      <c r="O5" s="6985"/>
      <c r="P5" s="6985"/>
      <c r="Q5" s="6985"/>
      <c r="R5" s="6985"/>
      <c r="S5" s="6985"/>
      <c r="T5" s="6985"/>
      <c r="U5" s="6985"/>
      <c r="V5" s="6985"/>
      <c r="W5" s="6985"/>
      <c r="X5" s="6985"/>
      <c r="Y5" s="6985"/>
      <c r="Z5" s="6985"/>
      <c r="AA5" s="6985"/>
      <c r="AB5" s="6985"/>
      <c r="AC5" s="6985"/>
      <c r="AD5" s="6985"/>
      <c r="AE5" s="6985"/>
      <c r="AF5" s="6985"/>
      <c r="AG5" s="6985"/>
      <c r="AH5" s="6985"/>
      <c r="AI5" s="6985"/>
      <c r="AJ5" s="6985"/>
      <c r="AK5" s="6985"/>
    </row>
    <row customHeight="1" ht="24">
      <c r="E6" s="2401" t="s">
        <v>1837</v>
      </c>
      <c r="F6" s="2402"/>
      <c r="G6" s="2402"/>
      <c r="H6" s="2402"/>
      <c r="I6" s="2403"/>
      <c r="J6" s="7453"/>
      <c r="K6" s="7453"/>
      <c r="L6" s="7453"/>
      <c r="M6" s="7453"/>
      <c r="N6" s="7453"/>
      <c r="O6" s="7453"/>
      <c r="P6" s="7453"/>
      <c r="Q6" s="7453"/>
      <c r="R6" s="7453"/>
      <c r="S6" s="7453"/>
      <c r="T6" s="7453"/>
      <c r="U6" s="7453"/>
      <c r="V6" s="7453"/>
      <c r="W6" s="7453"/>
      <c r="X6" s="7453"/>
      <c r="Y6" s="7453"/>
      <c r="Z6" s="7453"/>
      <c r="AA6" s="7453"/>
      <c r="AB6" s="7453"/>
      <c r="AC6" s="7453"/>
      <c r="AD6" s="7453"/>
      <c r="AE6" s="7453"/>
      <c r="AF6" s="7453"/>
      <c r="AG6" s="7453"/>
      <c r="AH6" s="7453"/>
      <c r="AI6" s="7453"/>
      <c r="AJ6" s="7453"/>
      <c r="AK6" s="7453"/>
    </row>
    <row customHeight="1" ht="24">
      <c r="E7" s="2404" t="str">
        <f>IF(org=0,"Не определено",org)</f>
        <v>ООО "СамРЭК-Тепло Жигулевск"</v>
      </c>
      <c r="F7" s="2405"/>
      <c r="G7" s="2405"/>
      <c r="H7" s="2405"/>
      <c r="I7" s="2406"/>
      <c r="J7" s="7454"/>
      <c r="K7" s="7454"/>
      <c r="L7" s="7454"/>
      <c r="M7" s="7454"/>
      <c r="N7" s="7454"/>
      <c r="O7" s="7454"/>
      <c r="P7" s="7454"/>
      <c r="Q7" s="7454"/>
      <c r="R7" s="7454"/>
      <c r="S7" s="7454"/>
      <c r="T7" s="7454"/>
      <c r="U7" s="7454"/>
      <c r="V7" s="7454"/>
      <c r="W7" s="7454"/>
      <c r="X7" s="7454"/>
      <c r="Y7" s="7454"/>
      <c r="Z7" s="7454"/>
      <c r="AA7" s="7454"/>
      <c r="AB7" s="7454"/>
      <c r="AC7" s="7454"/>
      <c r="AD7" s="7454"/>
      <c r="AE7" s="7454"/>
      <c r="AF7" s="7454"/>
      <c r="AG7" s="7454"/>
      <c r="AH7" s="7454"/>
      <c r="AI7" s="7454"/>
      <c r="AJ7" s="7454"/>
      <c r="AK7" s="7454"/>
    </row>
    <row customHeight="1" ht="11.25">
      <c r="E8" s="1396"/>
      <c r="F8" s="1396"/>
      <c r="G8" s="1396"/>
      <c r="H8" s="1396"/>
      <c r="I8" s="1396"/>
      <c r="J8" s="7456"/>
      <c r="K8" s="7456"/>
      <c r="L8" s="7456"/>
      <c r="M8" s="7456"/>
      <c r="N8" s="7456"/>
      <c r="O8" s="7456"/>
      <c r="P8" s="7456"/>
      <c r="Q8" s="7456"/>
      <c r="R8" s="7456"/>
      <c r="S8" s="7456"/>
      <c r="T8" s="7456"/>
      <c r="U8" s="7456"/>
      <c r="V8" s="7456"/>
      <c r="W8" s="7456"/>
      <c r="X8" s="7456"/>
      <c r="Y8" s="7456"/>
      <c r="Z8" s="7456"/>
      <c r="AA8" s="7456"/>
      <c r="AB8" s="7456"/>
      <c r="AC8" s="7456"/>
      <c r="AD8" s="7456"/>
      <c r="AE8" s="7456"/>
      <c r="AF8" s="7456"/>
      <c r="AG8" s="7456"/>
      <c r="AH8" s="7456"/>
      <c r="AI8" s="7456"/>
      <c r="AJ8" s="7456"/>
      <c r="AK8" s="7456"/>
    </row>
    <row s="10863" customFormat="1" customHeight="1" ht="0.75">
      <c r="A9" s="1428"/>
      <c r="D9" s="1955"/>
      <c r="H9" s="1138"/>
      <c r="I9" s="1138" t="s">
        <v>118</v>
      </c>
      <c r="J9" s="7459" t="s">
        <v>123</v>
      </c>
      <c r="K9" s="7459" t="s">
        <v>125</v>
      </c>
      <c r="L9" s="7459" t="s">
        <v>127</v>
      </c>
      <c r="M9" s="7459" t="s">
        <v>129</v>
      </c>
      <c r="N9" s="7459" t="s">
        <v>131</v>
      </c>
      <c r="O9" s="7459" t="s">
        <v>133</v>
      </c>
      <c r="P9" s="7459" t="s">
        <v>135</v>
      </c>
      <c r="Q9" s="7459" t="s">
        <v>138</v>
      </c>
      <c r="R9" s="7459" t="s">
        <v>141</v>
      </c>
      <c r="S9" s="7459" t="s">
        <v>144</v>
      </c>
      <c r="T9" s="7459" t="s">
        <v>147</v>
      </c>
      <c r="U9" s="7459" t="s">
        <v>150</v>
      </c>
      <c r="V9" s="7459" t="s">
        <v>153</v>
      </c>
      <c r="W9" s="7459" t="s">
        <v>156</v>
      </c>
      <c r="X9" s="7459" t="s">
        <v>159</v>
      </c>
      <c r="Y9" s="7459" t="s">
        <v>162</v>
      </c>
      <c r="Z9" s="7459" t="s">
        <v>165</v>
      </c>
      <c r="AA9" s="7459" t="s">
        <v>168</v>
      </c>
      <c r="AB9" s="7459" t="s">
        <v>171</v>
      </c>
      <c r="AC9" s="7459" t="s">
        <v>174</v>
      </c>
      <c r="AD9" s="7459" t="s">
        <v>177</v>
      </c>
      <c r="AE9" s="7459" t="s">
        <v>180</v>
      </c>
      <c r="AF9" s="7459" t="s">
        <v>183</v>
      </c>
      <c r="AG9" s="7459" t="s">
        <v>186</v>
      </c>
      <c r="AH9" s="7459" t="s">
        <v>189</v>
      </c>
      <c r="AI9" s="7459" t="s">
        <v>192</v>
      </c>
      <c r="AJ9" s="7459" t="s">
        <v>195</v>
      </c>
      <c r="AK9" s="7459"/>
    </row>
    <row customHeight="1" ht="11.25">
      <c r="E10" s="948"/>
      <c r="F10" s="2545" t="s">
        <v>105</v>
      </c>
      <c r="G10" s="2546"/>
      <c r="H10" s="1863" t="str">
        <f>IF(H9="","",INDEX(DIFFERENTIATION_UNMERGE_VD,MATCH(H9,DIFFERENTIATION_ID_DIFF,0)))</f>
        <v/>
      </c>
      <c r="I10" s="1863" t="str">
        <f>IF(I9="","",INDEX(DIFFERENTIATION_UNMERGE_VD,MATCH(I9,DIFFERENTIATION_ID_DIFF,0)))</f>
        <v>Производство тепловой энергии. Некомбинированная выработка</v>
      </c>
      <c r="J10" s="7461" t="str">
        <f>IF(J9="","",INDEX(DIFFERENTIATION_UNMERGE_VD,MATCH(J9,DIFFERENTIATION_ID_DIFF,0)))</f>
        <v>Производство тепловой энергии. Некомбинированная выработка</v>
      </c>
      <c r="K10" s="7461" t="str">
        <f>IF(K9="","",INDEX(DIFFERENTIATION_UNMERGE_VD,MATCH(K9,DIFFERENTIATION_ID_DIFF,0)))</f>
        <v>Производство тепловой энергии. Некомбинированная выработка</v>
      </c>
      <c r="L10" s="7461" t="str">
        <f>IF(L9="","",INDEX(DIFFERENTIATION_UNMERGE_VD,MATCH(L9,DIFFERENTIATION_ID_DIFF,0)))</f>
        <v>Производство тепловой энергии. Некомбинированная выработка</v>
      </c>
      <c r="M10" s="7461" t="str">
        <f>IF(M9="","",INDEX(DIFFERENTIATION_UNMERGE_VD,MATCH(M9,DIFFERENTIATION_ID_DIFF,0)))</f>
        <v>Производство тепловой энергии. Некомбинированная выработка</v>
      </c>
      <c r="N10" s="7461" t="str">
        <f>IF(N9="","",INDEX(DIFFERENTIATION_UNMERGE_VD,MATCH(N9,DIFFERENTIATION_ID_DIFF,0)))</f>
        <v>Производство тепловой энергии. Некомбинированная выработка</v>
      </c>
      <c r="O10" s="7461" t="str">
        <f>IF(O9="","",INDEX(DIFFERENTIATION_UNMERGE_VD,MATCH(O9,DIFFERENTIATION_ID_DIFF,0)))</f>
        <v>Производство тепловой энергии. Некомбинированная выработка</v>
      </c>
      <c r="P10" s="7461" t="str">
        <f>IF(P9="","",INDEX(DIFFERENTIATION_UNMERGE_VD,MATCH(P9,DIFFERENTIATION_ID_DIFF,0)))</f>
        <v>Производство тепловой энергии. Некомбинированная выработка</v>
      </c>
      <c r="Q10" s="7461" t="str">
        <f>IF(Q9="","",INDEX(DIFFERENTIATION_UNMERGE_VD,MATCH(Q9,DIFFERENTIATION_ID_DIFF,0)))</f>
        <v>Производство тепловой энергии. Некомбинированная выработка</v>
      </c>
      <c r="R10" s="7461" t="str">
        <f>IF(R9="","",INDEX(DIFFERENTIATION_UNMERGE_VD,MATCH(R9,DIFFERENTIATION_ID_DIFF,0)))</f>
        <v>Производство тепловой энергии. Некомбинированная выработка</v>
      </c>
      <c r="S10" s="7461" t="str">
        <f>IF(S9="","",INDEX(DIFFERENTIATION_UNMERGE_VD,MATCH(S9,DIFFERENTIATION_ID_DIFF,0)))</f>
        <v>Производство тепловой энергии. Некомбинированная выработка</v>
      </c>
      <c r="T10" s="7461" t="str">
        <f>IF(T9="","",INDEX(DIFFERENTIATION_UNMERGE_VD,MATCH(T9,DIFFERENTIATION_ID_DIFF,0)))</f>
        <v>Производство тепловой энергии. Некомбинированная выработка</v>
      </c>
      <c r="U10" s="7461" t="str">
        <f>IF(U9="","",INDEX(DIFFERENTIATION_UNMERGE_VD,MATCH(U9,DIFFERENTIATION_ID_DIFF,0)))</f>
        <v>Производство тепловой энергии. Некомбинированная выработка</v>
      </c>
      <c r="V10" s="7461" t="str">
        <f>IF(V9="","",INDEX(DIFFERENTIATION_UNMERGE_VD,MATCH(V9,DIFFERENTIATION_ID_DIFF,0)))</f>
        <v>Производство тепловой энергии. Некомбинированная выработка</v>
      </c>
      <c r="W10" s="7461" t="str">
        <f>IF(W9="","",INDEX(DIFFERENTIATION_UNMERGE_VD,MATCH(W9,DIFFERENTIATION_ID_DIFF,0)))</f>
        <v>Производство тепловой энергии. Некомбинированная выработка</v>
      </c>
      <c r="X10" s="7461" t="str">
        <f>IF(X9="","",INDEX(DIFFERENTIATION_UNMERGE_VD,MATCH(X9,DIFFERENTIATION_ID_DIFF,0)))</f>
        <v>Производство тепловой энергии. Некомбинированная выработка</v>
      </c>
      <c r="Y10" s="7461" t="str">
        <f>IF(Y9="","",INDEX(DIFFERENTIATION_UNMERGE_VD,MATCH(Y9,DIFFERENTIATION_ID_DIFF,0)))</f>
        <v>Производство тепловой энергии. Некомбинированная выработка</v>
      </c>
      <c r="Z10" s="7461" t="str">
        <f>IF(Z9="","",INDEX(DIFFERENTIATION_UNMERGE_VD,MATCH(Z9,DIFFERENTIATION_ID_DIFF,0)))</f>
        <v>Производство тепловой энергии. Некомбинированная выработка</v>
      </c>
      <c r="AA10" s="7461" t="str">
        <f>IF(AA9="","",INDEX(DIFFERENTIATION_UNMERGE_VD,MATCH(AA9,DIFFERENTIATION_ID_DIFF,0)))</f>
        <v>Производство тепловой энергии. Некомбинированная выработка</v>
      </c>
      <c r="AB10" s="7461" t="str">
        <f>IF(AB9="","",INDEX(DIFFERENTIATION_UNMERGE_VD,MATCH(AB9,DIFFERENTIATION_ID_DIFF,0)))</f>
        <v>Производство тепловой энергии. Некомбинированная выработка</v>
      </c>
      <c r="AC10" s="7461" t="str">
        <f>IF(AC9="","",INDEX(DIFFERENTIATION_UNMERGE_VD,MATCH(AC9,DIFFERENTIATION_ID_DIFF,0)))</f>
        <v>Производство тепловой энергии. Некомбинированная выработка</v>
      </c>
      <c r="AD10" s="7461" t="str">
        <f>IF(AD9="","",INDEX(DIFFERENTIATION_UNMERGE_VD,MATCH(AD9,DIFFERENTIATION_ID_DIFF,0)))</f>
        <v>Производство тепловой энергии. Некомбинированная выработка</v>
      </c>
      <c r="AE10" s="7461" t="str">
        <f>IF(AE9="","",INDEX(DIFFERENTIATION_UNMERGE_VD,MATCH(AE9,DIFFERENTIATION_ID_DIFF,0)))</f>
        <v>Производство тепловой энергии. Некомбинированная выработка</v>
      </c>
      <c r="AF10" s="7461" t="str">
        <f>IF(AF9="","",INDEX(DIFFERENTIATION_UNMERGE_VD,MATCH(AF9,DIFFERENTIATION_ID_DIFF,0)))</f>
        <v>Производство тепловой энергии. Некомбинированная выработка</v>
      </c>
      <c r="AG10" s="7461" t="str">
        <f>IF(AG9="","",INDEX(DIFFERENTIATION_UNMERGE_VD,MATCH(AG9,DIFFERENTIATION_ID_DIFF,0)))</f>
        <v>Производство тепловой энергии. Некомбинированная выработка</v>
      </c>
      <c r="AH10" s="7461" t="str">
        <f>IF(AH9="","",INDEX(DIFFERENTIATION_UNMERGE_VD,MATCH(AH9,DIFFERENTIATION_ID_DIFF,0)))</f>
        <v>Производство тепловой энергии. Некомбинированная выработка</v>
      </c>
      <c r="AI10" s="7461" t="str">
        <f>IF(AI9="","",INDEX(DIFFERENTIATION_UNMERGE_VD,MATCH(AI9,DIFFERENTIATION_ID_DIFF,0)))</f>
        <v>Производство тепловой энергии. Некомбинированная выработка</v>
      </c>
      <c r="AJ10" s="7461" t="str">
        <f>IF(AJ9="","",INDEX(DIFFERENTIATION_UNMERGE_VD,MATCH(AJ9,DIFFERENTIATION_ID_DIFF,0)))</f>
        <v>Производство тепловой энергии. Некомбинированная выработка</v>
      </c>
      <c r="AK10" s="7461" t="str">
        <f>IF(AK9="","",INDEX(DIFFERENTIATION_UNMERGE_VD,MATCH(AK9,DIFFERENTIATION_ID_DIFF,0)))</f>
        <v/>
      </c>
    </row>
    <row customHeight="1" ht="11.25">
      <c r="E11" s="948"/>
      <c r="F11" s="2545" t="s">
        <v>1476</v>
      </c>
      <c r="G11" s="2546"/>
      <c r="H11" s="1863" t="str">
        <f>IF(H9="","",INDEX(DIFFERENTIATION_UNMERGE_AREA,MATCH(H9,DIFFERENTIATION_ID_DIFF,0)))</f>
        <v/>
      </c>
      <c r="I11" s="1863" t="str">
        <f>IF(I9="","",INDEX(DIFFERENTIATION_UNMERGE_AREA,MATCH(I9,DIFFERENTIATION_ID_DIFF,0)))</f>
        <v>Территория 1</v>
      </c>
      <c r="J11" s="7461" t="str">
        <f>IF(J9="","",INDEX(DIFFERENTIATION_UNMERGE_AREA,MATCH(J9,DIFFERENTIATION_ID_DIFF,0)))</f>
        <v>Территория 1</v>
      </c>
      <c r="K11" s="7461" t="str">
        <f>IF(K9="","",INDEX(DIFFERENTIATION_UNMERGE_AREA,MATCH(K9,DIFFERENTIATION_ID_DIFF,0)))</f>
        <v>Территория 1</v>
      </c>
      <c r="L11" s="7461" t="str">
        <f>IF(L9="","",INDEX(DIFFERENTIATION_UNMERGE_AREA,MATCH(L9,DIFFERENTIATION_ID_DIFF,0)))</f>
        <v>Территория 1</v>
      </c>
      <c r="M11" s="7461" t="str">
        <f>IF(M9="","",INDEX(DIFFERENTIATION_UNMERGE_AREA,MATCH(M9,DIFFERENTIATION_ID_DIFF,0)))</f>
        <v>Территория 1</v>
      </c>
      <c r="N11" s="7461" t="str">
        <f>IF(N9="","",INDEX(DIFFERENTIATION_UNMERGE_AREA,MATCH(N9,DIFFERENTIATION_ID_DIFF,0)))</f>
        <v>Территория 1</v>
      </c>
      <c r="O11" s="7461" t="str">
        <f>IF(O9="","",INDEX(DIFFERENTIATION_UNMERGE_AREA,MATCH(O9,DIFFERENTIATION_ID_DIFF,0)))</f>
        <v>Территория 1</v>
      </c>
      <c r="P11" s="7461" t="str">
        <f>IF(P9="","",INDEX(DIFFERENTIATION_UNMERGE_AREA,MATCH(P9,DIFFERENTIATION_ID_DIFF,0)))</f>
        <v>Территория 1</v>
      </c>
      <c r="Q11" s="7461" t="str">
        <f>IF(Q9="","",INDEX(DIFFERENTIATION_UNMERGE_AREA,MATCH(Q9,DIFFERENTIATION_ID_DIFF,0)))</f>
        <v>Территория 1</v>
      </c>
      <c r="R11" s="7461" t="str">
        <f>IF(R9="","",INDEX(DIFFERENTIATION_UNMERGE_AREA,MATCH(R9,DIFFERENTIATION_ID_DIFF,0)))</f>
        <v>Территория 1</v>
      </c>
      <c r="S11" s="7461" t="str">
        <f>IF(S9="","",INDEX(DIFFERENTIATION_UNMERGE_AREA,MATCH(S9,DIFFERENTIATION_ID_DIFF,0)))</f>
        <v>Территория 1</v>
      </c>
      <c r="T11" s="7461" t="str">
        <f>IF(T9="","",INDEX(DIFFERENTIATION_UNMERGE_AREA,MATCH(T9,DIFFERENTIATION_ID_DIFF,0)))</f>
        <v>Территория 1</v>
      </c>
      <c r="U11" s="7461" t="str">
        <f>IF(U9="","",INDEX(DIFFERENTIATION_UNMERGE_AREA,MATCH(U9,DIFFERENTIATION_ID_DIFF,0)))</f>
        <v>Территория 1</v>
      </c>
      <c r="V11" s="7461" t="str">
        <f>IF(V9="","",INDEX(DIFFERENTIATION_UNMERGE_AREA,MATCH(V9,DIFFERENTIATION_ID_DIFF,0)))</f>
        <v>Территория 1</v>
      </c>
      <c r="W11" s="7461" t="str">
        <f>IF(W9="","",INDEX(DIFFERENTIATION_UNMERGE_AREA,MATCH(W9,DIFFERENTIATION_ID_DIFF,0)))</f>
        <v>Территория 1</v>
      </c>
      <c r="X11" s="7461" t="str">
        <f>IF(X9="","",INDEX(DIFFERENTIATION_UNMERGE_AREA,MATCH(X9,DIFFERENTIATION_ID_DIFF,0)))</f>
        <v>Территория 1</v>
      </c>
      <c r="Y11" s="7461" t="str">
        <f>IF(Y9="","",INDEX(DIFFERENTIATION_UNMERGE_AREA,MATCH(Y9,DIFFERENTIATION_ID_DIFF,0)))</f>
        <v>Территория 1</v>
      </c>
      <c r="Z11" s="7461" t="str">
        <f>IF(Z9="","",INDEX(DIFFERENTIATION_UNMERGE_AREA,MATCH(Z9,DIFFERENTIATION_ID_DIFF,0)))</f>
        <v>Территория 1</v>
      </c>
      <c r="AA11" s="7461" t="str">
        <f>IF(AA9="","",INDEX(DIFFERENTIATION_UNMERGE_AREA,MATCH(AA9,DIFFERENTIATION_ID_DIFF,0)))</f>
        <v>Территория 1</v>
      </c>
      <c r="AB11" s="7461" t="str">
        <f>IF(AB9="","",INDEX(DIFFERENTIATION_UNMERGE_AREA,MATCH(AB9,DIFFERENTIATION_ID_DIFF,0)))</f>
        <v>Территория 1</v>
      </c>
      <c r="AC11" s="7461" t="str">
        <f>IF(AC9="","",INDEX(DIFFERENTIATION_UNMERGE_AREA,MATCH(AC9,DIFFERENTIATION_ID_DIFF,0)))</f>
        <v>Территория 1</v>
      </c>
      <c r="AD11" s="7461" t="str">
        <f>IF(AD9="","",INDEX(DIFFERENTIATION_UNMERGE_AREA,MATCH(AD9,DIFFERENTIATION_ID_DIFF,0)))</f>
        <v>Территория 1</v>
      </c>
      <c r="AE11" s="7461" t="str">
        <f>IF(AE9="","",INDEX(DIFFERENTIATION_UNMERGE_AREA,MATCH(AE9,DIFFERENTIATION_ID_DIFF,0)))</f>
        <v>Территория 1</v>
      </c>
      <c r="AF11" s="7461" t="str">
        <f>IF(AF9="","",INDEX(DIFFERENTIATION_UNMERGE_AREA,MATCH(AF9,DIFFERENTIATION_ID_DIFF,0)))</f>
        <v>Территория 1</v>
      </c>
      <c r="AG11" s="7461" t="str">
        <f>IF(AG9="","",INDEX(DIFFERENTIATION_UNMERGE_AREA,MATCH(AG9,DIFFERENTIATION_ID_DIFF,0)))</f>
        <v>Территория 1</v>
      </c>
      <c r="AH11" s="7461" t="str">
        <f>IF(AH9="","",INDEX(DIFFERENTIATION_UNMERGE_AREA,MATCH(AH9,DIFFERENTIATION_ID_DIFF,0)))</f>
        <v>Территория 1</v>
      </c>
      <c r="AI11" s="7461" t="str">
        <f>IF(AI9="","",INDEX(DIFFERENTIATION_UNMERGE_AREA,MATCH(AI9,DIFFERENTIATION_ID_DIFF,0)))</f>
        <v>Территория 1</v>
      </c>
      <c r="AJ11" s="7461" t="str">
        <f>IF(AJ9="","",INDEX(DIFFERENTIATION_UNMERGE_AREA,MATCH(AJ9,DIFFERENTIATION_ID_DIFF,0)))</f>
        <v>Территория 1</v>
      </c>
      <c r="AK11" s="7461" t="str">
        <f>IF(AK9="","",INDEX(DIFFERENTIATION_UNMERGE_AREA,MATCH(AK9,DIFFERENTIATION_ID_DIFF,0)))</f>
        <v/>
      </c>
    </row>
    <row customHeight="1" ht="11.25" hidden="1">
      <c r="E12" s="1975"/>
      <c r="F12" s="2600" t="s">
        <v>1477</v>
      </c>
      <c r="G12" s="2601"/>
      <c r="H12" s="1976" t="str">
        <f>IF(H9="","",INDEX(DIFFERENTIATION_UNMERGE_SYSTEM,MATCH(H9,DIFFERENTIATION_ID_DIFF,0)))</f>
        <v/>
      </c>
      <c r="I12" s="1976" t="str">
        <f>IF(I9="","",INDEX(DIFFERENTIATION_UNMERGE_SYSTEM,MATCH(I9,DIFFERENTIATION_ID_DIFF,0)))</f>
        <v>Котельная №1 по ул.Ново-Самарская, д.12</v>
      </c>
      <c r="J12" s="7765" t="str">
        <f>IF(J9="","",INDEX(DIFFERENTIATION_UNMERGE_SYSTEM,MATCH(J9,DIFFERENTIATION_ID_DIFF,0)))</f>
        <v>Котельная №2,  ул.Пирогова около д.4</v>
      </c>
      <c r="K12" s="7765" t="str">
        <f>IF(K9="","",INDEX(DIFFERENTIATION_UNMERGE_SYSTEM,MATCH(K9,DIFFERENTIATION_ID_DIFF,0)))</f>
        <v>Котельная №3, ул.Комсомольская около д.1 по ул.Ленина</v>
      </c>
      <c r="L12" s="7765" t="str">
        <f>IF(L9="","",INDEX(DIFFERENTIATION_UNMERGE_SYSTEM,MATCH(L9,DIFFERENTIATION_ID_DIFF,0)))</f>
        <v>Тепловой центр №1 ул.Вокзальная ок д.№8</v>
      </c>
      <c r="M12" s="7765" t="str">
        <f>IF(M9="","",INDEX(DIFFERENTIATION_UNMERGE_SYSTEM,MATCH(M9,DIFFERENTIATION_ID_DIFF,0)))</f>
        <v>Котельная №5, Александр. Поле, около д.30 по ул.Советская </v>
      </c>
      <c r="N12" s="7765" t="str">
        <f>IF(N9="","",INDEX(DIFFERENTIATION_UNMERGE_SYSTEM,MATCH(N9,DIFFERENTIATION_ID_DIFF,0)))</f>
        <v>Котельная №6, ул.Пушкина </v>
      </c>
      <c r="O12" s="7765" t="str">
        <f>IF(O9="","",INDEX(DIFFERENTIATION_UNMERGE_SYSTEM,MATCH(O9,DIFFERENTIATION_ID_DIFF,0)))</f>
        <v>Тепловой центр №2 ул.Вокзальная ок д.№20</v>
      </c>
      <c r="P12" s="7765" t="str">
        <f>IF(P9="","",INDEX(DIFFERENTIATION_UNMERGE_SYSTEM,MATCH(P9,DIFFERENTIATION_ID_DIFF,0)))</f>
        <v>Котельная №8, ул.Мира</v>
      </c>
      <c r="Q12" s="7765" t="str">
        <f>IF(Q9="","",INDEX(DIFFERENTIATION_UNMERGE_SYSTEM,MATCH(Q9,DIFFERENTIATION_ID_DIFF,0)))</f>
        <v>Котельная №9, ул.Гоголя</v>
      </c>
      <c r="R12" s="7765" t="str">
        <f>IF(R9="","",INDEX(DIFFERENTIATION_UNMERGE_SYSTEM,MATCH(R9,DIFFERENTIATION_ID_DIFF,0)))</f>
        <v>Котельная №10, ул.Гоголя</v>
      </c>
      <c r="S12" s="7765" t="str">
        <f>IF(S9="","",INDEX(DIFFERENTIATION_UNMERGE_SYSTEM,MATCH(S9,DIFFERENTIATION_ID_DIFF,0)))</f>
        <v>Котельная №12а, ул.Мира</v>
      </c>
      <c r="T12" s="7765" t="str">
        <f>IF(T9="","",INDEX(DIFFERENTIATION_UNMERGE_SYSTEM,MATCH(T9,DIFFERENTIATION_ID_DIFF,0)))</f>
        <v>Котельная №13, ул.Морквашинская</v>
      </c>
      <c r="U12" s="7765" t="str">
        <f>IF(U9="","",INDEX(DIFFERENTIATION_UNMERGE_SYSTEM,MATCH(U9,DIFFERENTIATION_ID_DIFF,0)))</f>
        <v>ЦТП-1 ул.Морквашинская ок.д№7</v>
      </c>
      <c r="V12" s="7765" t="str">
        <f>IF(V9="","",INDEX(DIFFERENTIATION_UNMERGE_SYSTEM,MATCH(V9,DIFFERENTIATION_ID_DIFF,0)))</f>
        <v>ЦТП-2, В-1,ок.д.№10</v>
      </c>
      <c r="W12" s="7765" t="str">
        <f>IF(W9="","",INDEX(DIFFERENTIATION_UNMERGE_SYSTEM,MATCH(W9,DIFFERENTIATION_ID_DIFF,0)))</f>
        <v>ЦТП-9, ул.Пролетарская д.23/ул.Транспортная д.10</v>
      </c>
      <c r="X12" s="7765" t="str">
        <f>IF(X9="","",INDEX(DIFFERENTIATION_UNMERGE_SYSTEM,MATCH(X9,DIFFERENTIATION_ID_DIFF,0)))</f>
        <v>ПНС№1-  Пролет, 5</v>
      </c>
      <c r="Y12" s="7765" t="str">
        <f>IF(Y9="","",INDEX(DIFFERENTIATION_UNMERGE_SYSTEM,MATCH(Y9,DIFFERENTIATION_ID_DIFF,0)))</f>
        <v>ПНС№2, ул.Репина,3</v>
      </c>
      <c r="Z12" s="7765" t="str">
        <f>IF(Z9="","",INDEX(DIFFERENTIATION_UNMERGE_SYSTEM,MATCH(Z9,DIFFERENTIATION_ID_DIFF,0)))</f>
        <v>Котельная №14, ул.Радиозаводская</v>
      </c>
      <c r="AA12" s="7765" t="str">
        <f>IF(AA9="","",INDEX(DIFFERENTIATION_UNMERGE_SYSTEM,MATCH(AA9,DIFFERENTIATION_ID_DIFF,0)))</f>
        <v>ЦТП-3, ул.Радиозаводская,ок.д.№6</v>
      </c>
      <c r="AB12" s="7765" t="str">
        <f>IF(AB9="","",INDEX(DIFFERENTIATION_UNMERGE_SYSTEM,MATCH(AB9,DIFFERENTIATION_ID_DIFF,0)))</f>
        <v>Котельная №17а с.Зольное , ул.Первомайская.</v>
      </c>
      <c r="AC12" s="7765" t="str">
        <f>IF(AC9="","",INDEX(DIFFERENTIATION_UNMERGE_SYSTEM,MATCH(AC9,DIFFERENTIATION_ID_DIFF,0)))</f>
        <v>Котельная №18А, с.Солнечная Поляна, ул. 4-я Линия</v>
      </c>
      <c r="AD12" s="7765" t="str">
        <f>IF(AD9="","",INDEX(DIFFERENTIATION_UNMERGE_SYSTEM,MATCH(AD9,DIFFERENTIATION_ID_DIFF,0)))</f>
        <v>Котельная №20,пос.Яблоневый Овраг , ул Никитина</v>
      </c>
      <c r="AE12" s="7765" t="str">
        <f>IF(AE9="","",INDEX(DIFFERENTIATION_UNMERGE_SYSTEM,MATCH(AE9,DIFFERENTIATION_ID_DIFF,0)))</f>
        <v>Котельная №22, ул.Магистральная</v>
      </c>
      <c r="AF12" s="7765" t="str">
        <f>IF(AF9="","",INDEX(DIFFERENTIATION_UNMERGE_SYSTEM,MATCH(AF9,DIFFERENTIATION_ID_DIFF,0)))</f>
        <v>Котельная №25,  МКР Г-1, ул.Гидротехническая</v>
      </c>
      <c r="AG12" s="7765" t="str">
        <f>IF(AG9="","",INDEX(DIFFERENTIATION_UNMERGE_SYSTEM,MATCH(AG9,DIFFERENTIATION_ID_DIFF,0)))</f>
        <v>ЦТП-7, ул.Оборонная</v>
      </c>
      <c r="AH12" s="7765" t="str">
        <f>IF(AH9="","",INDEX(DIFFERENTIATION_UNMERGE_SYSTEM,MATCH(AH9,DIFFERENTIATION_ID_DIFF,0)))</f>
        <v>ЦТП-8, ул.Шевченко</v>
      </c>
      <c r="AI12" s="7765" t="str">
        <f>IF(AI9="","",INDEX(DIFFERENTIATION_UNMERGE_SYSTEM,MATCH(AI9,DIFFERENTIATION_ID_DIFF,0)))</f>
        <v>ПНС, ул.Парковая</v>
      </c>
      <c r="AJ12" s="7765" t="str">
        <f>IF(AJ9="","",INDEX(DIFFERENTIATION_UNMERGE_SYSTEM,MATCH(AJ9,DIFFERENTIATION_ID_DIFF,0)))</f>
        <v>Котельная №27, п.Богатырь, ул.Управленческая</v>
      </c>
      <c r="AK12" s="7765" t="str">
        <f>IF(AK9="","",INDEX(DIFFERENTIATION_UNMERGE_SYSTEM,MATCH(AK9,DIFFERENTIATION_ID_DIFF,0)))</f>
        <v/>
      </c>
    </row>
    <row customHeight="1" ht="11.25">
      <c r="E13" s="2547" t="s">
        <v>362</v>
      </c>
      <c r="F13" s="2548"/>
      <c r="G13" s="2548"/>
      <c r="H13" s="1862"/>
      <c r="I13" s="1862"/>
      <c r="J13" s="7001"/>
      <c r="K13" s="7001"/>
      <c r="L13" s="7001"/>
      <c r="M13" s="7001"/>
      <c r="N13" s="7001"/>
      <c r="O13" s="7001"/>
      <c r="P13" s="7001"/>
      <c r="Q13" s="7001"/>
      <c r="R13" s="7001"/>
      <c r="S13" s="7001"/>
      <c r="T13" s="7001"/>
      <c r="U13" s="7001"/>
      <c r="V13" s="7001"/>
      <c r="W13" s="7001"/>
      <c r="X13" s="7001"/>
      <c r="Y13" s="7001"/>
      <c r="Z13" s="7001"/>
      <c r="AA13" s="7001"/>
      <c r="AB13" s="7001"/>
      <c r="AC13" s="7001"/>
      <c r="AD13" s="7001"/>
      <c r="AE13" s="7001"/>
      <c r="AF13" s="7001"/>
      <c r="AG13" s="7001"/>
      <c r="AH13" s="7001"/>
      <c r="AI13" s="7001"/>
      <c r="AJ13" s="7001"/>
      <c r="AK13" s="7001"/>
    </row>
    <row customHeight="1" ht="22.5">
      <c r="E14" s="1952" t="s">
        <v>88</v>
      </c>
      <c r="F14" s="1947" t="s">
        <v>364</v>
      </c>
      <c r="G14" s="1947" t="s">
        <v>1655</v>
      </c>
      <c r="H14" s="1947" t="s">
        <v>365</v>
      </c>
      <c r="I14" s="1947" t="s">
        <v>365</v>
      </c>
      <c r="J14" s="7006" t="s">
        <v>365</v>
      </c>
      <c r="K14" s="7006" t="s">
        <v>365</v>
      </c>
      <c r="L14" s="7006" t="s">
        <v>365</v>
      </c>
      <c r="M14" s="7006" t="s">
        <v>365</v>
      </c>
      <c r="N14" s="7006" t="s">
        <v>365</v>
      </c>
      <c r="O14" s="7006" t="s">
        <v>365</v>
      </c>
      <c r="P14" s="7006" t="s">
        <v>365</v>
      </c>
      <c r="Q14" s="7006" t="s">
        <v>365</v>
      </c>
      <c r="R14" s="7006" t="s">
        <v>365</v>
      </c>
      <c r="S14" s="7006" t="s">
        <v>365</v>
      </c>
      <c r="T14" s="7006" t="s">
        <v>365</v>
      </c>
      <c r="U14" s="7006" t="s">
        <v>365</v>
      </c>
      <c r="V14" s="7006" t="s">
        <v>365</v>
      </c>
      <c r="W14" s="7006" t="s">
        <v>365</v>
      </c>
      <c r="X14" s="7006" t="s">
        <v>365</v>
      </c>
      <c r="Y14" s="7006" t="s">
        <v>365</v>
      </c>
      <c r="Z14" s="7006" t="s">
        <v>365</v>
      </c>
      <c r="AA14" s="7006" t="s">
        <v>365</v>
      </c>
      <c r="AB14" s="7006" t="s">
        <v>365</v>
      </c>
      <c r="AC14" s="7006" t="s">
        <v>365</v>
      </c>
      <c r="AD14" s="7006" t="s">
        <v>365</v>
      </c>
      <c r="AE14" s="7006" t="s">
        <v>365</v>
      </c>
      <c r="AF14" s="7006" t="s">
        <v>365</v>
      </c>
      <c r="AG14" s="7006" t="s">
        <v>365</v>
      </c>
      <c r="AH14" s="7006" t="s">
        <v>365</v>
      </c>
      <c r="AI14" s="7006" t="s">
        <v>365</v>
      </c>
      <c r="AJ14" s="7006" t="s">
        <v>365</v>
      </c>
      <c r="AK14" s="7006" t="s">
        <v>365</v>
      </c>
    </row>
    <row customHeight="1" ht="18.75">
      <c r="D15" s="1951"/>
      <c r="E15" s="1943" t="s">
        <v>109</v>
      </c>
      <c r="F15" s="944" t="s">
        <v>1838</v>
      </c>
      <c r="G15" s="1959" t="s">
        <v>1772</v>
      </c>
      <c r="H15" s="794"/>
      <c r="I15" s="794"/>
      <c r="J15" s="7466"/>
      <c r="K15" s="7466"/>
      <c r="L15" s="7466"/>
      <c r="M15" s="7466"/>
      <c r="N15" s="7466"/>
      <c r="O15" s="7466"/>
      <c r="P15" s="7466"/>
      <c r="Q15" s="7466"/>
      <c r="R15" s="7466"/>
      <c r="S15" s="7466"/>
      <c r="T15" s="7466"/>
      <c r="U15" s="7466"/>
      <c r="V15" s="7466"/>
      <c r="W15" s="7466"/>
      <c r="X15" s="7466"/>
      <c r="Y15" s="7466"/>
      <c r="Z15" s="7466"/>
      <c r="AA15" s="7466"/>
      <c r="AB15" s="7466"/>
      <c r="AC15" s="7466"/>
      <c r="AD15" s="7466"/>
      <c r="AE15" s="7466"/>
      <c r="AF15" s="7466"/>
      <c r="AG15" s="7466"/>
      <c r="AH15" s="7466"/>
      <c r="AI15" s="7466"/>
      <c r="AJ15" s="7466"/>
      <c r="AK15" s="7466"/>
      <c r="AL15" s="780" t="s">
        <v>1839</v>
      </c>
    </row>
    <row customHeight="1" ht="33.75">
      <c r="D16" s="1951"/>
      <c r="E16" s="1943" t="s">
        <v>110</v>
      </c>
      <c r="F16" s="944" t="s">
        <v>1840</v>
      </c>
      <c r="G16" s="1959" t="s">
        <v>1772</v>
      </c>
      <c r="H16" s="795">
        <f>SUM(H17,H20:H32)</f>
        <v>0</v>
      </c>
      <c r="I16" s="795">
        <f>SUM(I17,I20:I32)</f>
        <v>0</v>
      </c>
      <c r="J16" s="7467">
        <f>SUM(J17,J20:J32)</f>
        <v>0</v>
      </c>
      <c r="K16" s="7467">
        <f>SUM(K17,K20:K32)</f>
        <v>0</v>
      </c>
      <c r="L16" s="7467">
        <f>SUM(L17,L20:L32)</f>
        <v>0</v>
      </c>
      <c r="M16" s="7467">
        <f>SUM(M17,M20:M32)</f>
        <v>0</v>
      </c>
      <c r="N16" s="7467">
        <f>SUM(N17,N20:N32)</f>
        <v>0</v>
      </c>
      <c r="O16" s="7467">
        <f>SUM(O17,O20:O32)</f>
        <v>0</v>
      </c>
      <c r="P16" s="7467">
        <f>SUM(P17,P20:P32)</f>
        <v>0</v>
      </c>
      <c r="Q16" s="7467">
        <f>SUM(Q17,Q20:Q32)</f>
        <v>0</v>
      </c>
      <c r="R16" s="7467">
        <f>SUM(R17,R20:R32)</f>
        <v>0</v>
      </c>
      <c r="S16" s="7467">
        <f>SUM(S17,S20:S32)</f>
        <v>0</v>
      </c>
      <c r="T16" s="7467">
        <f>SUM(T17,T20:T32)</f>
        <v>0</v>
      </c>
      <c r="U16" s="7467">
        <f>SUM(U17,U20:U32)</f>
        <v>0</v>
      </c>
      <c r="V16" s="7467">
        <f>SUM(V17,V20:V32)</f>
        <v>0</v>
      </c>
      <c r="W16" s="7467">
        <f>SUM(W17,W20:W32)</f>
        <v>0</v>
      </c>
      <c r="X16" s="7467">
        <f>SUM(X17,X20:X32)</f>
        <v>0</v>
      </c>
      <c r="Y16" s="7467">
        <f>SUM(Y17,Y20:Y32)</f>
        <v>0</v>
      </c>
      <c r="Z16" s="7467">
        <f>SUM(Z17,Z20:Z32)</f>
        <v>0</v>
      </c>
      <c r="AA16" s="7467">
        <f>SUM(AA17,AA20:AA32)</f>
        <v>0</v>
      </c>
      <c r="AB16" s="7467">
        <f>SUM(AB17,AB20:AB32)</f>
        <v>0</v>
      </c>
      <c r="AC16" s="7467">
        <f>SUM(AC17,AC20:AC32)</f>
        <v>0</v>
      </c>
      <c r="AD16" s="7467">
        <f>SUM(AD17,AD20:AD32)</f>
        <v>0</v>
      </c>
      <c r="AE16" s="7467">
        <f>SUM(AE17,AE20:AE32)</f>
        <v>0</v>
      </c>
      <c r="AF16" s="7467">
        <f>SUM(AF17,AF20:AF32)</f>
        <v>0</v>
      </c>
      <c r="AG16" s="7467">
        <f>SUM(AG17,AG20:AG32)</f>
        <v>0</v>
      </c>
      <c r="AH16" s="7467">
        <f>SUM(AH17,AH20:AH32)</f>
        <v>0</v>
      </c>
      <c r="AI16" s="7467">
        <f>SUM(AI17,AI20:AI32)</f>
        <v>0</v>
      </c>
      <c r="AJ16" s="7467">
        <f>SUM(AJ17,AJ20:AJ32)</f>
        <v>0</v>
      </c>
      <c r="AK16" s="7467">
        <f>SUM(AK17,AK20:AK32)</f>
        <v>0</v>
      </c>
      <c r="AL16" s="780" t="s">
        <v>1839</v>
      </c>
    </row>
    <row customHeight="1" ht="18.75">
      <c r="D17" s="1951"/>
      <c r="E17" s="1977" t="s">
        <v>570</v>
      </c>
      <c r="F17" s="1210" t="s">
        <v>1841</v>
      </c>
      <c r="G17" s="1956" t="s">
        <v>1772</v>
      </c>
      <c r="H17" s="794"/>
      <c r="I17" s="794"/>
      <c r="J17" s="7466"/>
      <c r="K17" s="7466"/>
      <c r="L17" s="7466"/>
      <c r="M17" s="7466"/>
      <c r="N17" s="7466"/>
      <c r="O17" s="7466"/>
      <c r="P17" s="7466"/>
      <c r="Q17" s="7466"/>
      <c r="R17" s="7466"/>
      <c r="S17" s="7466"/>
      <c r="T17" s="7466"/>
      <c r="U17" s="7466"/>
      <c r="V17" s="7466"/>
      <c r="W17" s="7466"/>
      <c r="X17" s="7466"/>
      <c r="Y17" s="7466"/>
      <c r="Z17" s="7466"/>
      <c r="AA17" s="7466"/>
      <c r="AB17" s="7466"/>
      <c r="AC17" s="7466"/>
      <c r="AD17" s="7466"/>
      <c r="AE17" s="7466"/>
      <c r="AF17" s="7466"/>
      <c r="AG17" s="7466"/>
      <c r="AH17" s="7466"/>
      <c r="AI17" s="7466"/>
      <c r="AJ17" s="7466"/>
      <c r="AK17" s="7466"/>
      <c r="AL17" s="780"/>
    </row>
    <row customHeight="1" ht="22.5">
      <c r="D18" s="1951"/>
      <c r="E18" s="1977" t="s">
        <v>1513</v>
      </c>
      <c r="F18" s="1963" t="s">
        <v>1842</v>
      </c>
      <c r="G18" s="1956" t="s">
        <v>1772</v>
      </c>
      <c r="H18" s="794"/>
      <c r="I18" s="794"/>
      <c r="J18" s="7466"/>
      <c r="K18" s="7466"/>
      <c r="L18" s="7466"/>
      <c r="M18" s="7466"/>
      <c r="N18" s="7466"/>
      <c r="O18" s="7466"/>
      <c r="P18" s="7466"/>
      <c r="Q18" s="7466"/>
      <c r="R18" s="7466"/>
      <c r="S18" s="7466"/>
      <c r="T18" s="7466"/>
      <c r="U18" s="7466"/>
      <c r="V18" s="7466"/>
      <c r="W18" s="7466"/>
      <c r="X18" s="7466"/>
      <c r="Y18" s="7466"/>
      <c r="Z18" s="7466"/>
      <c r="AA18" s="7466"/>
      <c r="AB18" s="7466"/>
      <c r="AC18" s="7466"/>
      <c r="AD18" s="7466"/>
      <c r="AE18" s="7466"/>
      <c r="AF18" s="7466"/>
      <c r="AG18" s="7466"/>
      <c r="AH18" s="7466"/>
      <c r="AI18" s="7466"/>
      <c r="AJ18" s="7466"/>
      <c r="AK18" s="7466"/>
      <c r="AL18" s="780"/>
    </row>
    <row customHeight="1" ht="33.75">
      <c r="D19" s="1951"/>
      <c r="E19" s="1977" t="s">
        <v>1843</v>
      </c>
      <c r="F19" s="1963" t="s">
        <v>1844</v>
      </c>
      <c r="G19" s="1956" t="s">
        <v>1772</v>
      </c>
      <c r="H19" s="794"/>
      <c r="I19" s="794"/>
      <c r="J19" s="7466"/>
      <c r="K19" s="7466"/>
      <c r="L19" s="7466"/>
      <c r="M19" s="7466"/>
      <c r="N19" s="7466"/>
      <c r="O19" s="7466"/>
      <c r="P19" s="7466"/>
      <c r="Q19" s="7466"/>
      <c r="R19" s="7466"/>
      <c r="S19" s="7466"/>
      <c r="T19" s="7466"/>
      <c r="U19" s="7466"/>
      <c r="V19" s="7466"/>
      <c r="W19" s="7466"/>
      <c r="X19" s="7466"/>
      <c r="Y19" s="7466"/>
      <c r="Z19" s="7466"/>
      <c r="AA19" s="7466"/>
      <c r="AB19" s="7466"/>
      <c r="AC19" s="7466"/>
      <c r="AD19" s="7466"/>
      <c r="AE19" s="7466"/>
      <c r="AF19" s="7466"/>
      <c r="AG19" s="7466"/>
      <c r="AH19" s="7466"/>
      <c r="AI19" s="7466"/>
      <c r="AJ19" s="7466"/>
      <c r="AK19" s="7466"/>
      <c r="AL19" s="780"/>
    </row>
    <row customHeight="1" ht="18.75">
      <c r="D20" s="1951"/>
      <c r="E20" s="1977" t="s">
        <v>369</v>
      </c>
      <c r="F20" s="1210" t="s">
        <v>1845</v>
      </c>
      <c r="G20" s="1956" t="s">
        <v>1772</v>
      </c>
      <c r="H20" s="794"/>
      <c r="I20" s="794"/>
      <c r="J20" s="7466"/>
      <c r="K20" s="7466"/>
      <c r="L20" s="7466"/>
      <c r="M20" s="7466"/>
      <c r="N20" s="7466"/>
      <c r="O20" s="7466"/>
      <c r="P20" s="7466"/>
      <c r="Q20" s="7466"/>
      <c r="R20" s="7466"/>
      <c r="S20" s="7466"/>
      <c r="T20" s="7466"/>
      <c r="U20" s="7466"/>
      <c r="V20" s="7466"/>
      <c r="W20" s="7466"/>
      <c r="X20" s="7466"/>
      <c r="Y20" s="7466"/>
      <c r="Z20" s="7466"/>
      <c r="AA20" s="7466"/>
      <c r="AB20" s="7466"/>
      <c r="AC20" s="7466"/>
      <c r="AD20" s="7466"/>
      <c r="AE20" s="7466"/>
      <c r="AF20" s="7466"/>
      <c r="AG20" s="7466"/>
      <c r="AH20" s="7466"/>
      <c r="AI20" s="7466"/>
      <c r="AJ20" s="7466"/>
      <c r="AK20" s="7466"/>
      <c r="AL20" s="780"/>
    </row>
    <row customHeight="1" ht="18.75">
      <c r="D21" s="1951"/>
      <c r="E21" s="1977" t="s">
        <v>585</v>
      </c>
      <c r="F21" s="1963" t="s">
        <v>1846</v>
      </c>
      <c r="G21" s="1956" t="s">
        <v>1772</v>
      </c>
      <c r="H21" s="794"/>
      <c r="I21" s="794"/>
      <c r="J21" s="7466"/>
      <c r="K21" s="7466"/>
      <c r="L21" s="7466"/>
      <c r="M21" s="7466"/>
      <c r="N21" s="7466"/>
      <c r="O21" s="7466"/>
      <c r="P21" s="7466"/>
      <c r="Q21" s="7466"/>
      <c r="R21" s="7466"/>
      <c r="S21" s="7466"/>
      <c r="T21" s="7466"/>
      <c r="U21" s="7466"/>
      <c r="V21" s="7466"/>
      <c r="W21" s="7466"/>
      <c r="X21" s="7466"/>
      <c r="Y21" s="7466"/>
      <c r="Z21" s="7466"/>
      <c r="AA21" s="7466"/>
      <c r="AB21" s="7466"/>
      <c r="AC21" s="7466"/>
      <c r="AD21" s="7466"/>
      <c r="AE21" s="7466"/>
      <c r="AF21" s="7466"/>
      <c r="AG21" s="7466"/>
      <c r="AH21" s="7466"/>
      <c r="AI21" s="7466"/>
      <c r="AJ21" s="7466"/>
      <c r="AK21" s="7466"/>
      <c r="AL21" s="780"/>
    </row>
    <row customHeight="1" ht="18.75">
      <c r="D22" s="1951"/>
      <c r="E22" s="1977" t="s">
        <v>590</v>
      </c>
      <c r="F22" s="1963" t="s">
        <v>1847</v>
      </c>
      <c r="G22" s="1956" t="s">
        <v>1772</v>
      </c>
      <c r="H22" s="794"/>
      <c r="I22" s="794"/>
      <c r="J22" s="7466"/>
      <c r="K22" s="7466"/>
      <c r="L22" s="7466"/>
      <c r="M22" s="7466"/>
      <c r="N22" s="7466"/>
      <c r="O22" s="7466"/>
      <c r="P22" s="7466"/>
      <c r="Q22" s="7466"/>
      <c r="R22" s="7466"/>
      <c r="S22" s="7466"/>
      <c r="T22" s="7466"/>
      <c r="U22" s="7466"/>
      <c r="V22" s="7466"/>
      <c r="W22" s="7466"/>
      <c r="X22" s="7466"/>
      <c r="Y22" s="7466"/>
      <c r="Z22" s="7466"/>
      <c r="AA22" s="7466"/>
      <c r="AB22" s="7466"/>
      <c r="AC22" s="7466"/>
      <c r="AD22" s="7466"/>
      <c r="AE22" s="7466"/>
      <c r="AF22" s="7466"/>
      <c r="AG22" s="7466"/>
      <c r="AH22" s="7466"/>
      <c r="AI22" s="7466"/>
      <c r="AJ22" s="7466"/>
      <c r="AK22" s="7466"/>
      <c r="AL22" s="780"/>
    </row>
    <row customHeight="1" ht="22.5">
      <c r="D23" s="1951"/>
      <c r="E23" s="1977" t="s">
        <v>372</v>
      </c>
      <c r="F23" s="1210" t="s">
        <v>1848</v>
      </c>
      <c r="G23" s="1956" t="s">
        <v>1772</v>
      </c>
      <c r="H23" s="794"/>
      <c r="I23" s="794"/>
      <c r="J23" s="7466"/>
      <c r="K23" s="7466"/>
      <c r="L23" s="7466"/>
      <c r="M23" s="7466"/>
      <c r="N23" s="7466"/>
      <c r="O23" s="7466"/>
      <c r="P23" s="7466"/>
      <c r="Q23" s="7466"/>
      <c r="R23" s="7466"/>
      <c r="S23" s="7466"/>
      <c r="T23" s="7466"/>
      <c r="U23" s="7466"/>
      <c r="V23" s="7466"/>
      <c r="W23" s="7466"/>
      <c r="X23" s="7466"/>
      <c r="Y23" s="7466"/>
      <c r="Z23" s="7466"/>
      <c r="AA23" s="7466"/>
      <c r="AB23" s="7466"/>
      <c r="AC23" s="7466"/>
      <c r="AD23" s="7466"/>
      <c r="AE23" s="7466"/>
      <c r="AF23" s="7466"/>
      <c r="AG23" s="7466"/>
      <c r="AH23" s="7466"/>
      <c r="AI23" s="7466"/>
      <c r="AJ23" s="7466"/>
      <c r="AK23" s="7466"/>
      <c r="AL23" s="780"/>
    </row>
    <row customHeight="1" ht="18.75">
      <c r="D24" s="1951"/>
      <c r="E24" s="1977" t="s">
        <v>584</v>
      </c>
      <c r="F24" s="1963" t="s">
        <v>1849</v>
      </c>
      <c r="G24" s="1956" t="s">
        <v>1772</v>
      </c>
      <c r="H24" s="794"/>
      <c r="I24" s="794"/>
      <c r="J24" s="7466"/>
      <c r="K24" s="7466"/>
      <c r="L24" s="7466"/>
      <c r="M24" s="7466"/>
      <c r="N24" s="7466"/>
      <c r="O24" s="7466"/>
      <c r="P24" s="7466"/>
      <c r="Q24" s="7466"/>
      <c r="R24" s="7466"/>
      <c r="S24" s="7466"/>
      <c r="T24" s="7466"/>
      <c r="U24" s="7466"/>
      <c r="V24" s="7466"/>
      <c r="W24" s="7466"/>
      <c r="X24" s="7466"/>
      <c r="Y24" s="7466"/>
      <c r="Z24" s="7466"/>
      <c r="AA24" s="7466"/>
      <c r="AB24" s="7466"/>
      <c r="AC24" s="7466"/>
      <c r="AD24" s="7466"/>
      <c r="AE24" s="7466"/>
      <c r="AF24" s="7466"/>
      <c r="AG24" s="7466"/>
      <c r="AH24" s="7466"/>
      <c r="AI24" s="7466"/>
      <c r="AJ24" s="7466"/>
      <c r="AK24" s="7466"/>
      <c r="AL24" s="780"/>
    </row>
    <row customHeight="1" ht="33.75">
      <c r="D25" s="1951"/>
      <c r="E25" s="1977" t="s">
        <v>589</v>
      </c>
      <c r="F25" s="1963" t="s">
        <v>1850</v>
      </c>
      <c r="G25" s="1956" t="s">
        <v>1772</v>
      </c>
      <c r="H25" s="794"/>
      <c r="I25" s="794"/>
      <c r="J25" s="7466"/>
      <c r="K25" s="7466"/>
      <c r="L25" s="7466"/>
      <c r="M25" s="7466"/>
      <c r="N25" s="7466"/>
      <c r="O25" s="7466"/>
      <c r="P25" s="7466"/>
      <c r="Q25" s="7466"/>
      <c r="R25" s="7466"/>
      <c r="S25" s="7466"/>
      <c r="T25" s="7466"/>
      <c r="U25" s="7466"/>
      <c r="V25" s="7466"/>
      <c r="W25" s="7466"/>
      <c r="X25" s="7466"/>
      <c r="Y25" s="7466"/>
      <c r="Z25" s="7466"/>
      <c r="AA25" s="7466"/>
      <c r="AB25" s="7466"/>
      <c r="AC25" s="7466"/>
      <c r="AD25" s="7466"/>
      <c r="AE25" s="7466"/>
      <c r="AF25" s="7466"/>
      <c r="AG25" s="7466"/>
      <c r="AH25" s="7466"/>
      <c r="AI25" s="7466"/>
      <c r="AJ25" s="7466"/>
      <c r="AK25" s="7466"/>
      <c r="AL25" s="780"/>
    </row>
    <row customHeight="1" ht="22.5">
      <c r="D26" s="1951"/>
      <c r="E26" s="1977" t="s">
        <v>579</v>
      </c>
      <c r="F26" s="1210" t="s">
        <v>1851</v>
      </c>
      <c r="G26" s="1956" t="s">
        <v>1772</v>
      </c>
      <c r="H26" s="794"/>
      <c r="I26" s="794"/>
      <c r="J26" s="7466"/>
      <c r="K26" s="7466"/>
      <c r="L26" s="7466"/>
      <c r="M26" s="7466"/>
      <c r="N26" s="7466"/>
      <c r="O26" s="7466"/>
      <c r="P26" s="7466"/>
      <c r="Q26" s="7466"/>
      <c r="R26" s="7466"/>
      <c r="S26" s="7466"/>
      <c r="T26" s="7466"/>
      <c r="U26" s="7466"/>
      <c r="V26" s="7466"/>
      <c r="W26" s="7466"/>
      <c r="X26" s="7466"/>
      <c r="Y26" s="7466"/>
      <c r="Z26" s="7466"/>
      <c r="AA26" s="7466"/>
      <c r="AB26" s="7466"/>
      <c r="AC26" s="7466"/>
      <c r="AD26" s="7466"/>
      <c r="AE26" s="7466"/>
      <c r="AF26" s="7466"/>
      <c r="AG26" s="7466"/>
      <c r="AH26" s="7466"/>
      <c r="AI26" s="7466"/>
      <c r="AJ26" s="7466"/>
      <c r="AK26" s="7466"/>
      <c r="AL26" s="780"/>
    </row>
    <row customHeight="1" ht="18.75">
      <c r="D27" s="1951"/>
      <c r="E27" s="1988" t="s">
        <v>600</v>
      </c>
      <c r="F27" s="1963" t="s">
        <v>1852</v>
      </c>
      <c r="G27" s="1967" t="s">
        <v>1772</v>
      </c>
      <c r="H27" s="1989"/>
      <c r="I27" s="1989"/>
      <c r="J27" s="7773"/>
      <c r="K27" s="7773"/>
      <c r="L27" s="7773"/>
      <c r="M27" s="7773"/>
      <c r="N27" s="7773"/>
      <c r="O27" s="7773"/>
      <c r="P27" s="7773"/>
      <c r="Q27" s="7773"/>
      <c r="R27" s="7773"/>
      <c r="S27" s="7773"/>
      <c r="T27" s="7773"/>
      <c r="U27" s="7773"/>
      <c r="V27" s="7773"/>
      <c r="W27" s="7773"/>
      <c r="X27" s="7773"/>
      <c r="Y27" s="7773"/>
      <c r="Z27" s="7773"/>
      <c r="AA27" s="7773"/>
      <c r="AB27" s="7773"/>
      <c r="AC27" s="7773"/>
      <c r="AD27" s="7773"/>
      <c r="AE27" s="7773"/>
      <c r="AF27" s="7773"/>
      <c r="AG27" s="7773"/>
      <c r="AH27" s="7773"/>
      <c r="AI27" s="7773"/>
      <c r="AJ27" s="7773"/>
      <c r="AK27" s="7773"/>
      <c r="AL27" s="780"/>
    </row>
    <row customHeight="1" ht="18.75">
      <c r="D28" s="1951"/>
      <c r="E28" s="1988" t="s">
        <v>604</v>
      </c>
      <c r="F28" s="1963" t="s">
        <v>1853</v>
      </c>
      <c r="G28" s="1967" t="s">
        <v>1772</v>
      </c>
      <c r="H28" s="1989"/>
      <c r="I28" s="1989"/>
      <c r="J28" s="7773"/>
      <c r="K28" s="7773"/>
      <c r="L28" s="7773"/>
      <c r="M28" s="7773"/>
      <c r="N28" s="7773"/>
      <c r="O28" s="7773"/>
      <c r="P28" s="7773"/>
      <c r="Q28" s="7773"/>
      <c r="R28" s="7773"/>
      <c r="S28" s="7773"/>
      <c r="T28" s="7773"/>
      <c r="U28" s="7773"/>
      <c r="V28" s="7773"/>
      <c r="W28" s="7773"/>
      <c r="X28" s="7773"/>
      <c r="Y28" s="7773"/>
      <c r="Z28" s="7773"/>
      <c r="AA28" s="7773"/>
      <c r="AB28" s="7773"/>
      <c r="AC28" s="7773"/>
      <c r="AD28" s="7773"/>
      <c r="AE28" s="7773"/>
      <c r="AF28" s="7773"/>
      <c r="AG28" s="7773"/>
      <c r="AH28" s="7773"/>
      <c r="AI28" s="7773"/>
      <c r="AJ28" s="7773"/>
      <c r="AK28" s="7773"/>
      <c r="AL28" s="780"/>
    </row>
    <row customHeight="1" ht="18.75">
      <c r="D29" s="1951"/>
      <c r="E29" s="1988" t="s">
        <v>581</v>
      </c>
      <c r="F29" s="1210" t="s">
        <v>1854</v>
      </c>
      <c r="G29" s="1967" t="s">
        <v>1772</v>
      </c>
      <c r="H29" s="1989"/>
      <c r="I29" s="1989"/>
      <c r="J29" s="7773"/>
      <c r="K29" s="7773"/>
      <c r="L29" s="7773"/>
      <c r="M29" s="7773"/>
      <c r="N29" s="7773"/>
      <c r="O29" s="7773"/>
      <c r="P29" s="7773"/>
      <c r="Q29" s="7773"/>
      <c r="R29" s="7773"/>
      <c r="S29" s="7773"/>
      <c r="T29" s="7773"/>
      <c r="U29" s="7773"/>
      <c r="V29" s="7773"/>
      <c r="W29" s="7773"/>
      <c r="X29" s="7773"/>
      <c r="Y29" s="7773"/>
      <c r="Z29" s="7773"/>
      <c r="AA29" s="7773"/>
      <c r="AB29" s="7773"/>
      <c r="AC29" s="7773"/>
      <c r="AD29" s="7773"/>
      <c r="AE29" s="7773"/>
      <c r="AF29" s="7773"/>
      <c r="AG29" s="7773"/>
      <c r="AH29" s="7773"/>
      <c r="AI29" s="7773"/>
      <c r="AJ29" s="7773"/>
      <c r="AK29" s="7773"/>
      <c r="AL29" s="780"/>
    </row>
    <row customHeight="1" ht="18.75">
      <c r="D30" s="1951"/>
      <c r="E30" s="1988" t="s">
        <v>595</v>
      </c>
      <c r="F30" s="1210" t="s">
        <v>1855</v>
      </c>
      <c r="G30" s="1967" t="s">
        <v>1772</v>
      </c>
      <c r="H30" s="1989"/>
      <c r="I30" s="1989"/>
      <c r="J30" s="7773"/>
      <c r="K30" s="7773"/>
      <c r="L30" s="7773"/>
      <c r="M30" s="7773"/>
      <c r="N30" s="7773"/>
      <c r="O30" s="7773"/>
      <c r="P30" s="7773"/>
      <c r="Q30" s="7773"/>
      <c r="R30" s="7773"/>
      <c r="S30" s="7773"/>
      <c r="T30" s="7773"/>
      <c r="U30" s="7773"/>
      <c r="V30" s="7773"/>
      <c r="W30" s="7773"/>
      <c r="X30" s="7773"/>
      <c r="Y30" s="7773"/>
      <c r="Z30" s="7773"/>
      <c r="AA30" s="7773"/>
      <c r="AB30" s="7773"/>
      <c r="AC30" s="7773"/>
      <c r="AD30" s="7773"/>
      <c r="AE30" s="7773"/>
      <c r="AF30" s="7773"/>
      <c r="AG30" s="7773"/>
      <c r="AH30" s="7773"/>
      <c r="AI30" s="7773"/>
      <c r="AJ30" s="7773"/>
      <c r="AK30" s="7773"/>
      <c r="AL30" s="780"/>
    </row>
    <row customHeight="1" ht="18.75">
      <c r="D31" s="1951"/>
      <c r="E31" s="1988" t="s">
        <v>606</v>
      </c>
      <c r="F31" s="1210" t="s">
        <v>1856</v>
      </c>
      <c r="G31" s="1967" t="s">
        <v>1772</v>
      </c>
      <c r="H31" s="1989"/>
      <c r="I31" s="1989"/>
      <c r="J31" s="7773"/>
      <c r="K31" s="7773"/>
      <c r="L31" s="7773"/>
      <c r="M31" s="7773"/>
      <c r="N31" s="7773"/>
      <c r="O31" s="7773"/>
      <c r="P31" s="7773"/>
      <c r="Q31" s="7773"/>
      <c r="R31" s="7773"/>
      <c r="S31" s="7773"/>
      <c r="T31" s="7773"/>
      <c r="U31" s="7773"/>
      <c r="V31" s="7773"/>
      <c r="W31" s="7773"/>
      <c r="X31" s="7773"/>
      <c r="Y31" s="7773"/>
      <c r="Z31" s="7773"/>
      <c r="AA31" s="7773"/>
      <c r="AB31" s="7773"/>
      <c r="AC31" s="7773"/>
      <c r="AD31" s="7773"/>
      <c r="AE31" s="7773"/>
      <c r="AF31" s="7773"/>
      <c r="AG31" s="7773"/>
      <c r="AH31" s="7773"/>
      <c r="AI31" s="7773"/>
      <c r="AJ31" s="7773"/>
      <c r="AK31" s="7773"/>
      <c r="AL31" s="780"/>
    </row>
    <row s="11074" customFormat="1" customHeight="1" ht="22.5">
      <c r="A32" s="1243"/>
      <c r="C32" s="1949"/>
      <c r="D32" s="1951"/>
      <c r="E32" s="1988" t="s">
        <v>617</v>
      </c>
      <c r="F32" s="1210" t="s">
        <v>1857</v>
      </c>
      <c r="G32" s="1957" t="s">
        <v>1772</v>
      </c>
      <c r="H32" s="816">
        <f>SUM(H33:H34)</f>
        <v>0</v>
      </c>
      <c r="I32" s="816">
        <f>SUM(I33:I34)</f>
        <v>0</v>
      </c>
      <c r="J32" s="7528">
        <f>SUM(J33:J34)</f>
        <v>0</v>
      </c>
      <c r="K32" s="7528">
        <f>SUM(K33:K34)</f>
        <v>0</v>
      </c>
      <c r="L32" s="7528">
        <f>SUM(L33:L34)</f>
        <v>0</v>
      </c>
      <c r="M32" s="7528">
        <f>SUM(M33:M34)</f>
        <v>0</v>
      </c>
      <c r="N32" s="7528">
        <f>SUM(N33:N34)</f>
        <v>0</v>
      </c>
      <c r="O32" s="7528">
        <f>SUM(O33:O34)</f>
        <v>0</v>
      </c>
      <c r="P32" s="7528">
        <f>SUM(P33:P34)</f>
        <v>0</v>
      </c>
      <c r="Q32" s="7528">
        <f>SUM(Q33:Q34)</f>
        <v>0</v>
      </c>
      <c r="R32" s="7528">
        <f>SUM(R33:R34)</f>
        <v>0</v>
      </c>
      <c r="S32" s="7528">
        <f>SUM(S33:S34)</f>
        <v>0</v>
      </c>
      <c r="T32" s="7528">
        <f>SUM(T33:T34)</f>
        <v>0</v>
      </c>
      <c r="U32" s="7528">
        <f>SUM(U33:U34)</f>
        <v>0</v>
      </c>
      <c r="V32" s="7528">
        <f>SUM(V33:V34)</f>
        <v>0</v>
      </c>
      <c r="W32" s="7528">
        <f>SUM(W33:W34)</f>
        <v>0</v>
      </c>
      <c r="X32" s="7528">
        <f>SUM(X33:X34)</f>
        <v>0</v>
      </c>
      <c r="Y32" s="7528">
        <f>SUM(Y33:Y34)</f>
        <v>0</v>
      </c>
      <c r="Z32" s="7528">
        <f>SUM(Z33:Z34)</f>
        <v>0</v>
      </c>
      <c r="AA32" s="7528">
        <f>SUM(AA33:AA34)</f>
        <v>0</v>
      </c>
      <c r="AB32" s="7528">
        <f>SUM(AB33:AB34)</f>
        <v>0</v>
      </c>
      <c r="AC32" s="7528">
        <f>SUM(AC33:AC34)</f>
        <v>0</v>
      </c>
      <c r="AD32" s="7528">
        <f>SUM(AD33:AD34)</f>
        <v>0</v>
      </c>
      <c r="AE32" s="7528">
        <f>SUM(AE33:AE34)</f>
        <v>0</v>
      </c>
      <c r="AF32" s="7528">
        <f>SUM(AF33:AF34)</f>
        <v>0</v>
      </c>
      <c r="AG32" s="7528">
        <f>SUM(AG33:AG34)</f>
        <v>0</v>
      </c>
      <c r="AH32" s="7528">
        <f>SUM(AH33:AH34)</f>
        <v>0</v>
      </c>
      <c r="AI32" s="7528">
        <f>SUM(AI33:AI34)</f>
        <v>0</v>
      </c>
      <c r="AJ32" s="7528">
        <f>SUM(AJ33:AJ34)</f>
        <v>0</v>
      </c>
      <c r="AK32" s="7528">
        <f>SUM(AK33:AK34)</f>
        <v>0</v>
      </c>
      <c r="AL32" s="780"/>
      <c r="AM32" s="1949"/>
      <c r="AN32" s="1949"/>
      <c r="AS32" s="1949"/>
      <c r="AV32" s="781"/>
      <c r="BB32" s="1945"/>
      <c r="BC32" s="1945"/>
      <c r="BD32" s="1945"/>
      <c r="BE32" s="1945"/>
      <c r="BF32" s="1945"/>
    </row>
    <row s="10863" customFormat="1" customHeight="1" ht="0.75">
      <c r="A33" s="1428"/>
      <c r="D33" s="785"/>
      <c r="E33" s="1042" t="str">
        <f>E32&amp;".0"</f>
        <v>2.8.0</v>
      </c>
      <c r="F33" s="1247"/>
      <c r="G33" s="788"/>
      <c r="H33" s="1248"/>
      <c r="I33" s="1248"/>
      <c r="J33" s="7531"/>
      <c r="K33" s="7531"/>
      <c r="L33" s="7531"/>
      <c r="M33" s="7531"/>
      <c r="N33" s="7531"/>
      <c r="O33" s="7531"/>
      <c r="P33" s="7531"/>
      <c r="Q33" s="7531"/>
      <c r="R33" s="7531"/>
      <c r="S33" s="7531"/>
      <c r="T33" s="7531"/>
      <c r="U33" s="7531"/>
      <c r="V33" s="7531"/>
      <c r="W33" s="7531"/>
      <c r="X33" s="7531"/>
      <c r="Y33" s="7531"/>
      <c r="Z33" s="7531"/>
      <c r="AA33" s="7531"/>
      <c r="AB33" s="7531"/>
      <c r="AC33" s="7531"/>
      <c r="AD33" s="7531"/>
      <c r="AE33" s="7531"/>
      <c r="AF33" s="7531"/>
      <c r="AG33" s="7531"/>
      <c r="AH33" s="7531"/>
      <c r="AI33" s="7531"/>
      <c r="AJ33" s="7531"/>
      <c r="AK33" s="7531"/>
    </row>
    <row s="11074" customFormat="1" customHeight="1" ht="18.75">
      <c r="A34" s="1243"/>
      <c r="C34" s="1949"/>
      <c r="D34" s="1946"/>
      <c r="E34" s="807"/>
      <c r="F34" s="1979" t="s">
        <v>1785</v>
      </c>
      <c r="G34" s="809"/>
      <c r="H34" s="810"/>
      <c r="I34" s="810"/>
      <c r="J34" s="7775"/>
      <c r="K34" s="7776"/>
      <c r="L34" s="7777"/>
      <c r="M34" s="7778"/>
      <c r="N34" s="7779"/>
      <c r="O34" s="7780"/>
      <c r="P34" s="7781"/>
      <c r="Q34" s="7782"/>
      <c r="R34" s="7783"/>
      <c r="S34" s="7784"/>
      <c r="T34" s="7785"/>
      <c r="U34" s="7786"/>
      <c r="V34" s="7787"/>
      <c r="W34" s="7788"/>
      <c r="X34" s="7789"/>
      <c r="Y34" s="7790"/>
      <c r="Z34" s="7791"/>
      <c r="AA34" s="7792"/>
      <c r="AB34" s="7793"/>
      <c r="AC34" s="7794"/>
      <c r="AD34" s="7795"/>
      <c r="AE34" s="7796"/>
      <c r="AF34" s="7797"/>
      <c r="AG34" s="7798"/>
      <c r="AH34" s="7799"/>
      <c r="AI34" s="7800"/>
      <c r="AJ34" s="7801"/>
      <c r="AK34" s="7802"/>
      <c r="AL34" s="780"/>
      <c r="AM34" s="1949"/>
      <c r="AN34" s="1949"/>
      <c r="AS34" s="1949"/>
      <c r="AV34" s="781"/>
      <c r="BB34" s="1945"/>
      <c r="BC34" s="1945"/>
      <c r="BD34" s="1945"/>
      <c r="BE34" s="1945"/>
      <c r="BF34" s="1945"/>
    </row>
    <row customHeight="1" ht="56.25">
      <c r="D35" s="1951"/>
      <c r="E35" s="1988" t="s">
        <v>625</v>
      </c>
      <c r="F35" s="1210" t="s">
        <v>1858</v>
      </c>
      <c r="G35" s="1967" t="s">
        <v>1772</v>
      </c>
      <c r="H35" s="1989"/>
      <c r="I35" s="1989"/>
      <c r="J35" s="7773"/>
      <c r="K35" s="7773"/>
      <c r="L35" s="7773"/>
      <c r="M35" s="7773"/>
      <c r="N35" s="7773"/>
      <c r="O35" s="7773"/>
      <c r="P35" s="7773"/>
      <c r="Q35" s="7773"/>
      <c r="R35" s="7773"/>
      <c r="S35" s="7773"/>
      <c r="T35" s="7773"/>
      <c r="U35" s="7773"/>
      <c r="V35" s="7773"/>
      <c r="W35" s="7773"/>
      <c r="X35" s="7773"/>
      <c r="Y35" s="7773"/>
      <c r="Z35" s="7773"/>
      <c r="AA35" s="7773"/>
      <c r="AB35" s="7773"/>
      <c r="AC35" s="7773"/>
      <c r="AD35" s="7773"/>
      <c r="AE35" s="7773"/>
      <c r="AF35" s="7773"/>
      <c r="AG35" s="7773"/>
      <c r="AH35" s="7773"/>
      <c r="AI35" s="7773"/>
      <c r="AJ35" s="7773"/>
      <c r="AK35" s="7773"/>
      <c r="AL35" s="780"/>
    </row>
    <row s="11074" customFormat="1" customHeight="1" ht="22.5">
      <c r="A36" s="1245" t="s">
        <v>1786</v>
      </c>
      <c r="C36" s="1949"/>
      <c r="D36" s="1951"/>
      <c r="E36" s="1977" t="s">
        <v>90</v>
      </c>
      <c r="F36" s="944" t="s">
        <v>1859</v>
      </c>
      <c r="G36" s="1956" t="s">
        <v>1772</v>
      </c>
      <c r="H36" s="794"/>
      <c r="I36" s="794"/>
      <c r="J36" s="7466"/>
      <c r="K36" s="7466"/>
      <c r="L36" s="7466"/>
      <c r="M36" s="7466"/>
      <c r="N36" s="7466"/>
      <c r="O36" s="7466"/>
      <c r="P36" s="7466"/>
      <c r="Q36" s="7466"/>
      <c r="R36" s="7466"/>
      <c r="S36" s="7466"/>
      <c r="T36" s="7466"/>
      <c r="U36" s="7466"/>
      <c r="V36" s="7466"/>
      <c r="W36" s="7466"/>
      <c r="X36" s="7466"/>
      <c r="Y36" s="7466"/>
      <c r="Z36" s="7466"/>
      <c r="AA36" s="7466"/>
      <c r="AB36" s="7466"/>
      <c r="AC36" s="7466"/>
      <c r="AD36" s="7466"/>
      <c r="AE36" s="7466"/>
      <c r="AF36" s="7466"/>
      <c r="AG36" s="7466"/>
      <c r="AH36" s="7466"/>
      <c r="AI36" s="7466"/>
      <c r="AJ36" s="7466"/>
      <c r="AK36" s="7466"/>
      <c r="AL36" s="780"/>
      <c r="AM36" s="1949"/>
      <c r="AN36" s="1949"/>
      <c r="AS36" s="1949"/>
      <c r="AV36" s="781"/>
      <c r="BB36" s="1945"/>
      <c r="BC36" s="1945"/>
      <c r="BD36" s="1945"/>
      <c r="BE36" s="1945"/>
      <c r="BF36" s="1945"/>
    </row>
    <row s="11074" customFormat="1" customHeight="1" ht="22.5">
      <c r="A37" s="1245"/>
      <c r="C37" s="1949"/>
      <c r="D37" s="1951"/>
      <c r="E37" s="1977" t="s">
        <v>388</v>
      </c>
      <c r="F37" s="1210" t="s">
        <v>1860</v>
      </c>
      <c r="G37" s="1967"/>
      <c r="H37" s="794"/>
      <c r="I37" s="794"/>
      <c r="J37" s="7466"/>
      <c r="K37" s="7466"/>
      <c r="L37" s="7466"/>
      <c r="M37" s="7466"/>
      <c r="N37" s="7466"/>
      <c r="O37" s="7466"/>
      <c r="P37" s="7466"/>
      <c r="Q37" s="7466"/>
      <c r="R37" s="7466"/>
      <c r="S37" s="7466"/>
      <c r="T37" s="7466"/>
      <c r="U37" s="7466"/>
      <c r="V37" s="7466"/>
      <c r="W37" s="7466"/>
      <c r="X37" s="7466"/>
      <c r="Y37" s="7466"/>
      <c r="Z37" s="7466"/>
      <c r="AA37" s="7466"/>
      <c r="AB37" s="7466"/>
      <c r="AC37" s="7466"/>
      <c r="AD37" s="7466"/>
      <c r="AE37" s="7466"/>
      <c r="AF37" s="7466"/>
      <c r="AG37" s="7466"/>
      <c r="AH37" s="7466"/>
      <c r="AI37" s="7466"/>
      <c r="AJ37" s="7466"/>
      <c r="AK37" s="7466"/>
      <c r="AL37" s="780"/>
      <c r="AM37" s="1949"/>
      <c r="AN37" s="1949"/>
      <c r="AS37" s="1949"/>
      <c r="AV37" s="781"/>
      <c r="BB37" s="1945"/>
      <c r="BC37" s="1945"/>
      <c r="BD37" s="1945"/>
      <c r="BE37" s="1945"/>
      <c r="BF37" s="1945"/>
    </row>
    <row s="11074" customFormat="1" customHeight="1" ht="18.75">
      <c r="A38" s="1243"/>
      <c r="C38" s="1949"/>
      <c r="D38" s="812"/>
      <c r="E38" s="1977" t="s">
        <v>91</v>
      </c>
      <c r="F38" s="944" t="s">
        <v>680</v>
      </c>
      <c r="G38" s="1956" t="s">
        <v>1772</v>
      </c>
      <c r="H38" s="794"/>
      <c r="I38" s="794"/>
      <c r="J38" s="7466"/>
      <c r="K38" s="7466"/>
      <c r="L38" s="7466"/>
      <c r="M38" s="7466"/>
      <c r="N38" s="7466"/>
      <c r="O38" s="7466"/>
      <c r="P38" s="7466"/>
      <c r="Q38" s="7466"/>
      <c r="R38" s="7466"/>
      <c r="S38" s="7466"/>
      <c r="T38" s="7466"/>
      <c r="U38" s="7466"/>
      <c r="V38" s="7466"/>
      <c r="W38" s="7466"/>
      <c r="X38" s="7466"/>
      <c r="Y38" s="7466"/>
      <c r="Z38" s="7466"/>
      <c r="AA38" s="7466"/>
      <c r="AB38" s="7466"/>
      <c r="AC38" s="7466"/>
      <c r="AD38" s="7466"/>
      <c r="AE38" s="7466"/>
      <c r="AF38" s="7466"/>
      <c r="AG38" s="7466"/>
      <c r="AH38" s="7466"/>
      <c r="AI38" s="7466"/>
      <c r="AJ38" s="7466"/>
      <c r="AK38" s="7466"/>
      <c r="AL38" s="780"/>
      <c r="AM38" s="1949"/>
      <c r="AN38" s="1949"/>
      <c r="AS38" s="1949"/>
      <c r="AV38" s="781"/>
      <c r="BB38" s="1945"/>
      <c r="BC38" s="1945"/>
      <c r="BD38" s="1945"/>
      <c r="BE38" s="1945"/>
      <c r="BF38" s="1945"/>
    </row>
    <row s="11074" customFormat="1" customHeight="1" ht="22.5">
      <c r="A39" s="1243"/>
      <c r="C39" s="1949"/>
      <c r="D39" s="812"/>
      <c r="E39" s="1977" t="s">
        <v>678</v>
      </c>
      <c r="F39" s="1210" t="s">
        <v>1861</v>
      </c>
      <c r="G39" s="1967" t="s">
        <v>1772</v>
      </c>
      <c r="H39" s="794"/>
      <c r="I39" s="794"/>
      <c r="J39" s="7466"/>
      <c r="K39" s="7466"/>
      <c r="L39" s="7466"/>
      <c r="M39" s="7466"/>
      <c r="N39" s="7466"/>
      <c r="O39" s="7466"/>
      <c r="P39" s="7466"/>
      <c r="Q39" s="7466"/>
      <c r="R39" s="7466"/>
      <c r="S39" s="7466"/>
      <c r="T39" s="7466"/>
      <c r="U39" s="7466"/>
      <c r="V39" s="7466"/>
      <c r="W39" s="7466"/>
      <c r="X39" s="7466"/>
      <c r="Y39" s="7466"/>
      <c r="Z39" s="7466"/>
      <c r="AA39" s="7466"/>
      <c r="AB39" s="7466"/>
      <c r="AC39" s="7466"/>
      <c r="AD39" s="7466"/>
      <c r="AE39" s="7466"/>
      <c r="AF39" s="7466"/>
      <c r="AG39" s="7466"/>
      <c r="AH39" s="7466"/>
      <c r="AI39" s="7466"/>
      <c r="AJ39" s="7466"/>
      <c r="AK39" s="7466"/>
      <c r="AL39" s="780"/>
      <c r="AM39" s="1949"/>
      <c r="AN39" s="1949"/>
      <c r="AS39" s="1949"/>
      <c r="AV39" s="781"/>
      <c r="BB39" s="1945"/>
      <c r="BC39" s="1945"/>
      <c r="BD39" s="1945"/>
      <c r="BE39" s="1945"/>
      <c r="BF39" s="1945"/>
    </row>
    <row s="11074" customFormat="1" customHeight="1" ht="22.5">
      <c r="A40" s="1243"/>
      <c r="C40" s="1949"/>
      <c r="D40" s="1951"/>
      <c r="E40" s="1977" t="s">
        <v>687</v>
      </c>
      <c r="F40" s="1963" t="s">
        <v>1862</v>
      </c>
      <c r="G40" s="1956" t="s">
        <v>1772</v>
      </c>
      <c r="H40" s="794"/>
      <c r="I40" s="794"/>
      <c r="J40" s="7466"/>
      <c r="K40" s="7466"/>
      <c r="L40" s="7466"/>
      <c r="M40" s="7466"/>
      <c r="N40" s="7466"/>
      <c r="O40" s="7466"/>
      <c r="P40" s="7466"/>
      <c r="Q40" s="7466"/>
      <c r="R40" s="7466"/>
      <c r="S40" s="7466"/>
      <c r="T40" s="7466"/>
      <c r="U40" s="7466"/>
      <c r="V40" s="7466"/>
      <c r="W40" s="7466"/>
      <c r="X40" s="7466"/>
      <c r="Y40" s="7466"/>
      <c r="Z40" s="7466"/>
      <c r="AA40" s="7466"/>
      <c r="AB40" s="7466"/>
      <c r="AC40" s="7466"/>
      <c r="AD40" s="7466"/>
      <c r="AE40" s="7466"/>
      <c r="AF40" s="7466"/>
      <c r="AG40" s="7466"/>
      <c r="AH40" s="7466"/>
      <c r="AI40" s="7466"/>
      <c r="AJ40" s="7466"/>
      <c r="AK40" s="7466"/>
      <c r="AL40" s="780"/>
      <c r="AM40" s="1949"/>
      <c r="AN40" s="1949"/>
      <c r="AS40" s="1949"/>
      <c r="AV40" s="781"/>
      <c r="BB40" s="1945"/>
      <c r="BC40" s="1945"/>
      <c r="BD40" s="1945"/>
      <c r="BE40" s="1945"/>
      <c r="BF40" s="1945"/>
    </row>
    <row s="11074" customFormat="1" customHeight="1" ht="22.5">
      <c r="A41" s="1243"/>
      <c r="C41" s="1949"/>
      <c r="D41" s="1951"/>
      <c r="E41" s="1977" t="s">
        <v>693</v>
      </c>
      <c r="F41" s="1963" t="s">
        <v>1863</v>
      </c>
      <c r="G41" s="1956" t="s">
        <v>1772</v>
      </c>
      <c r="H41" s="794"/>
      <c r="I41" s="794"/>
      <c r="J41" s="7466"/>
      <c r="K41" s="7466"/>
      <c r="L41" s="7466"/>
      <c r="M41" s="7466"/>
      <c r="N41" s="7466"/>
      <c r="O41" s="7466"/>
      <c r="P41" s="7466"/>
      <c r="Q41" s="7466"/>
      <c r="R41" s="7466"/>
      <c r="S41" s="7466"/>
      <c r="T41" s="7466"/>
      <c r="U41" s="7466"/>
      <c r="V41" s="7466"/>
      <c r="W41" s="7466"/>
      <c r="X41" s="7466"/>
      <c r="Y41" s="7466"/>
      <c r="Z41" s="7466"/>
      <c r="AA41" s="7466"/>
      <c r="AB41" s="7466"/>
      <c r="AC41" s="7466"/>
      <c r="AD41" s="7466"/>
      <c r="AE41" s="7466"/>
      <c r="AF41" s="7466"/>
      <c r="AG41" s="7466"/>
      <c r="AH41" s="7466"/>
      <c r="AI41" s="7466"/>
      <c r="AJ41" s="7466"/>
      <c r="AK41" s="7466"/>
      <c r="AL41" s="780"/>
      <c r="AM41" s="1949"/>
      <c r="AN41" s="1949"/>
      <c r="AS41" s="1949"/>
      <c r="AV41" s="781"/>
      <c r="BB41" s="1945"/>
      <c r="BC41" s="1945"/>
      <c r="BD41" s="1945"/>
      <c r="BE41" s="1945"/>
      <c r="BF41" s="1945"/>
    </row>
    <row s="11074" customFormat="1" customHeight="1" ht="22.5">
      <c r="A42" s="1243"/>
      <c r="C42" s="1949"/>
      <c r="D42" s="1951"/>
      <c r="E42" s="1977" t="s">
        <v>1864</v>
      </c>
      <c r="F42" s="1963" t="s">
        <v>1865</v>
      </c>
      <c r="G42" s="1956" t="s">
        <v>1772</v>
      </c>
      <c r="H42" s="794"/>
      <c r="I42" s="794"/>
      <c r="J42" s="7466"/>
      <c r="K42" s="7466"/>
      <c r="L42" s="7466"/>
      <c r="M42" s="7466"/>
      <c r="N42" s="7466"/>
      <c r="O42" s="7466"/>
      <c r="P42" s="7466"/>
      <c r="Q42" s="7466"/>
      <c r="R42" s="7466"/>
      <c r="S42" s="7466"/>
      <c r="T42" s="7466"/>
      <c r="U42" s="7466"/>
      <c r="V42" s="7466"/>
      <c r="W42" s="7466"/>
      <c r="X42" s="7466"/>
      <c r="Y42" s="7466"/>
      <c r="Z42" s="7466"/>
      <c r="AA42" s="7466"/>
      <c r="AB42" s="7466"/>
      <c r="AC42" s="7466"/>
      <c r="AD42" s="7466"/>
      <c r="AE42" s="7466"/>
      <c r="AF42" s="7466"/>
      <c r="AG42" s="7466"/>
      <c r="AH42" s="7466"/>
      <c r="AI42" s="7466"/>
      <c r="AJ42" s="7466"/>
      <c r="AK42" s="7466"/>
      <c r="AL42" s="780"/>
      <c r="AM42" s="1949"/>
      <c r="AN42" s="1949"/>
      <c r="AS42" s="1949"/>
      <c r="AV42" s="781"/>
      <c r="BB42" s="1945"/>
      <c r="BC42" s="1945"/>
      <c r="BD42" s="1945"/>
      <c r="BE42" s="1945"/>
      <c r="BF42" s="1945"/>
    </row>
    <row s="11074" customFormat="1" customHeight="1" ht="33.75">
      <c r="A43" s="1243"/>
      <c r="C43" s="1949" t="s">
        <v>1793</v>
      </c>
      <c r="D43" s="1951"/>
      <c r="E43" s="1977" t="s">
        <v>111</v>
      </c>
      <c r="F43" s="944" t="s">
        <v>703</v>
      </c>
      <c r="G43" s="1959" t="s">
        <v>1866</v>
      </c>
      <c r="H43" s="636"/>
      <c r="I43" s="636"/>
      <c r="J43" s="7092"/>
      <c r="K43" s="7092"/>
      <c r="L43" s="7092"/>
      <c r="M43" s="7092"/>
      <c r="N43" s="7092"/>
      <c r="O43" s="7092"/>
      <c r="P43" s="7092"/>
      <c r="Q43" s="7092"/>
      <c r="R43" s="7092"/>
      <c r="S43" s="7092"/>
      <c r="T43" s="7092"/>
      <c r="U43" s="7092"/>
      <c r="V43" s="7092"/>
      <c r="W43" s="7092"/>
      <c r="X43" s="7092"/>
      <c r="Y43" s="7092"/>
      <c r="Z43" s="7092"/>
      <c r="AA43" s="7092"/>
      <c r="AB43" s="7092"/>
      <c r="AC43" s="7092"/>
      <c r="AD43" s="7092"/>
      <c r="AE43" s="7092"/>
      <c r="AF43" s="7092"/>
      <c r="AG43" s="7092"/>
      <c r="AH43" s="7092"/>
      <c r="AI43" s="7092"/>
      <c r="AJ43" s="7092"/>
      <c r="AK43" s="7092"/>
      <c r="AL43" s="780"/>
      <c r="AM43" s="1949"/>
      <c r="AN43" s="1949"/>
      <c r="AS43" s="1949"/>
      <c r="AV43" s="781"/>
      <c r="BB43" s="1945"/>
      <c r="BC43" s="1945"/>
      <c r="BD43" s="1945"/>
      <c r="BE43" s="1945"/>
      <c r="BF43" s="1945"/>
    </row>
    <row s="11074" customFormat="1" customHeight="1" ht="22.5">
      <c r="A44" s="1243"/>
      <c r="C44" s="1949"/>
      <c r="D44" s="1951"/>
      <c r="E44" s="1977" t="s">
        <v>92</v>
      </c>
      <c r="F44" s="944" t="s">
        <v>1867</v>
      </c>
      <c r="G44" s="1956" t="s">
        <v>1868</v>
      </c>
      <c r="H44" s="782"/>
      <c r="I44" s="782"/>
      <c r="J44" s="7450"/>
      <c r="K44" s="7450"/>
      <c r="L44" s="7450"/>
      <c r="M44" s="7450"/>
      <c r="N44" s="7450"/>
      <c r="O44" s="7450"/>
      <c r="P44" s="7450"/>
      <c r="Q44" s="7450"/>
      <c r="R44" s="7450"/>
      <c r="S44" s="7450"/>
      <c r="T44" s="7450"/>
      <c r="U44" s="7450"/>
      <c r="V44" s="7450"/>
      <c r="W44" s="7450"/>
      <c r="X44" s="7450"/>
      <c r="Y44" s="7450"/>
      <c r="Z44" s="7450"/>
      <c r="AA44" s="7450"/>
      <c r="AB44" s="7450"/>
      <c r="AC44" s="7450"/>
      <c r="AD44" s="7450"/>
      <c r="AE44" s="7450"/>
      <c r="AF44" s="7450"/>
      <c r="AG44" s="7450"/>
      <c r="AH44" s="7450"/>
      <c r="AI44" s="7450"/>
      <c r="AJ44" s="7450"/>
      <c r="AK44" s="7450"/>
      <c r="AL44" s="780"/>
      <c r="AM44" s="1949"/>
      <c r="AN44" s="1949"/>
      <c r="AS44" s="1949"/>
      <c r="AV44" s="781"/>
      <c r="BB44" s="1945"/>
      <c r="BC44" s="1945"/>
      <c r="BD44" s="1945"/>
      <c r="BE44" s="1945"/>
      <c r="BF44" s="1945"/>
    </row>
    <row s="11074" customFormat="1" customHeight="1" ht="22.5">
      <c r="A45" s="1243"/>
      <c r="C45" s="1949"/>
      <c r="D45" s="1951"/>
      <c r="E45" s="1977" t="s">
        <v>93</v>
      </c>
      <c r="F45" s="944" t="s">
        <v>1869</v>
      </c>
      <c r="G45" s="1967" t="s">
        <v>1870</v>
      </c>
      <c r="H45" s="782"/>
      <c r="I45" s="782"/>
      <c r="J45" s="7450"/>
      <c r="K45" s="7450"/>
      <c r="L45" s="7450"/>
      <c r="M45" s="7450"/>
      <c r="N45" s="7450"/>
      <c r="O45" s="7450"/>
      <c r="P45" s="7450"/>
      <c r="Q45" s="7450"/>
      <c r="R45" s="7450"/>
      <c r="S45" s="7450"/>
      <c r="T45" s="7450"/>
      <c r="U45" s="7450"/>
      <c r="V45" s="7450"/>
      <c r="W45" s="7450"/>
      <c r="X45" s="7450"/>
      <c r="Y45" s="7450"/>
      <c r="Z45" s="7450"/>
      <c r="AA45" s="7450"/>
      <c r="AB45" s="7450"/>
      <c r="AC45" s="7450"/>
      <c r="AD45" s="7450"/>
      <c r="AE45" s="7450"/>
      <c r="AF45" s="7450"/>
      <c r="AG45" s="7450"/>
      <c r="AH45" s="7450"/>
      <c r="AI45" s="7450"/>
      <c r="AJ45" s="7450"/>
      <c r="AK45" s="7450"/>
      <c r="AL45" s="780"/>
      <c r="AM45" s="1949"/>
      <c r="AN45" s="1949"/>
      <c r="AS45" s="1949"/>
      <c r="AV45" s="781"/>
      <c r="BB45" s="1945"/>
      <c r="BC45" s="1945"/>
      <c r="BD45" s="1945"/>
      <c r="BE45" s="1945"/>
      <c r="BF45" s="1945"/>
    </row>
    <row s="11074" customFormat="1" customHeight="1" ht="18.75">
      <c r="A46" s="1243"/>
      <c r="C46" s="1949"/>
      <c r="D46" s="1951"/>
      <c r="E46" s="1977" t="s">
        <v>112</v>
      </c>
      <c r="F46" s="944" t="s">
        <v>1871</v>
      </c>
      <c r="G46" s="1956" t="s">
        <v>1795</v>
      </c>
      <c r="H46" s="814"/>
      <c r="I46" s="814"/>
      <c r="J46" s="7518"/>
      <c r="K46" s="7518"/>
      <c r="L46" s="7518"/>
      <c r="M46" s="7518"/>
      <c r="N46" s="7518"/>
      <c r="O46" s="7518"/>
      <c r="P46" s="7518"/>
      <c r="Q46" s="7518"/>
      <c r="R46" s="7518"/>
      <c r="S46" s="7518"/>
      <c r="T46" s="7518"/>
      <c r="U46" s="7518"/>
      <c r="V46" s="7518"/>
      <c r="W46" s="7518"/>
      <c r="X46" s="7518"/>
      <c r="Y46" s="7518"/>
      <c r="Z46" s="7518"/>
      <c r="AA46" s="7518"/>
      <c r="AB46" s="7518"/>
      <c r="AC46" s="7518"/>
      <c r="AD46" s="7518"/>
      <c r="AE46" s="7518"/>
      <c r="AF46" s="7518"/>
      <c r="AG46" s="7518"/>
      <c r="AH46" s="7518"/>
      <c r="AI46" s="7518"/>
      <c r="AJ46" s="7518"/>
      <c r="AK46" s="7518"/>
      <c r="AL46" s="780"/>
      <c r="AM46" s="1949"/>
      <c r="AN46" s="1949"/>
      <c r="AS46" s="1949"/>
      <c r="AV46" s="781"/>
      <c r="BB46" s="1945"/>
      <c r="BC46" s="1945"/>
      <c r="BD46" s="1945"/>
      <c r="BE46" s="1945"/>
      <c r="BF46" s="1945"/>
    </row>
    <row customHeight="1" ht="11.25">
      <c r="D47" s="1951"/>
      <c r="J47" s="6985"/>
      <c r="K47" s="6985"/>
      <c r="L47" s="6985"/>
      <c r="M47" s="6985"/>
      <c r="N47" s="6985"/>
      <c r="O47" s="6985"/>
      <c r="P47" s="6985"/>
      <c r="Q47" s="6985"/>
      <c r="R47" s="6985"/>
      <c r="S47" s="6985"/>
      <c r="T47" s="6985"/>
      <c r="U47" s="6985"/>
      <c r="V47" s="6985"/>
      <c r="W47" s="6985"/>
      <c r="X47" s="6985"/>
      <c r="Y47" s="6985"/>
      <c r="Z47" s="6985"/>
      <c r="AA47" s="6985"/>
      <c r="AB47" s="6985"/>
      <c r="AC47" s="6985"/>
      <c r="AD47" s="6985"/>
      <c r="AE47" s="6985"/>
      <c r="AF47" s="6985"/>
      <c r="AG47" s="6985"/>
      <c r="AH47" s="6985"/>
      <c r="AI47" s="6985"/>
      <c r="AJ47" s="6985"/>
      <c r="AK47" s="6985"/>
    </row>
    <row customHeight="1" ht="26.25">
      <c r="D48" s="1951"/>
      <c r="E48" s="1533"/>
      <c r="F48" s="2452"/>
      <c r="G48" s="2452"/>
      <c r="H48" s="2452"/>
      <c r="I48" s="2452"/>
      <c r="J48" s="7803"/>
      <c r="K48" s="7803"/>
      <c r="L48" s="7803"/>
      <c r="M48" s="7803"/>
      <c r="N48" s="7803"/>
      <c r="O48" s="7803"/>
      <c r="P48" s="7803"/>
      <c r="Q48" s="7803"/>
      <c r="R48" s="7803"/>
      <c r="S48" s="7803"/>
      <c r="T48" s="7803"/>
      <c r="U48" s="7803"/>
      <c r="V48" s="7803"/>
      <c r="W48" s="7803"/>
      <c r="X48" s="7803"/>
      <c r="Y48" s="7803"/>
      <c r="Z48" s="7803"/>
      <c r="AA48" s="7803"/>
      <c r="AB48" s="7803"/>
      <c r="AC48" s="7803"/>
      <c r="AD48" s="7803"/>
      <c r="AE48" s="7803"/>
      <c r="AF48" s="7803"/>
      <c r="AG48" s="7803"/>
      <c r="AH48" s="7803"/>
      <c r="AI48" s="7803"/>
      <c r="AJ48" s="7803"/>
      <c r="AK48" s="7803"/>
    </row>
    <row s="10822" customFormat="1" customHeight="1" ht="37.5">
      <c r="A49" s="1243"/>
      <c r="B49" s="1949"/>
      <c r="C49" s="1949"/>
      <c r="D49" s="572"/>
      <c r="F49" s="2452"/>
      <c r="G49" s="2452"/>
      <c r="H49" s="2452"/>
      <c r="I49" s="2452"/>
      <c r="J49" s="7803"/>
      <c r="K49" s="7803"/>
      <c r="L49" s="7803"/>
      <c r="M49" s="7803"/>
      <c r="N49" s="7803"/>
      <c r="O49" s="7803"/>
      <c r="P49" s="7803"/>
      <c r="Q49" s="7803"/>
      <c r="R49" s="7803"/>
      <c r="S49" s="7803"/>
      <c r="T49" s="7803"/>
      <c r="U49" s="7803"/>
      <c r="V49" s="7803"/>
      <c r="W49" s="7803"/>
      <c r="X49" s="7803"/>
      <c r="Y49" s="7803"/>
      <c r="Z49" s="7803"/>
      <c r="AA49" s="7803"/>
      <c r="AB49" s="7803"/>
      <c r="AC49" s="7803"/>
      <c r="AD49" s="7803"/>
      <c r="AE49" s="7803"/>
      <c r="AF49" s="7803"/>
      <c r="AG49" s="7803"/>
      <c r="AH49" s="7803"/>
      <c r="AI49" s="7803"/>
      <c r="AJ49" s="7803"/>
      <c r="AK49" s="7803"/>
      <c r="AL49" s="1421"/>
      <c r="AM49" s="1949"/>
      <c r="AN49" s="1949"/>
      <c r="AO49" s="1421"/>
      <c r="AP49" s="1421"/>
      <c r="AQ49" s="1421"/>
      <c r="AR49" s="1421"/>
      <c r="AS49" s="1949"/>
      <c r="AT49" s="1421"/>
      <c r="AU49" s="1421"/>
      <c r="AV49" s="781"/>
      <c r="AW49" s="1421"/>
      <c r="AX49" s="1421"/>
      <c r="AY49" s="1421"/>
      <c r="AZ49" s="1421"/>
      <c r="BA49" s="1421"/>
      <c r="BB49" s="1945"/>
      <c r="BC49" s="803"/>
      <c r="BD49" s="803"/>
      <c r="BE49" s="803"/>
      <c r="BF49" s="803"/>
    </row>
    <row s="10822" customFormat="1" customHeight="1" ht="11.25">
      <c r="A50" s="1243"/>
      <c r="B50" s="1949"/>
      <c r="C50" s="1949"/>
      <c r="D50" s="572"/>
      <c r="J50" s="7715"/>
      <c r="K50" s="7715"/>
      <c r="L50" s="7715"/>
      <c r="M50" s="7715"/>
      <c r="N50" s="7715"/>
      <c r="O50" s="7715"/>
      <c r="P50" s="7715"/>
      <c r="Q50" s="7715"/>
      <c r="R50" s="7715"/>
      <c r="S50" s="7715"/>
      <c r="T50" s="7715"/>
      <c r="U50" s="7715"/>
      <c r="V50" s="7715"/>
      <c r="W50" s="7715"/>
      <c r="X50" s="7715"/>
      <c r="Y50" s="7715"/>
      <c r="Z50" s="7715"/>
      <c r="AA50" s="7715"/>
      <c r="AB50" s="7715"/>
      <c r="AC50" s="7715"/>
      <c r="AD50" s="7715"/>
      <c r="AE50" s="7715"/>
      <c r="AF50" s="7715"/>
      <c r="AG50" s="7715"/>
      <c r="AH50" s="7715"/>
      <c r="AI50" s="7715"/>
      <c r="AJ50" s="7715"/>
      <c r="AK50" s="7715"/>
      <c r="AL50" s="1421"/>
      <c r="AM50" s="1949"/>
      <c r="AN50" s="1949"/>
      <c r="AO50" s="1421"/>
      <c r="AP50" s="1421"/>
      <c r="AQ50" s="1421"/>
      <c r="AR50" s="1421"/>
      <c r="AS50" s="1949"/>
      <c r="AT50" s="1421"/>
      <c r="AU50" s="1421"/>
      <c r="AV50" s="781"/>
      <c r="AW50" s="1421"/>
      <c r="AX50" s="1421"/>
      <c r="AY50" s="1421"/>
      <c r="AZ50" s="1421"/>
      <c r="BA50" s="1421"/>
      <c r="BB50" s="1945"/>
      <c r="BC50" s="803"/>
      <c r="BD50" s="803"/>
      <c r="BE50" s="803"/>
      <c r="BF50" s="803"/>
    </row>
    <row s="10822" customFormat="1" customHeight="1" ht="11.25">
      <c r="A51" s="1243"/>
      <c r="B51" s="1949"/>
      <c r="C51" s="1949"/>
      <c r="D51" s="572"/>
      <c r="J51" s="7715"/>
      <c r="K51" s="7715"/>
      <c r="L51" s="7715"/>
      <c r="M51" s="7715"/>
      <c r="N51" s="7715"/>
      <c r="O51" s="7715"/>
      <c r="P51" s="7715"/>
      <c r="Q51" s="7715"/>
      <c r="R51" s="7715"/>
      <c r="S51" s="7715"/>
      <c r="T51" s="7715"/>
      <c r="U51" s="7715"/>
      <c r="V51" s="7715"/>
      <c r="W51" s="7715"/>
      <c r="X51" s="7715"/>
      <c r="Y51" s="7715"/>
      <c r="Z51" s="7715"/>
      <c r="AA51" s="7715"/>
      <c r="AB51" s="7715"/>
      <c r="AC51" s="7715"/>
      <c r="AD51" s="7715"/>
      <c r="AE51" s="7715"/>
      <c r="AF51" s="7715"/>
      <c r="AG51" s="7715"/>
      <c r="AH51" s="7715"/>
      <c r="AI51" s="7715"/>
      <c r="AJ51" s="7715"/>
      <c r="AK51" s="7715"/>
      <c r="AL51" s="1421"/>
      <c r="AM51" s="1949"/>
      <c r="AN51" s="1949"/>
      <c r="AO51" s="1421"/>
      <c r="AP51" s="1421"/>
      <c r="AQ51" s="1421"/>
      <c r="AR51" s="1421"/>
      <c r="AS51" s="1949"/>
      <c r="AT51" s="1421"/>
      <c r="AU51" s="1421"/>
      <c r="AV51" s="781"/>
      <c r="AW51" s="1421"/>
      <c r="AX51" s="1421"/>
      <c r="AY51" s="1421"/>
      <c r="AZ51" s="1421"/>
      <c r="BA51" s="1421"/>
      <c r="BB51" s="1945"/>
      <c r="BC51" s="803"/>
      <c r="BD51" s="803"/>
      <c r="BE51" s="803"/>
      <c r="BF51" s="803"/>
    </row>
    <row s="10822" customFormat="1" customHeight="1" ht="11.25">
      <c r="A52" s="1243"/>
      <c r="B52" s="1949"/>
      <c r="C52" s="1949"/>
      <c r="D52" s="572"/>
      <c r="H52" s="803"/>
      <c r="I52" s="803"/>
      <c r="J52" s="7716"/>
      <c r="K52" s="7716"/>
      <c r="L52" s="7716"/>
      <c r="M52" s="7716"/>
      <c r="N52" s="7716"/>
      <c r="O52" s="7716"/>
      <c r="P52" s="7716"/>
      <c r="Q52" s="7716"/>
      <c r="R52" s="7716"/>
      <c r="S52" s="7716"/>
      <c r="T52" s="7716"/>
      <c r="U52" s="7716"/>
      <c r="V52" s="7716"/>
      <c r="W52" s="7716"/>
      <c r="X52" s="7716"/>
      <c r="Y52" s="7716"/>
      <c r="Z52" s="7716"/>
      <c r="AA52" s="7716"/>
      <c r="AB52" s="7716"/>
      <c r="AC52" s="7716"/>
      <c r="AD52" s="7716"/>
      <c r="AE52" s="7716"/>
      <c r="AF52" s="7716"/>
      <c r="AG52" s="7716"/>
      <c r="AH52" s="7716"/>
      <c r="AI52" s="7716"/>
      <c r="AJ52" s="7716"/>
      <c r="AK52" s="7716"/>
      <c r="AL52" s="1421"/>
      <c r="AM52" s="1949"/>
      <c r="AN52" s="1949"/>
      <c r="AO52" s="1421"/>
      <c r="AP52" s="1421"/>
      <c r="AQ52" s="1421"/>
      <c r="AR52" s="1421"/>
      <c r="AS52" s="1949"/>
      <c r="AT52" s="1421"/>
      <c r="AU52" s="1421"/>
      <c r="AV52" s="781"/>
      <c r="AW52" s="1421"/>
      <c r="AX52" s="1421"/>
      <c r="AY52" s="1421"/>
      <c r="AZ52" s="1421"/>
      <c r="BA52" s="1421"/>
      <c r="BB52" s="1945"/>
      <c r="BC52" s="803"/>
      <c r="BD52" s="803"/>
      <c r="BE52" s="803"/>
      <c r="BF52" s="803"/>
    </row>
    <row s="10822" customFormat="1" customHeight="1" ht="11.25">
      <c r="A53" s="1243"/>
      <c r="B53" s="1949"/>
      <c r="C53" s="1949"/>
      <c r="D53" s="572"/>
      <c r="J53" s="7715"/>
      <c r="K53" s="7715"/>
      <c r="L53" s="7715"/>
      <c r="M53" s="7715"/>
      <c r="N53" s="7715"/>
      <c r="O53" s="7715"/>
      <c r="P53" s="7715"/>
      <c r="Q53" s="7715"/>
      <c r="R53" s="7715"/>
      <c r="S53" s="7715"/>
      <c r="T53" s="7715"/>
      <c r="U53" s="7715"/>
      <c r="V53" s="7715"/>
      <c r="W53" s="7715"/>
      <c r="X53" s="7715"/>
      <c r="Y53" s="7715"/>
      <c r="Z53" s="7715"/>
      <c r="AA53" s="7715"/>
      <c r="AB53" s="7715"/>
      <c r="AC53" s="7715"/>
      <c r="AD53" s="7715"/>
      <c r="AE53" s="7715"/>
      <c r="AF53" s="7715"/>
      <c r="AG53" s="7715"/>
      <c r="AH53" s="7715"/>
      <c r="AI53" s="7715"/>
      <c r="AJ53" s="7715"/>
      <c r="AK53" s="7715"/>
      <c r="AL53" s="1421"/>
      <c r="AM53" s="1949"/>
      <c r="AN53" s="1949"/>
      <c r="AO53" s="1421"/>
      <c r="AP53" s="1421"/>
      <c r="AQ53" s="1421"/>
      <c r="AR53" s="1421"/>
      <c r="AS53" s="1949"/>
      <c r="AT53" s="1421"/>
      <c r="AU53" s="1421"/>
      <c r="AV53" s="781"/>
      <c r="AW53" s="1421"/>
      <c r="AX53" s="1421"/>
      <c r="AY53" s="1421"/>
      <c r="AZ53" s="1421"/>
      <c r="BA53" s="1421"/>
      <c r="BB53" s="1945"/>
      <c r="BC53" s="803"/>
      <c r="BD53" s="803"/>
      <c r="BE53" s="803"/>
      <c r="BF53" s="803"/>
    </row>
    <row s="10822" customFormat="1" customHeight="1" ht="11.25">
      <c r="A54" s="1243"/>
      <c r="B54" s="1949"/>
      <c r="C54" s="1949"/>
      <c r="D54" s="572"/>
      <c r="J54" s="7715"/>
      <c r="K54" s="7715"/>
      <c r="L54" s="7715"/>
      <c r="M54" s="7715"/>
      <c r="N54" s="7715"/>
      <c r="O54" s="7715"/>
      <c r="P54" s="7715"/>
      <c r="Q54" s="7715"/>
      <c r="R54" s="7715"/>
      <c r="S54" s="7715"/>
      <c r="T54" s="7715"/>
      <c r="U54" s="7715"/>
      <c r="V54" s="7715"/>
      <c r="W54" s="7715"/>
      <c r="X54" s="7715"/>
      <c r="Y54" s="7715"/>
      <c r="Z54" s="7715"/>
      <c r="AA54" s="7715"/>
      <c r="AB54" s="7715"/>
      <c r="AC54" s="7715"/>
      <c r="AD54" s="7715"/>
      <c r="AE54" s="7715"/>
      <c r="AF54" s="7715"/>
      <c r="AG54" s="7715"/>
      <c r="AH54" s="7715"/>
      <c r="AI54" s="7715"/>
      <c r="AJ54" s="7715"/>
      <c r="AK54" s="7715"/>
      <c r="AL54" s="1421"/>
      <c r="AM54" s="1949"/>
      <c r="AN54" s="1949"/>
      <c r="AO54" s="1421"/>
      <c r="AP54" s="1421"/>
      <c r="AQ54" s="1421"/>
      <c r="AR54" s="1421"/>
      <c r="AS54" s="1949"/>
      <c r="AT54" s="1421"/>
      <c r="AU54" s="1421"/>
      <c r="AV54" s="781"/>
      <c r="AW54" s="1421"/>
      <c r="AX54" s="1421"/>
      <c r="AY54" s="1421"/>
      <c r="AZ54" s="1421"/>
      <c r="BA54" s="1421"/>
      <c r="BB54" s="1945"/>
      <c r="BC54" s="803"/>
      <c r="BD54" s="803"/>
      <c r="BE54" s="803"/>
      <c r="BF54" s="803"/>
    </row>
    <row s="10822" customFormat="1" customHeight="1" ht="11.25">
      <c r="A55" s="1243"/>
      <c r="B55" s="1949"/>
      <c r="C55" s="1949"/>
      <c r="D55" s="572"/>
      <c r="J55" s="7715"/>
      <c r="K55" s="7715"/>
      <c r="L55" s="7715"/>
      <c r="M55" s="7715"/>
      <c r="N55" s="7715"/>
      <c r="O55" s="7715"/>
      <c r="P55" s="7715"/>
      <c r="Q55" s="7715"/>
      <c r="R55" s="7715"/>
      <c r="S55" s="7715"/>
      <c r="T55" s="7715"/>
      <c r="U55" s="7715"/>
      <c r="V55" s="7715"/>
      <c r="W55" s="7715"/>
      <c r="X55" s="7715"/>
      <c r="Y55" s="7715"/>
      <c r="Z55" s="7715"/>
      <c r="AA55" s="7715"/>
      <c r="AB55" s="7715"/>
      <c r="AC55" s="7715"/>
      <c r="AD55" s="7715"/>
      <c r="AE55" s="7715"/>
      <c r="AF55" s="7715"/>
      <c r="AG55" s="7715"/>
      <c r="AH55" s="7715"/>
      <c r="AI55" s="7715"/>
      <c r="AJ55" s="7715"/>
      <c r="AK55" s="7715"/>
      <c r="AL55" s="1421"/>
      <c r="AM55" s="1949"/>
      <c r="AN55" s="1949"/>
      <c r="AO55" s="1421"/>
      <c r="AP55" s="1421"/>
      <c r="AQ55" s="1421"/>
      <c r="AR55" s="1421"/>
      <c r="AS55" s="1949"/>
      <c r="AT55" s="1421"/>
      <c r="AU55" s="1421"/>
      <c r="AV55" s="781"/>
      <c r="AW55" s="1421"/>
      <c r="AX55" s="1421"/>
      <c r="AY55" s="1421"/>
      <c r="AZ55" s="1421"/>
      <c r="BA55" s="1421"/>
      <c r="BB55" s="1945"/>
      <c r="BC55" s="803"/>
      <c r="BD55" s="803"/>
      <c r="BE55" s="803"/>
      <c r="BF55" s="803"/>
    </row>
    <row s="10822" customFormat="1" customHeight="1" ht="11.25">
      <c r="A56" s="1243"/>
      <c r="B56" s="1949"/>
      <c r="C56" s="1949"/>
      <c r="D56" s="572"/>
      <c r="J56" s="7715"/>
      <c r="K56" s="7715"/>
      <c r="L56" s="7715"/>
      <c r="M56" s="7715"/>
      <c r="N56" s="7715"/>
      <c r="O56" s="7715"/>
      <c r="P56" s="7715"/>
      <c r="Q56" s="7715"/>
      <c r="R56" s="7715"/>
      <c r="S56" s="7715"/>
      <c r="T56" s="7715"/>
      <c r="U56" s="7715"/>
      <c r="V56" s="7715"/>
      <c r="W56" s="7715"/>
      <c r="X56" s="7715"/>
      <c r="Y56" s="7715"/>
      <c r="Z56" s="7715"/>
      <c r="AA56" s="7715"/>
      <c r="AB56" s="7715"/>
      <c r="AC56" s="7715"/>
      <c r="AD56" s="7715"/>
      <c r="AE56" s="7715"/>
      <c r="AF56" s="7715"/>
      <c r="AG56" s="7715"/>
      <c r="AH56" s="7715"/>
      <c r="AI56" s="7715"/>
      <c r="AJ56" s="7715"/>
      <c r="AK56" s="7715"/>
      <c r="AL56" s="1421"/>
      <c r="AM56" s="1949"/>
      <c r="AN56" s="1949"/>
      <c r="AO56" s="1421"/>
      <c r="AP56" s="1421"/>
      <c r="AQ56" s="1421"/>
      <c r="AR56" s="1421"/>
      <c r="AS56" s="1949"/>
      <c r="AT56" s="1421"/>
      <c r="AU56" s="1421"/>
      <c r="AV56" s="781"/>
      <c r="AW56" s="1421"/>
      <c r="AX56" s="1421"/>
      <c r="AY56" s="1421"/>
      <c r="AZ56" s="1421"/>
      <c r="BA56" s="1421"/>
      <c r="BB56" s="1945"/>
      <c r="BC56" s="803"/>
      <c r="BD56" s="803"/>
      <c r="BE56" s="803"/>
      <c r="BF56" s="803"/>
    </row>
    <row s="10822" customFormat="1" customHeight="1" ht="11.25">
      <c r="A57" s="1243"/>
      <c r="B57" s="1949"/>
      <c r="C57" s="1949"/>
      <c r="D57" s="572"/>
      <c r="J57" s="7715"/>
      <c r="K57" s="7715"/>
      <c r="L57" s="7715"/>
      <c r="M57" s="7715"/>
      <c r="N57" s="7715"/>
      <c r="O57" s="7715"/>
      <c r="P57" s="7715"/>
      <c r="Q57" s="7715"/>
      <c r="R57" s="7715"/>
      <c r="S57" s="7715"/>
      <c r="T57" s="7715"/>
      <c r="U57" s="7715"/>
      <c r="V57" s="7715"/>
      <c r="W57" s="7715"/>
      <c r="X57" s="7715"/>
      <c r="Y57" s="7715"/>
      <c r="Z57" s="7715"/>
      <c r="AA57" s="7715"/>
      <c r="AB57" s="7715"/>
      <c r="AC57" s="7715"/>
      <c r="AD57" s="7715"/>
      <c r="AE57" s="7715"/>
      <c r="AF57" s="7715"/>
      <c r="AG57" s="7715"/>
      <c r="AH57" s="7715"/>
      <c r="AI57" s="7715"/>
      <c r="AJ57" s="7715"/>
      <c r="AK57" s="7715"/>
      <c r="AL57" s="1421"/>
      <c r="AM57" s="1949"/>
      <c r="AN57" s="1949"/>
      <c r="AO57" s="1421"/>
      <c r="AP57" s="1421"/>
      <c r="AQ57" s="1421"/>
      <c r="AR57" s="1421"/>
      <c r="AS57" s="1949"/>
      <c r="AT57" s="1421"/>
      <c r="AU57" s="1421"/>
      <c r="AV57" s="781"/>
      <c r="AW57" s="1421"/>
      <c r="AX57" s="1421"/>
      <c r="AY57" s="1421"/>
      <c r="AZ57" s="1421"/>
      <c r="BA57" s="1421"/>
      <c r="BB57" s="1945"/>
      <c r="BC57" s="803"/>
      <c r="BD57" s="803"/>
      <c r="BE57" s="803"/>
      <c r="BF57" s="803"/>
    </row>
    <row s="10822" customFormat="1" customHeight="1" ht="11.25">
      <c r="A58" s="1243"/>
      <c r="B58" s="1949"/>
      <c r="C58" s="1949"/>
      <c r="D58" s="572"/>
      <c r="J58" s="7715"/>
      <c r="K58" s="7715"/>
      <c r="L58" s="7715"/>
      <c r="M58" s="7715"/>
      <c r="N58" s="7715"/>
      <c r="O58" s="7715"/>
      <c r="P58" s="7715"/>
      <c r="Q58" s="7715"/>
      <c r="R58" s="7715"/>
      <c r="S58" s="7715"/>
      <c r="T58" s="7715"/>
      <c r="U58" s="7715"/>
      <c r="V58" s="7715"/>
      <c r="W58" s="7715"/>
      <c r="X58" s="7715"/>
      <c r="Y58" s="7715"/>
      <c r="Z58" s="7715"/>
      <c r="AA58" s="7715"/>
      <c r="AB58" s="7715"/>
      <c r="AC58" s="7715"/>
      <c r="AD58" s="7715"/>
      <c r="AE58" s="7715"/>
      <c r="AF58" s="7715"/>
      <c r="AG58" s="7715"/>
      <c r="AH58" s="7715"/>
      <c r="AI58" s="7715"/>
      <c r="AJ58" s="7715"/>
      <c r="AK58" s="7715"/>
      <c r="AL58" s="1421"/>
      <c r="AM58" s="1949"/>
      <c r="AN58" s="1949"/>
      <c r="AO58" s="1421"/>
      <c r="AP58" s="1421"/>
      <c r="AQ58" s="1421"/>
      <c r="AR58" s="1421"/>
      <c r="AS58" s="1949"/>
      <c r="AT58" s="1421"/>
      <c r="AU58" s="1421"/>
      <c r="AV58" s="781"/>
      <c r="AW58" s="1421"/>
      <c r="AX58" s="1421"/>
      <c r="AY58" s="1421"/>
      <c r="AZ58" s="1421"/>
      <c r="BA58" s="1421"/>
      <c r="BB58" s="1945"/>
      <c r="BC58" s="803"/>
      <c r="BD58" s="803"/>
      <c r="BE58" s="803"/>
      <c r="BF58" s="803"/>
    </row>
    <row s="10822" customFormat="1" customHeight="1" ht="11.25">
      <c r="A59" s="1243"/>
      <c r="B59" s="1949"/>
      <c r="C59" s="1949"/>
      <c r="D59" s="572"/>
      <c r="J59" s="7715"/>
      <c r="K59" s="7715"/>
      <c r="L59" s="7715"/>
      <c r="M59" s="7715"/>
      <c r="N59" s="7715"/>
      <c r="O59" s="7715"/>
      <c r="P59" s="7715"/>
      <c r="Q59" s="7715"/>
      <c r="R59" s="7715"/>
      <c r="S59" s="7715"/>
      <c r="T59" s="7715"/>
      <c r="U59" s="7715"/>
      <c r="V59" s="7715"/>
      <c r="W59" s="7715"/>
      <c r="X59" s="7715"/>
      <c r="Y59" s="7715"/>
      <c r="Z59" s="7715"/>
      <c r="AA59" s="7715"/>
      <c r="AB59" s="7715"/>
      <c r="AC59" s="7715"/>
      <c r="AD59" s="7715"/>
      <c r="AE59" s="7715"/>
      <c r="AF59" s="7715"/>
      <c r="AG59" s="7715"/>
      <c r="AH59" s="7715"/>
      <c r="AI59" s="7715"/>
      <c r="AJ59" s="7715"/>
      <c r="AK59" s="7715"/>
      <c r="AL59" s="1421"/>
      <c r="AM59" s="1949"/>
      <c r="AN59" s="1949"/>
      <c r="AO59" s="1421"/>
      <c r="AP59" s="1421"/>
      <c r="AQ59" s="1421"/>
      <c r="AR59" s="1421"/>
      <c r="AS59" s="1949"/>
      <c r="AT59" s="1421"/>
      <c r="AU59" s="1421"/>
      <c r="AV59" s="781"/>
      <c r="AW59" s="1421"/>
      <c r="AX59" s="1421"/>
      <c r="AY59" s="1421"/>
      <c r="AZ59" s="1421"/>
      <c r="BA59" s="1421"/>
      <c r="BB59" s="1945"/>
      <c r="BC59" s="803"/>
      <c r="BD59" s="803"/>
      <c r="BE59" s="803"/>
      <c r="BF59" s="803"/>
    </row>
    <row s="10822" customFormat="1" customHeight="1" ht="11.25">
      <c r="A60" s="1243"/>
      <c r="B60" s="1949"/>
      <c r="C60" s="1949"/>
      <c r="D60" s="572"/>
      <c r="J60" s="7715"/>
      <c r="K60" s="7715"/>
      <c r="L60" s="7715"/>
      <c r="M60" s="7715"/>
      <c r="N60" s="7715"/>
      <c r="O60" s="7715"/>
      <c r="P60" s="7715"/>
      <c r="Q60" s="7715"/>
      <c r="R60" s="7715"/>
      <c r="S60" s="7715"/>
      <c r="T60" s="7715"/>
      <c r="U60" s="7715"/>
      <c r="V60" s="7715"/>
      <c r="W60" s="7715"/>
      <c r="X60" s="7715"/>
      <c r="Y60" s="7715"/>
      <c r="Z60" s="7715"/>
      <c r="AA60" s="7715"/>
      <c r="AB60" s="7715"/>
      <c r="AC60" s="7715"/>
      <c r="AD60" s="7715"/>
      <c r="AE60" s="7715"/>
      <c r="AF60" s="7715"/>
      <c r="AG60" s="7715"/>
      <c r="AH60" s="7715"/>
      <c r="AI60" s="7715"/>
      <c r="AJ60" s="7715"/>
      <c r="AK60" s="7715"/>
      <c r="AL60" s="1421"/>
      <c r="AM60" s="1949"/>
      <c r="AN60" s="1949"/>
      <c r="AO60" s="1421"/>
      <c r="AP60" s="1421"/>
      <c r="AQ60" s="1421"/>
      <c r="AR60" s="1421"/>
      <c r="AS60" s="1949"/>
      <c r="AT60" s="1421"/>
      <c r="AU60" s="1421"/>
      <c r="AV60" s="781"/>
      <c r="AW60" s="1421"/>
      <c r="AX60" s="1421"/>
      <c r="AY60" s="1421"/>
      <c r="AZ60" s="1421"/>
      <c r="BA60" s="1421"/>
      <c r="BB60" s="1945"/>
      <c r="BC60" s="803"/>
      <c r="BD60" s="803"/>
      <c r="BE60" s="803"/>
      <c r="BF60" s="803"/>
    </row>
    <row s="10822" customFormat="1" customHeight="1" ht="11.25">
      <c r="A61" s="1243"/>
      <c r="B61" s="1949"/>
      <c r="C61" s="1949"/>
      <c r="D61" s="572"/>
      <c r="J61" s="7715"/>
      <c r="K61" s="7715"/>
      <c r="L61" s="7715"/>
      <c r="M61" s="7715"/>
      <c r="N61" s="7715"/>
      <c r="O61" s="7715"/>
      <c r="P61" s="7715"/>
      <c r="Q61" s="7715"/>
      <c r="R61" s="7715"/>
      <c r="S61" s="7715"/>
      <c r="T61" s="7715"/>
      <c r="U61" s="7715"/>
      <c r="V61" s="7715"/>
      <c r="W61" s="7715"/>
      <c r="X61" s="7715"/>
      <c r="Y61" s="7715"/>
      <c r="Z61" s="7715"/>
      <c r="AA61" s="7715"/>
      <c r="AB61" s="7715"/>
      <c r="AC61" s="7715"/>
      <c r="AD61" s="7715"/>
      <c r="AE61" s="7715"/>
      <c r="AF61" s="7715"/>
      <c r="AG61" s="7715"/>
      <c r="AH61" s="7715"/>
      <c r="AI61" s="7715"/>
      <c r="AJ61" s="7715"/>
      <c r="AK61" s="7715"/>
      <c r="AL61" s="1421"/>
      <c r="AM61" s="1949"/>
      <c r="AN61" s="1949"/>
      <c r="AO61" s="1421"/>
      <c r="AP61" s="1421"/>
      <c r="AQ61" s="1421"/>
      <c r="AR61" s="1421"/>
      <c r="AS61" s="1949"/>
      <c r="AT61" s="1421"/>
      <c r="AU61" s="1421"/>
      <c r="AV61" s="781"/>
      <c r="AW61" s="1421"/>
      <c r="AX61" s="1421"/>
      <c r="AY61" s="1421"/>
      <c r="AZ61" s="1421"/>
      <c r="BA61" s="1421"/>
      <c r="BB61" s="1945"/>
      <c r="BC61" s="803"/>
      <c r="BD61" s="803"/>
      <c r="BE61" s="803"/>
      <c r="BF61" s="803"/>
    </row>
    <row s="10822" customFormat="1" customHeight="1" ht="11.25">
      <c r="A62" s="1243"/>
      <c r="B62" s="1949"/>
      <c r="C62" s="1949"/>
      <c r="D62" s="572"/>
      <c r="J62" s="7715"/>
      <c r="K62" s="7715"/>
      <c r="L62" s="7715"/>
      <c r="M62" s="7715"/>
      <c r="N62" s="7715"/>
      <c r="O62" s="7715"/>
      <c r="P62" s="7715"/>
      <c r="Q62" s="7715"/>
      <c r="R62" s="7715"/>
      <c r="S62" s="7715"/>
      <c r="T62" s="7715"/>
      <c r="U62" s="7715"/>
      <c r="V62" s="7715"/>
      <c r="W62" s="7715"/>
      <c r="X62" s="7715"/>
      <c r="Y62" s="7715"/>
      <c r="Z62" s="7715"/>
      <c r="AA62" s="7715"/>
      <c r="AB62" s="7715"/>
      <c r="AC62" s="7715"/>
      <c r="AD62" s="7715"/>
      <c r="AE62" s="7715"/>
      <c r="AF62" s="7715"/>
      <c r="AG62" s="7715"/>
      <c r="AH62" s="7715"/>
      <c r="AI62" s="7715"/>
      <c r="AJ62" s="7715"/>
      <c r="AK62" s="7715"/>
      <c r="AL62" s="1421"/>
      <c r="AM62" s="1949"/>
      <c r="AN62" s="1949"/>
      <c r="AO62" s="1421"/>
      <c r="AP62" s="1421"/>
      <c r="AQ62" s="1421"/>
      <c r="AR62" s="1421"/>
      <c r="AS62" s="1949"/>
      <c r="AT62" s="1421"/>
      <c r="AU62" s="1421"/>
      <c r="AV62" s="781"/>
      <c r="AW62" s="1421"/>
      <c r="AX62" s="1421"/>
      <c r="AY62" s="1421"/>
      <c r="AZ62" s="1421"/>
      <c r="BA62" s="1421"/>
      <c r="BB62" s="1945"/>
      <c r="BC62" s="803"/>
      <c r="BD62" s="803"/>
      <c r="BE62" s="803"/>
      <c r="BF62" s="803"/>
    </row>
    <row s="10822" customFormat="1" customHeight="1" ht="11.25">
      <c r="A63" s="1243"/>
      <c r="B63" s="1949"/>
      <c r="C63" s="1949"/>
      <c r="D63" s="572"/>
      <c r="J63" s="7715"/>
      <c r="K63" s="7715"/>
      <c r="L63" s="7715"/>
      <c r="M63" s="7715"/>
      <c r="N63" s="7715"/>
      <c r="O63" s="7715"/>
      <c r="P63" s="7715"/>
      <c r="Q63" s="7715"/>
      <c r="R63" s="7715"/>
      <c r="S63" s="7715"/>
      <c r="T63" s="7715"/>
      <c r="U63" s="7715"/>
      <c r="V63" s="7715"/>
      <c r="W63" s="7715"/>
      <c r="X63" s="7715"/>
      <c r="Y63" s="7715"/>
      <c r="Z63" s="7715"/>
      <c r="AA63" s="7715"/>
      <c r="AB63" s="7715"/>
      <c r="AC63" s="7715"/>
      <c r="AD63" s="7715"/>
      <c r="AE63" s="7715"/>
      <c r="AF63" s="7715"/>
      <c r="AG63" s="7715"/>
      <c r="AH63" s="7715"/>
      <c r="AI63" s="7715"/>
      <c r="AJ63" s="7715"/>
      <c r="AK63" s="7715"/>
      <c r="AL63" s="1421"/>
      <c r="AM63" s="1949"/>
      <c r="AN63" s="1949"/>
      <c r="AO63" s="1421"/>
      <c r="AP63" s="1421"/>
      <c r="AQ63" s="1421"/>
      <c r="AR63" s="1421"/>
      <c r="AS63" s="1949"/>
      <c r="AT63" s="1421"/>
      <c r="AU63" s="1421"/>
      <c r="AV63" s="781"/>
      <c r="AW63" s="1421"/>
      <c r="AX63" s="1421"/>
      <c r="AY63" s="1421"/>
      <c r="AZ63" s="1421"/>
      <c r="BA63" s="1421"/>
      <c r="BB63" s="1945"/>
      <c r="BC63" s="803"/>
      <c r="BD63" s="803"/>
      <c r="BE63" s="803"/>
      <c r="BF63" s="803"/>
    </row>
    <row s="10822" customFormat="1" customHeight="1" ht="11.25">
      <c r="A64" s="1243"/>
      <c r="B64" s="1949"/>
      <c r="C64" s="1949"/>
      <c r="D64" s="572"/>
      <c r="J64" s="7715"/>
      <c r="K64" s="7715"/>
      <c r="L64" s="7715"/>
      <c r="M64" s="7715"/>
      <c r="N64" s="7715"/>
      <c r="O64" s="7715"/>
      <c r="P64" s="7715"/>
      <c r="Q64" s="7715"/>
      <c r="R64" s="7715"/>
      <c r="S64" s="7715"/>
      <c r="T64" s="7715"/>
      <c r="U64" s="7715"/>
      <c r="V64" s="7715"/>
      <c r="W64" s="7715"/>
      <c r="X64" s="7715"/>
      <c r="Y64" s="7715"/>
      <c r="Z64" s="7715"/>
      <c r="AA64" s="7715"/>
      <c r="AB64" s="7715"/>
      <c r="AC64" s="7715"/>
      <c r="AD64" s="7715"/>
      <c r="AE64" s="7715"/>
      <c r="AF64" s="7715"/>
      <c r="AG64" s="7715"/>
      <c r="AH64" s="7715"/>
      <c r="AI64" s="7715"/>
      <c r="AJ64" s="7715"/>
      <c r="AK64" s="7715"/>
      <c r="AL64" s="1421"/>
      <c r="AM64" s="1949"/>
      <c r="AN64" s="1949"/>
      <c r="AO64" s="1421"/>
      <c r="AP64" s="1421"/>
      <c r="AQ64" s="1421"/>
      <c r="AR64" s="1421"/>
      <c r="AS64" s="1949"/>
      <c r="AT64" s="1421"/>
      <c r="AU64" s="1421"/>
      <c r="AV64" s="781"/>
      <c r="AW64" s="1421"/>
      <c r="AX64" s="1421"/>
      <c r="AY64" s="1421"/>
      <c r="AZ64" s="1421"/>
      <c r="BA64" s="1421"/>
      <c r="BB64" s="1945"/>
      <c r="BC64" s="803"/>
      <c r="BD64" s="803"/>
      <c r="BE64" s="803"/>
      <c r="BF64" s="803"/>
    </row>
    <row s="10822" customFormat="1" customHeight="1" ht="11.25">
      <c r="A65" s="1243"/>
      <c r="B65" s="1949"/>
      <c r="C65" s="1949"/>
      <c r="D65" s="572"/>
      <c r="J65" s="7715"/>
      <c r="K65" s="7715"/>
      <c r="L65" s="7715"/>
      <c r="M65" s="7715"/>
      <c r="N65" s="7715"/>
      <c r="O65" s="7715"/>
      <c r="P65" s="7715"/>
      <c r="Q65" s="7715"/>
      <c r="R65" s="7715"/>
      <c r="S65" s="7715"/>
      <c r="T65" s="7715"/>
      <c r="U65" s="7715"/>
      <c r="V65" s="7715"/>
      <c r="W65" s="7715"/>
      <c r="X65" s="7715"/>
      <c r="Y65" s="7715"/>
      <c r="Z65" s="7715"/>
      <c r="AA65" s="7715"/>
      <c r="AB65" s="7715"/>
      <c r="AC65" s="7715"/>
      <c r="AD65" s="7715"/>
      <c r="AE65" s="7715"/>
      <c r="AF65" s="7715"/>
      <c r="AG65" s="7715"/>
      <c r="AH65" s="7715"/>
      <c r="AI65" s="7715"/>
      <c r="AJ65" s="7715"/>
      <c r="AK65" s="7715"/>
      <c r="AL65" s="1421"/>
      <c r="AM65" s="1949"/>
      <c r="AN65" s="1949"/>
      <c r="AO65" s="1421"/>
      <c r="AP65" s="1421"/>
      <c r="AQ65" s="1421"/>
      <c r="AR65" s="1421"/>
      <c r="AS65" s="1949"/>
      <c r="AT65" s="1421"/>
      <c r="AU65" s="1421"/>
      <c r="AV65" s="781"/>
      <c r="AW65" s="1421"/>
      <c r="AX65" s="1421"/>
      <c r="AY65" s="1421"/>
      <c r="AZ65" s="1421"/>
      <c r="BA65" s="1421"/>
      <c r="BB65" s="1945"/>
      <c r="BC65" s="803"/>
      <c r="BD65" s="803"/>
      <c r="BE65" s="803"/>
      <c r="BF65" s="803"/>
    </row>
    <row s="10822" customFormat="1" customHeight="1" ht="11.25">
      <c r="A66" s="1243"/>
      <c r="B66" s="1949"/>
      <c r="C66" s="1949"/>
      <c r="D66" s="572"/>
      <c r="J66" s="7715"/>
      <c r="K66" s="7715"/>
      <c r="L66" s="7715"/>
      <c r="M66" s="7715"/>
      <c r="N66" s="7715"/>
      <c r="O66" s="7715"/>
      <c r="P66" s="7715"/>
      <c r="Q66" s="7715"/>
      <c r="R66" s="7715"/>
      <c r="S66" s="7715"/>
      <c r="T66" s="7715"/>
      <c r="U66" s="7715"/>
      <c r="V66" s="7715"/>
      <c r="W66" s="7715"/>
      <c r="X66" s="7715"/>
      <c r="Y66" s="7715"/>
      <c r="Z66" s="7715"/>
      <c r="AA66" s="7715"/>
      <c r="AB66" s="7715"/>
      <c r="AC66" s="7715"/>
      <c r="AD66" s="7715"/>
      <c r="AE66" s="7715"/>
      <c r="AF66" s="7715"/>
      <c r="AG66" s="7715"/>
      <c r="AH66" s="7715"/>
      <c r="AI66" s="7715"/>
      <c r="AJ66" s="7715"/>
      <c r="AK66" s="7715"/>
      <c r="AL66" s="1421"/>
      <c r="AM66" s="1949"/>
      <c r="AN66" s="1949"/>
      <c r="AO66" s="1421"/>
      <c r="AP66" s="1421"/>
      <c r="AQ66" s="1421"/>
      <c r="AR66" s="1421"/>
      <c r="AS66" s="1949"/>
      <c r="AT66" s="1421"/>
      <c r="AU66" s="1421"/>
      <c r="AV66" s="781"/>
      <c r="AW66" s="1421"/>
      <c r="AX66" s="1421"/>
      <c r="AY66" s="1421"/>
      <c r="AZ66" s="1421"/>
      <c r="BA66" s="1421"/>
      <c r="BB66" s="1945"/>
      <c r="BC66" s="803"/>
      <c r="BD66" s="803"/>
      <c r="BE66" s="803"/>
      <c r="BF66" s="803"/>
    </row>
    <row s="10822" customFormat="1" customHeight="1" ht="11.25">
      <c r="A67" s="1243"/>
      <c r="B67" s="1949"/>
      <c r="C67" s="1949"/>
      <c r="D67" s="572"/>
      <c r="J67" s="7715"/>
      <c r="K67" s="7715"/>
      <c r="L67" s="7715"/>
      <c r="M67" s="7715"/>
      <c r="N67" s="7715"/>
      <c r="O67" s="7715"/>
      <c r="P67" s="7715"/>
      <c r="Q67" s="7715"/>
      <c r="R67" s="7715"/>
      <c r="S67" s="7715"/>
      <c r="T67" s="7715"/>
      <c r="U67" s="7715"/>
      <c r="V67" s="7715"/>
      <c r="W67" s="7715"/>
      <c r="X67" s="7715"/>
      <c r="Y67" s="7715"/>
      <c r="Z67" s="7715"/>
      <c r="AA67" s="7715"/>
      <c r="AB67" s="7715"/>
      <c r="AC67" s="7715"/>
      <c r="AD67" s="7715"/>
      <c r="AE67" s="7715"/>
      <c r="AF67" s="7715"/>
      <c r="AG67" s="7715"/>
      <c r="AH67" s="7715"/>
      <c r="AI67" s="7715"/>
      <c r="AJ67" s="7715"/>
      <c r="AK67" s="7715"/>
      <c r="AL67" s="1421"/>
      <c r="AM67" s="1949"/>
      <c r="AN67" s="1949"/>
      <c r="AO67" s="1421"/>
      <c r="AP67" s="1421"/>
      <c r="AQ67" s="1421"/>
      <c r="AR67" s="1421"/>
      <c r="AS67" s="1949"/>
      <c r="AT67" s="1421"/>
      <c r="AU67" s="1421"/>
      <c r="AV67" s="781"/>
      <c r="AW67" s="1421"/>
      <c r="AX67" s="1421"/>
      <c r="AY67" s="1421"/>
      <c r="AZ67" s="1421"/>
      <c r="BA67" s="1421"/>
      <c r="BB67" s="1945"/>
      <c r="BC67" s="803"/>
      <c r="BD67" s="803"/>
      <c r="BE67" s="803"/>
      <c r="BF67" s="803"/>
    </row>
    <row s="10822" customFormat="1" customHeight="1" ht="11.25">
      <c r="A68" s="1243"/>
      <c r="B68" s="1949"/>
      <c r="C68" s="1949"/>
      <c r="D68" s="572"/>
      <c r="J68" s="7715"/>
      <c r="K68" s="7715"/>
      <c r="L68" s="7715"/>
      <c r="M68" s="7715"/>
      <c r="N68" s="7715"/>
      <c r="O68" s="7715"/>
      <c r="P68" s="7715"/>
      <c r="Q68" s="7715"/>
      <c r="R68" s="7715"/>
      <c r="S68" s="7715"/>
      <c r="T68" s="7715"/>
      <c r="U68" s="7715"/>
      <c r="V68" s="7715"/>
      <c r="W68" s="7715"/>
      <c r="X68" s="7715"/>
      <c r="Y68" s="7715"/>
      <c r="Z68" s="7715"/>
      <c r="AA68" s="7715"/>
      <c r="AB68" s="7715"/>
      <c r="AC68" s="7715"/>
      <c r="AD68" s="7715"/>
      <c r="AE68" s="7715"/>
      <c r="AF68" s="7715"/>
      <c r="AG68" s="7715"/>
      <c r="AH68" s="7715"/>
      <c r="AI68" s="7715"/>
      <c r="AJ68" s="7715"/>
      <c r="AK68" s="7715"/>
      <c r="AL68" s="1421"/>
      <c r="AM68" s="1949"/>
      <c r="AN68" s="1949"/>
      <c r="AO68" s="1421"/>
      <c r="AP68" s="1421"/>
      <c r="AQ68" s="1421"/>
      <c r="AR68" s="1421"/>
      <c r="AS68" s="1949"/>
      <c r="AT68" s="1421"/>
      <c r="AU68" s="1421"/>
      <c r="AV68" s="781"/>
      <c r="AW68" s="1421"/>
      <c r="AX68" s="1421"/>
      <c r="AY68" s="1421"/>
      <c r="AZ68" s="1421"/>
      <c r="BA68" s="1421"/>
      <c r="BB68" s="1945"/>
      <c r="BC68" s="803"/>
      <c r="BD68" s="803"/>
      <c r="BE68" s="803"/>
      <c r="BF68" s="803"/>
    </row>
    <row s="10822" customFormat="1" customHeight="1" ht="11.25">
      <c r="A69" s="1243"/>
      <c r="B69" s="1949"/>
      <c r="C69" s="1949"/>
      <c r="D69" s="572"/>
      <c r="J69" s="7715"/>
      <c r="K69" s="7715"/>
      <c r="L69" s="7715"/>
      <c r="M69" s="7715"/>
      <c r="N69" s="7715"/>
      <c r="O69" s="7715"/>
      <c r="P69" s="7715"/>
      <c r="Q69" s="7715"/>
      <c r="R69" s="7715"/>
      <c r="S69" s="7715"/>
      <c r="T69" s="7715"/>
      <c r="U69" s="7715"/>
      <c r="V69" s="7715"/>
      <c r="W69" s="7715"/>
      <c r="X69" s="7715"/>
      <c r="Y69" s="7715"/>
      <c r="Z69" s="7715"/>
      <c r="AA69" s="7715"/>
      <c r="AB69" s="7715"/>
      <c r="AC69" s="7715"/>
      <c r="AD69" s="7715"/>
      <c r="AE69" s="7715"/>
      <c r="AF69" s="7715"/>
      <c r="AG69" s="7715"/>
      <c r="AH69" s="7715"/>
      <c r="AI69" s="7715"/>
      <c r="AJ69" s="7715"/>
      <c r="AK69" s="7715"/>
      <c r="AL69" s="1421"/>
      <c r="AM69" s="1949"/>
      <c r="AN69" s="1949"/>
      <c r="AO69" s="1421"/>
      <c r="AP69" s="1421"/>
      <c r="AQ69" s="1421"/>
      <c r="AR69" s="1421"/>
      <c r="AS69" s="1949"/>
      <c r="AT69" s="1421"/>
      <c r="AU69" s="1421"/>
      <c r="AV69" s="781"/>
      <c r="AW69" s="1421"/>
      <c r="AX69" s="1421"/>
      <c r="AY69" s="1421"/>
      <c r="AZ69" s="1421"/>
      <c r="BA69" s="1421"/>
      <c r="BB69" s="1945"/>
      <c r="BC69" s="803"/>
      <c r="BD69" s="803"/>
      <c r="BE69" s="803"/>
      <c r="BF69" s="803"/>
    </row>
    <row s="10822" customFormat="1" customHeight="1" ht="11.25">
      <c r="A70" s="1243"/>
      <c r="B70" s="1949"/>
      <c r="C70" s="1949"/>
      <c r="D70" s="572"/>
      <c r="J70" s="7715"/>
      <c r="K70" s="7715"/>
      <c r="L70" s="7715"/>
      <c r="M70" s="7715"/>
      <c r="N70" s="7715"/>
      <c r="O70" s="7715"/>
      <c r="P70" s="7715"/>
      <c r="Q70" s="7715"/>
      <c r="R70" s="7715"/>
      <c r="S70" s="7715"/>
      <c r="T70" s="7715"/>
      <c r="U70" s="7715"/>
      <c r="V70" s="7715"/>
      <c r="W70" s="7715"/>
      <c r="X70" s="7715"/>
      <c r="Y70" s="7715"/>
      <c r="Z70" s="7715"/>
      <c r="AA70" s="7715"/>
      <c r="AB70" s="7715"/>
      <c r="AC70" s="7715"/>
      <c r="AD70" s="7715"/>
      <c r="AE70" s="7715"/>
      <c r="AF70" s="7715"/>
      <c r="AG70" s="7715"/>
      <c r="AH70" s="7715"/>
      <c r="AI70" s="7715"/>
      <c r="AJ70" s="7715"/>
      <c r="AK70" s="7715"/>
      <c r="AL70" s="1421"/>
      <c r="AM70" s="1949"/>
      <c r="AN70" s="1949"/>
      <c r="AO70" s="1421"/>
      <c r="AP70" s="1421"/>
      <c r="AQ70" s="1421"/>
      <c r="AR70" s="1421"/>
      <c r="AS70" s="1949"/>
      <c r="AT70" s="1421"/>
      <c r="AU70" s="1421"/>
      <c r="AV70" s="781"/>
      <c r="AW70" s="1421"/>
      <c r="AX70" s="1421"/>
      <c r="AY70" s="1421"/>
      <c r="AZ70" s="1421"/>
      <c r="BA70" s="1421"/>
      <c r="BB70" s="1945"/>
      <c r="BC70" s="803"/>
      <c r="BD70" s="803"/>
      <c r="BE70" s="803"/>
      <c r="BF70" s="803"/>
    </row>
    <row s="10822" customFormat="1" customHeight="1" ht="11.25">
      <c r="A71" s="1243"/>
      <c r="B71" s="1949"/>
      <c r="C71" s="1949"/>
      <c r="D71" s="572"/>
      <c r="J71" s="7715"/>
      <c r="K71" s="7715"/>
      <c r="L71" s="7715"/>
      <c r="M71" s="7715"/>
      <c r="N71" s="7715"/>
      <c r="O71" s="7715"/>
      <c r="P71" s="7715"/>
      <c r="Q71" s="7715"/>
      <c r="R71" s="7715"/>
      <c r="S71" s="7715"/>
      <c r="T71" s="7715"/>
      <c r="U71" s="7715"/>
      <c r="V71" s="7715"/>
      <c r="W71" s="7715"/>
      <c r="X71" s="7715"/>
      <c r="Y71" s="7715"/>
      <c r="Z71" s="7715"/>
      <c r="AA71" s="7715"/>
      <c r="AB71" s="7715"/>
      <c r="AC71" s="7715"/>
      <c r="AD71" s="7715"/>
      <c r="AE71" s="7715"/>
      <c r="AF71" s="7715"/>
      <c r="AG71" s="7715"/>
      <c r="AH71" s="7715"/>
      <c r="AI71" s="7715"/>
      <c r="AJ71" s="7715"/>
      <c r="AK71" s="7715"/>
      <c r="AL71" s="1421"/>
      <c r="AM71" s="1949"/>
      <c r="AN71" s="1949"/>
      <c r="AO71" s="1421"/>
      <c r="AP71" s="1421"/>
      <c r="AQ71" s="1421"/>
      <c r="AR71" s="1421"/>
      <c r="AS71" s="1949"/>
      <c r="AT71" s="1421"/>
      <c r="AU71" s="1421"/>
      <c r="AV71" s="781"/>
      <c r="AW71" s="1421"/>
      <c r="AX71" s="1421"/>
      <c r="AY71" s="1421"/>
      <c r="AZ71" s="1421"/>
      <c r="BA71" s="1421"/>
      <c r="BB71" s="1945"/>
      <c r="BC71" s="803"/>
      <c r="BD71" s="803"/>
      <c r="BE71" s="803"/>
      <c r="BF71" s="803"/>
    </row>
    <row s="10822" customFormat="1" customHeight="1" ht="11.25">
      <c r="A72" s="1243"/>
      <c r="B72" s="1949"/>
      <c r="C72" s="1949"/>
      <c r="D72" s="572"/>
      <c r="J72" s="7715"/>
      <c r="K72" s="7715"/>
      <c r="L72" s="7715"/>
      <c r="M72" s="7715"/>
      <c r="N72" s="7715"/>
      <c r="O72" s="7715"/>
      <c r="P72" s="7715"/>
      <c r="Q72" s="7715"/>
      <c r="R72" s="7715"/>
      <c r="S72" s="7715"/>
      <c r="T72" s="7715"/>
      <c r="U72" s="7715"/>
      <c r="V72" s="7715"/>
      <c r="W72" s="7715"/>
      <c r="X72" s="7715"/>
      <c r="Y72" s="7715"/>
      <c r="Z72" s="7715"/>
      <c r="AA72" s="7715"/>
      <c r="AB72" s="7715"/>
      <c r="AC72" s="7715"/>
      <c r="AD72" s="7715"/>
      <c r="AE72" s="7715"/>
      <c r="AF72" s="7715"/>
      <c r="AG72" s="7715"/>
      <c r="AH72" s="7715"/>
      <c r="AI72" s="7715"/>
      <c r="AJ72" s="7715"/>
      <c r="AK72" s="7715"/>
      <c r="AL72" s="1421"/>
      <c r="AM72" s="1949"/>
      <c r="AN72" s="1949"/>
      <c r="AO72" s="1421"/>
      <c r="AP72" s="1421"/>
      <c r="AQ72" s="1421"/>
      <c r="AR72" s="1421"/>
      <c r="AS72" s="1949"/>
      <c r="AT72" s="1421"/>
      <c r="AU72" s="1421"/>
      <c r="AV72" s="781"/>
      <c r="AW72" s="1421"/>
      <c r="AX72" s="1421"/>
      <c r="AY72" s="1421"/>
      <c r="AZ72" s="1421"/>
      <c r="BA72" s="1421"/>
      <c r="BB72" s="1945"/>
      <c r="BC72" s="803"/>
      <c r="BD72" s="803"/>
      <c r="BE72" s="803"/>
      <c r="BF72" s="803"/>
    </row>
    <row s="10822" customFormat="1" customHeight="1" ht="11.25">
      <c r="A73" s="1243"/>
      <c r="B73" s="1949"/>
      <c r="C73" s="1949"/>
      <c r="D73" s="572"/>
      <c r="J73" s="7715"/>
      <c r="K73" s="7715"/>
      <c r="L73" s="7715"/>
      <c r="M73" s="7715"/>
      <c r="N73" s="7715"/>
      <c r="O73" s="7715"/>
      <c r="P73" s="7715"/>
      <c r="Q73" s="7715"/>
      <c r="R73" s="7715"/>
      <c r="S73" s="7715"/>
      <c r="T73" s="7715"/>
      <c r="U73" s="7715"/>
      <c r="V73" s="7715"/>
      <c r="W73" s="7715"/>
      <c r="X73" s="7715"/>
      <c r="Y73" s="7715"/>
      <c r="Z73" s="7715"/>
      <c r="AA73" s="7715"/>
      <c r="AB73" s="7715"/>
      <c r="AC73" s="7715"/>
      <c r="AD73" s="7715"/>
      <c r="AE73" s="7715"/>
      <c r="AF73" s="7715"/>
      <c r="AG73" s="7715"/>
      <c r="AH73" s="7715"/>
      <c r="AI73" s="7715"/>
      <c r="AJ73" s="7715"/>
      <c r="AK73" s="7715"/>
      <c r="AL73" s="1421"/>
      <c r="AM73" s="1949"/>
      <c r="AN73" s="1949"/>
      <c r="AO73" s="1421"/>
      <c r="AP73" s="1421"/>
      <c r="AQ73" s="1421"/>
      <c r="AR73" s="1421"/>
      <c r="AS73" s="1949"/>
      <c r="AT73" s="1421"/>
      <c r="AU73" s="1421"/>
      <c r="AV73" s="781"/>
      <c r="AW73" s="1421"/>
      <c r="AX73" s="1421"/>
      <c r="AY73" s="1421"/>
      <c r="AZ73" s="1421"/>
      <c r="BA73" s="1421"/>
      <c r="BB73" s="1945"/>
      <c r="BC73" s="803"/>
      <c r="BD73" s="803"/>
      <c r="BE73" s="803"/>
      <c r="BF73" s="803"/>
    </row>
    <row s="10822" customFormat="1" customHeight="1" ht="11.25">
      <c r="A74" s="1243"/>
      <c r="B74" s="1949"/>
      <c r="C74" s="1949"/>
      <c r="D74" s="572"/>
      <c r="J74" s="7715"/>
      <c r="K74" s="7715"/>
      <c r="L74" s="7715"/>
      <c r="M74" s="7715"/>
      <c r="N74" s="7715"/>
      <c r="O74" s="7715"/>
      <c r="P74" s="7715"/>
      <c r="Q74" s="7715"/>
      <c r="R74" s="7715"/>
      <c r="S74" s="7715"/>
      <c r="T74" s="7715"/>
      <c r="U74" s="7715"/>
      <c r="V74" s="7715"/>
      <c r="W74" s="7715"/>
      <c r="X74" s="7715"/>
      <c r="Y74" s="7715"/>
      <c r="Z74" s="7715"/>
      <c r="AA74" s="7715"/>
      <c r="AB74" s="7715"/>
      <c r="AC74" s="7715"/>
      <c r="AD74" s="7715"/>
      <c r="AE74" s="7715"/>
      <c r="AF74" s="7715"/>
      <c r="AG74" s="7715"/>
      <c r="AH74" s="7715"/>
      <c r="AI74" s="7715"/>
      <c r="AJ74" s="7715"/>
      <c r="AK74" s="7715"/>
      <c r="AL74" s="1421"/>
      <c r="AM74" s="1949"/>
      <c r="AN74" s="1949"/>
      <c r="AO74" s="1421"/>
      <c r="AP74" s="1421"/>
      <c r="AQ74" s="1421"/>
      <c r="AR74" s="1421"/>
      <c r="AS74" s="1949"/>
      <c r="AT74" s="1421"/>
      <c r="AU74" s="1421"/>
      <c r="AV74" s="781"/>
      <c r="AW74" s="1421"/>
      <c r="AX74" s="1421"/>
      <c r="AY74" s="1421"/>
      <c r="AZ74" s="1421"/>
      <c r="BA74" s="1421"/>
      <c r="BB74" s="1945"/>
      <c r="BC74" s="803"/>
      <c r="BD74" s="803"/>
      <c r="BE74" s="803"/>
      <c r="BF74" s="803"/>
    </row>
    <row s="10822" customFormat="1" customHeight="1" ht="11.25">
      <c r="A75" s="1243"/>
      <c r="B75" s="1949"/>
      <c r="C75" s="1949"/>
      <c r="D75" s="572"/>
      <c r="J75" s="7715"/>
      <c r="K75" s="7715"/>
      <c r="L75" s="7715"/>
      <c r="M75" s="7715"/>
      <c r="N75" s="7715"/>
      <c r="O75" s="7715"/>
      <c r="P75" s="7715"/>
      <c r="Q75" s="7715"/>
      <c r="R75" s="7715"/>
      <c r="S75" s="7715"/>
      <c r="T75" s="7715"/>
      <c r="U75" s="7715"/>
      <c r="V75" s="7715"/>
      <c r="W75" s="7715"/>
      <c r="X75" s="7715"/>
      <c r="Y75" s="7715"/>
      <c r="Z75" s="7715"/>
      <c r="AA75" s="7715"/>
      <c r="AB75" s="7715"/>
      <c r="AC75" s="7715"/>
      <c r="AD75" s="7715"/>
      <c r="AE75" s="7715"/>
      <c r="AF75" s="7715"/>
      <c r="AG75" s="7715"/>
      <c r="AH75" s="7715"/>
      <c r="AI75" s="7715"/>
      <c r="AJ75" s="7715"/>
      <c r="AK75" s="7715"/>
      <c r="AL75" s="1421"/>
      <c r="AM75" s="1949"/>
      <c r="AN75" s="1949"/>
      <c r="AO75" s="1421"/>
      <c r="AP75" s="1421"/>
      <c r="AQ75" s="1421"/>
      <c r="AR75" s="1421"/>
      <c r="AS75" s="1949"/>
      <c r="AT75" s="1421"/>
      <c r="AU75" s="1421"/>
      <c r="AV75" s="781"/>
      <c r="AW75" s="1421"/>
      <c r="AX75" s="1421"/>
      <c r="AY75" s="1421"/>
      <c r="AZ75" s="1421"/>
      <c r="BA75" s="1421"/>
      <c r="BB75" s="1945"/>
      <c r="BC75" s="803"/>
      <c r="BD75" s="803"/>
      <c r="BE75" s="803"/>
      <c r="BF75" s="803"/>
    </row>
    <row s="10822" customFormat="1" customHeight="1" ht="11.25">
      <c r="A76" s="1243"/>
      <c r="B76" s="1949"/>
      <c r="C76" s="1949"/>
      <c r="D76" s="572"/>
      <c r="J76" s="7715"/>
      <c r="K76" s="7715"/>
      <c r="L76" s="7715"/>
      <c r="M76" s="7715"/>
      <c r="N76" s="7715"/>
      <c r="O76" s="7715"/>
      <c r="P76" s="7715"/>
      <c r="Q76" s="7715"/>
      <c r="R76" s="7715"/>
      <c r="S76" s="7715"/>
      <c r="T76" s="7715"/>
      <c r="U76" s="7715"/>
      <c r="V76" s="7715"/>
      <c r="W76" s="7715"/>
      <c r="X76" s="7715"/>
      <c r="Y76" s="7715"/>
      <c r="Z76" s="7715"/>
      <c r="AA76" s="7715"/>
      <c r="AB76" s="7715"/>
      <c r="AC76" s="7715"/>
      <c r="AD76" s="7715"/>
      <c r="AE76" s="7715"/>
      <c r="AF76" s="7715"/>
      <c r="AG76" s="7715"/>
      <c r="AH76" s="7715"/>
      <c r="AI76" s="7715"/>
      <c r="AJ76" s="7715"/>
      <c r="AK76" s="7715"/>
      <c r="AL76" s="1421"/>
      <c r="AM76" s="1949"/>
      <c r="AN76" s="1949"/>
      <c r="AO76" s="1421"/>
      <c r="AP76" s="1421"/>
      <c r="AQ76" s="1421"/>
      <c r="AR76" s="1421"/>
      <c r="AS76" s="1949"/>
      <c r="AT76" s="1421"/>
      <c r="AU76" s="1421"/>
      <c r="AV76" s="781"/>
      <c r="AW76" s="1421"/>
      <c r="AX76" s="1421"/>
      <c r="AY76" s="1421"/>
      <c r="AZ76" s="1421"/>
      <c r="BA76" s="1421"/>
      <c r="BB76" s="1945"/>
      <c r="BC76" s="803"/>
      <c r="BD76" s="803"/>
      <c r="BE76" s="803"/>
      <c r="BF76" s="803"/>
    </row>
    <row s="10822" customFormat="1" customHeight="1" ht="11.25">
      <c r="A77" s="1243"/>
      <c r="B77" s="1949"/>
      <c r="C77" s="1949"/>
      <c r="D77" s="572"/>
      <c r="J77" s="7715"/>
      <c r="K77" s="7715"/>
      <c r="L77" s="7715"/>
      <c r="M77" s="7715"/>
      <c r="N77" s="7715"/>
      <c r="O77" s="7715"/>
      <c r="P77" s="7715"/>
      <c r="Q77" s="7715"/>
      <c r="R77" s="7715"/>
      <c r="S77" s="7715"/>
      <c r="T77" s="7715"/>
      <c r="U77" s="7715"/>
      <c r="V77" s="7715"/>
      <c r="W77" s="7715"/>
      <c r="X77" s="7715"/>
      <c r="Y77" s="7715"/>
      <c r="Z77" s="7715"/>
      <c r="AA77" s="7715"/>
      <c r="AB77" s="7715"/>
      <c r="AC77" s="7715"/>
      <c r="AD77" s="7715"/>
      <c r="AE77" s="7715"/>
      <c r="AF77" s="7715"/>
      <c r="AG77" s="7715"/>
      <c r="AH77" s="7715"/>
      <c r="AI77" s="7715"/>
      <c r="AJ77" s="7715"/>
      <c r="AK77" s="7715"/>
      <c r="AL77" s="1421"/>
      <c r="AM77" s="1949"/>
      <c r="AN77" s="1949"/>
      <c r="AO77" s="1421"/>
      <c r="AP77" s="1421"/>
      <c r="AQ77" s="1421"/>
      <c r="AR77" s="1421"/>
      <c r="AS77" s="1949"/>
      <c r="AT77" s="1421"/>
      <c r="AU77" s="1421"/>
      <c r="AV77" s="781"/>
      <c r="AW77" s="1421"/>
      <c r="AX77" s="1421"/>
      <c r="AY77" s="1421"/>
      <c r="AZ77" s="1421"/>
      <c r="BA77" s="1421"/>
      <c r="BB77" s="1945"/>
      <c r="BC77" s="803"/>
      <c r="BD77" s="803"/>
      <c r="BE77" s="803"/>
      <c r="BF77" s="803"/>
    </row>
    <row s="10822" customFormat="1" customHeight="1" ht="11.25">
      <c r="A78" s="1243"/>
      <c r="B78" s="1949"/>
      <c r="C78" s="1949"/>
      <c r="D78" s="572"/>
      <c r="J78" s="7715"/>
      <c r="K78" s="7715"/>
      <c r="L78" s="7715"/>
      <c r="M78" s="7715"/>
      <c r="N78" s="7715"/>
      <c r="O78" s="7715"/>
      <c r="P78" s="7715"/>
      <c r="Q78" s="7715"/>
      <c r="R78" s="7715"/>
      <c r="S78" s="7715"/>
      <c r="T78" s="7715"/>
      <c r="U78" s="7715"/>
      <c r="V78" s="7715"/>
      <c r="W78" s="7715"/>
      <c r="X78" s="7715"/>
      <c r="Y78" s="7715"/>
      <c r="Z78" s="7715"/>
      <c r="AA78" s="7715"/>
      <c r="AB78" s="7715"/>
      <c r="AC78" s="7715"/>
      <c r="AD78" s="7715"/>
      <c r="AE78" s="7715"/>
      <c r="AF78" s="7715"/>
      <c r="AG78" s="7715"/>
      <c r="AH78" s="7715"/>
      <c r="AI78" s="7715"/>
      <c r="AJ78" s="7715"/>
      <c r="AK78" s="7715"/>
      <c r="AL78" s="1421"/>
      <c r="AM78" s="1949"/>
      <c r="AN78" s="1949"/>
      <c r="AO78" s="1421"/>
      <c r="AP78" s="1421"/>
      <c r="AQ78" s="1421"/>
      <c r="AR78" s="1421"/>
      <c r="AS78" s="1949"/>
      <c r="AT78" s="1421"/>
      <c r="AU78" s="1421"/>
      <c r="AV78" s="781"/>
      <c r="AW78" s="1421"/>
      <c r="AX78" s="1421"/>
      <c r="AY78" s="1421"/>
      <c r="AZ78" s="1421"/>
      <c r="BA78" s="1421"/>
      <c r="BB78" s="1945"/>
      <c r="BC78" s="803"/>
      <c r="BD78" s="803"/>
      <c r="BE78" s="803"/>
      <c r="BF78" s="803"/>
    </row>
    <row s="10822" customFormat="1" customHeight="1" ht="11.25">
      <c r="A79" s="1243"/>
      <c r="B79" s="1949"/>
      <c r="C79" s="1949"/>
      <c r="D79" s="572"/>
      <c r="J79" s="7715"/>
      <c r="K79" s="7715"/>
      <c r="L79" s="7715"/>
      <c r="M79" s="7715"/>
      <c r="N79" s="7715"/>
      <c r="O79" s="7715"/>
      <c r="P79" s="7715"/>
      <c r="Q79" s="7715"/>
      <c r="R79" s="7715"/>
      <c r="S79" s="7715"/>
      <c r="T79" s="7715"/>
      <c r="U79" s="7715"/>
      <c r="V79" s="7715"/>
      <c r="W79" s="7715"/>
      <c r="X79" s="7715"/>
      <c r="Y79" s="7715"/>
      <c r="Z79" s="7715"/>
      <c r="AA79" s="7715"/>
      <c r="AB79" s="7715"/>
      <c r="AC79" s="7715"/>
      <c r="AD79" s="7715"/>
      <c r="AE79" s="7715"/>
      <c r="AF79" s="7715"/>
      <c r="AG79" s="7715"/>
      <c r="AH79" s="7715"/>
      <c r="AI79" s="7715"/>
      <c r="AJ79" s="7715"/>
      <c r="AK79" s="7715"/>
      <c r="AL79" s="1421"/>
      <c r="AM79" s="1949"/>
      <c r="AN79" s="1949"/>
      <c r="AO79" s="1421"/>
      <c r="AP79" s="1421"/>
      <c r="AQ79" s="1421"/>
      <c r="AR79" s="1421"/>
      <c r="AS79" s="1949"/>
      <c r="AT79" s="1421"/>
      <c r="AU79" s="1421"/>
      <c r="AV79" s="781"/>
      <c r="AW79" s="1421"/>
      <c r="AX79" s="1421"/>
      <c r="AY79" s="1421"/>
      <c r="AZ79" s="1421"/>
      <c r="BA79" s="1421"/>
      <c r="BB79" s="1945"/>
      <c r="BC79" s="803"/>
      <c r="BD79" s="803"/>
      <c r="BE79" s="803"/>
      <c r="BF79" s="803"/>
    </row>
    <row s="10822" customFormat="1" customHeight="1" ht="11.25">
      <c r="A80" s="1243"/>
      <c r="B80" s="1949"/>
      <c r="C80" s="1949"/>
      <c r="D80" s="572"/>
      <c r="J80" s="7715"/>
      <c r="K80" s="7715"/>
      <c r="L80" s="7715"/>
      <c r="M80" s="7715"/>
      <c r="N80" s="7715"/>
      <c r="O80" s="7715"/>
      <c r="P80" s="7715"/>
      <c r="Q80" s="7715"/>
      <c r="R80" s="7715"/>
      <c r="S80" s="7715"/>
      <c r="T80" s="7715"/>
      <c r="U80" s="7715"/>
      <c r="V80" s="7715"/>
      <c r="W80" s="7715"/>
      <c r="X80" s="7715"/>
      <c r="Y80" s="7715"/>
      <c r="Z80" s="7715"/>
      <c r="AA80" s="7715"/>
      <c r="AB80" s="7715"/>
      <c r="AC80" s="7715"/>
      <c r="AD80" s="7715"/>
      <c r="AE80" s="7715"/>
      <c r="AF80" s="7715"/>
      <c r="AG80" s="7715"/>
      <c r="AH80" s="7715"/>
      <c r="AI80" s="7715"/>
      <c r="AJ80" s="7715"/>
      <c r="AK80" s="7715"/>
      <c r="AL80" s="1421"/>
      <c r="AM80" s="1949"/>
      <c r="AN80" s="1949"/>
      <c r="AO80" s="1421"/>
      <c r="AP80" s="1421"/>
      <c r="AQ80" s="1421"/>
      <c r="AR80" s="1421"/>
      <c r="AS80" s="1949"/>
      <c r="AT80" s="1421"/>
      <c r="AU80" s="1421"/>
      <c r="AV80" s="781"/>
      <c r="AW80" s="1421"/>
      <c r="AX80" s="1421"/>
      <c r="AY80" s="1421"/>
      <c r="AZ80" s="1421"/>
      <c r="BA80" s="1421"/>
      <c r="BB80" s="1945"/>
      <c r="BC80" s="803"/>
      <c r="BD80" s="803"/>
      <c r="BE80" s="803"/>
      <c r="BF80" s="803"/>
    </row>
    <row s="10822" customFormat="1" customHeight="1" ht="11.25">
      <c r="A81" s="1243"/>
      <c r="B81" s="1949"/>
      <c r="C81" s="1949"/>
      <c r="D81" s="572"/>
      <c r="J81" s="7715"/>
      <c r="K81" s="7715"/>
      <c r="L81" s="7715"/>
      <c r="M81" s="7715"/>
      <c r="N81" s="7715"/>
      <c r="O81" s="7715"/>
      <c r="P81" s="7715"/>
      <c r="Q81" s="7715"/>
      <c r="R81" s="7715"/>
      <c r="S81" s="7715"/>
      <c r="T81" s="7715"/>
      <c r="U81" s="7715"/>
      <c r="V81" s="7715"/>
      <c r="W81" s="7715"/>
      <c r="X81" s="7715"/>
      <c r="Y81" s="7715"/>
      <c r="Z81" s="7715"/>
      <c r="AA81" s="7715"/>
      <c r="AB81" s="7715"/>
      <c r="AC81" s="7715"/>
      <c r="AD81" s="7715"/>
      <c r="AE81" s="7715"/>
      <c r="AF81" s="7715"/>
      <c r="AG81" s="7715"/>
      <c r="AH81" s="7715"/>
      <c r="AI81" s="7715"/>
      <c r="AJ81" s="7715"/>
      <c r="AK81" s="7715"/>
      <c r="AL81" s="1421"/>
      <c r="AM81" s="1949"/>
      <c r="AN81" s="1949"/>
      <c r="AO81" s="1421"/>
      <c r="AP81" s="1421"/>
      <c r="AQ81" s="1421"/>
      <c r="AR81" s="1421"/>
      <c r="AS81" s="1949"/>
      <c r="AT81" s="1421"/>
      <c r="AU81" s="1421"/>
      <c r="AV81" s="781"/>
      <c r="AW81" s="1421"/>
      <c r="AX81" s="1421"/>
      <c r="AY81" s="1421"/>
      <c r="AZ81" s="1421"/>
      <c r="BA81" s="1421"/>
      <c r="BB81" s="1945"/>
      <c r="BC81" s="803"/>
      <c r="BD81" s="803"/>
      <c r="BE81" s="803"/>
      <c r="BF81" s="803"/>
    </row>
    <row s="10822" customFormat="1" customHeight="1" ht="11.25">
      <c r="A82" s="1243"/>
      <c r="B82" s="1949"/>
      <c r="C82" s="1949"/>
      <c r="D82" s="572"/>
      <c r="J82" s="7715"/>
      <c r="K82" s="7715"/>
      <c r="L82" s="7715"/>
      <c r="M82" s="7715"/>
      <c r="N82" s="7715"/>
      <c r="O82" s="7715"/>
      <c r="P82" s="7715"/>
      <c r="Q82" s="7715"/>
      <c r="R82" s="7715"/>
      <c r="S82" s="7715"/>
      <c r="T82" s="7715"/>
      <c r="U82" s="7715"/>
      <c r="V82" s="7715"/>
      <c r="W82" s="7715"/>
      <c r="X82" s="7715"/>
      <c r="Y82" s="7715"/>
      <c r="Z82" s="7715"/>
      <c r="AA82" s="7715"/>
      <c r="AB82" s="7715"/>
      <c r="AC82" s="7715"/>
      <c r="AD82" s="7715"/>
      <c r="AE82" s="7715"/>
      <c r="AF82" s="7715"/>
      <c r="AG82" s="7715"/>
      <c r="AH82" s="7715"/>
      <c r="AI82" s="7715"/>
      <c r="AJ82" s="7715"/>
      <c r="AK82" s="7715"/>
      <c r="AL82" s="1421"/>
      <c r="AM82" s="1949"/>
      <c r="AN82" s="1949"/>
      <c r="AO82" s="1421"/>
      <c r="AP82" s="1421"/>
      <c r="AQ82" s="1421"/>
      <c r="AR82" s="1421"/>
      <c r="AS82" s="1949"/>
      <c r="AT82" s="1421"/>
      <c r="AU82" s="1421"/>
      <c r="AV82" s="781"/>
      <c r="AW82" s="1421"/>
      <c r="AX82" s="1421"/>
      <c r="AY82" s="1421"/>
      <c r="AZ82" s="1421"/>
      <c r="BA82" s="1421"/>
      <c r="BB82" s="1945"/>
      <c r="BC82" s="803"/>
      <c r="BD82" s="803"/>
      <c r="BE82" s="803"/>
      <c r="BF82" s="803"/>
    </row>
    <row s="10822" customFormat="1" customHeight="1" ht="11.25">
      <c r="A83" s="1243"/>
      <c r="B83" s="1949"/>
      <c r="C83" s="1949"/>
      <c r="D83" s="572"/>
      <c r="J83" s="7715"/>
      <c r="K83" s="7715"/>
      <c r="L83" s="7715"/>
      <c r="M83" s="7715"/>
      <c r="N83" s="7715"/>
      <c r="O83" s="7715"/>
      <c r="P83" s="7715"/>
      <c r="Q83" s="7715"/>
      <c r="R83" s="7715"/>
      <c r="S83" s="7715"/>
      <c r="T83" s="7715"/>
      <c r="U83" s="7715"/>
      <c r="V83" s="7715"/>
      <c r="W83" s="7715"/>
      <c r="X83" s="7715"/>
      <c r="Y83" s="7715"/>
      <c r="Z83" s="7715"/>
      <c r="AA83" s="7715"/>
      <c r="AB83" s="7715"/>
      <c r="AC83" s="7715"/>
      <c r="AD83" s="7715"/>
      <c r="AE83" s="7715"/>
      <c r="AF83" s="7715"/>
      <c r="AG83" s="7715"/>
      <c r="AH83" s="7715"/>
      <c r="AI83" s="7715"/>
      <c r="AJ83" s="7715"/>
      <c r="AK83" s="7715"/>
      <c r="AL83" s="1421"/>
      <c r="AM83" s="1949"/>
      <c r="AN83" s="1949"/>
      <c r="AO83" s="1421"/>
      <c r="AP83" s="1421"/>
      <c r="AQ83" s="1421"/>
      <c r="AR83" s="1421"/>
      <c r="AS83" s="1949"/>
      <c r="AT83" s="1421"/>
      <c r="AU83" s="1421"/>
      <c r="AV83" s="781"/>
      <c r="AW83" s="1421"/>
      <c r="AX83" s="1421"/>
      <c r="AY83" s="1421"/>
      <c r="AZ83" s="1421"/>
      <c r="BA83" s="1421"/>
      <c r="BB83" s="1945"/>
      <c r="BC83" s="803"/>
      <c r="BD83" s="803"/>
      <c r="BE83" s="803"/>
      <c r="BF83" s="803"/>
    </row>
    <row s="10822" customFormat="1" customHeight="1" ht="11.25">
      <c r="A84" s="1243"/>
      <c r="B84" s="1949"/>
      <c r="C84" s="1949"/>
      <c r="D84" s="572"/>
      <c r="J84" s="7715"/>
      <c r="K84" s="7715"/>
      <c r="L84" s="7715"/>
      <c r="M84" s="7715"/>
      <c r="N84" s="7715"/>
      <c r="O84" s="7715"/>
      <c r="P84" s="7715"/>
      <c r="Q84" s="7715"/>
      <c r="R84" s="7715"/>
      <c r="S84" s="7715"/>
      <c r="T84" s="7715"/>
      <c r="U84" s="7715"/>
      <c r="V84" s="7715"/>
      <c r="W84" s="7715"/>
      <c r="X84" s="7715"/>
      <c r="Y84" s="7715"/>
      <c r="Z84" s="7715"/>
      <c r="AA84" s="7715"/>
      <c r="AB84" s="7715"/>
      <c r="AC84" s="7715"/>
      <c r="AD84" s="7715"/>
      <c r="AE84" s="7715"/>
      <c r="AF84" s="7715"/>
      <c r="AG84" s="7715"/>
      <c r="AH84" s="7715"/>
      <c r="AI84" s="7715"/>
      <c r="AJ84" s="7715"/>
      <c r="AK84" s="7715"/>
      <c r="AL84" s="1421"/>
      <c r="AM84" s="1949"/>
      <c r="AN84" s="1949"/>
      <c r="AO84" s="1421"/>
      <c r="AP84" s="1421"/>
      <c r="AQ84" s="1421"/>
      <c r="AR84" s="1421"/>
      <c r="AS84" s="1949"/>
      <c r="AT84" s="1421"/>
      <c r="AU84" s="1421"/>
      <c r="AV84" s="781"/>
      <c r="AW84" s="1421"/>
      <c r="AX84" s="1421"/>
      <c r="AY84" s="1421"/>
      <c r="AZ84" s="1421"/>
      <c r="BA84" s="1421"/>
      <c r="BB84" s="1945"/>
      <c r="BC84" s="803"/>
      <c r="BD84" s="803"/>
      <c r="BE84" s="803"/>
      <c r="BF84" s="803"/>
    </row>
    <row s="10822" customFormat="1" customHeight="1" ht="11.25">
      <c r="A85" s="1243"/>
      <c r="B85" s="1949"/>
      <c r="C85" s="1949"/>
      <c r="D85" s="572"/>
      <c r="J85" s="7715"/>
      <c r="K85" s="7715"/>
      <c r="L85" s="7715"/>
      <c r="M85" s="7715"/>
      <c r="N85" s="7715"/>
      <c r="O85" s="7715"/>
      <c r="P85" s="7715"/>
      <c r="Q85" s="7715"/>
      <c r="R85" s="7715"/>
      <c r="S85" s="7715"/>
      <c r="T85" s="7715"/>
      <c r="U85" s="7715"/>
      <c r="V85" s="7715"/>
      <c r="W85" s="7715"/>
      <c r="X85" s="7715"/>
      <c r="Y85" s="7715"/>
      <c r="Z85" s="7715"/>
      <c r="AA85" s="7715"/>
      <c r="AB85" s="7715"/>
      <c r="AC85" s="7715"/>
      <c r="AD85" s="7715"/>
      <c r="AE85" s="7715"/>
      <c r="AF85" s="7715"/>
      <c r="AG85" s="7715"/>
      <c r="AH85" s="7715"/>
      <c r="AI85" s="7715"/>
      <c r="AJ85" s="7715"/>
      <c r="AK85" s="7715"/>
      <c r="AL85" s="1421"/>
      <c r="AM85" s="1949"/>
      <c r="AN85" s="1949"/>
      <c r="AO85" s="1421"/>
      <c r="AP85" s="1421"/>
      <c r="AQ85" s="1421"/>
      <c r="AR85" s="1421"/>
      <c r="AS85" s="1949"/>
      <c r="AT85" s="1421"/>
      <c r="AU85" s="1421"/>
      <c r="AV85" s="781"/>
      <c r="AW85" s="1421"/>
      <c r="AX85" s="1421"/>
      <c r="AY85" s="1421"/>
      <c r="AZ85" s="1421"/>
      <c r="BA85" s="1421"/>
      <c r="BB85" s="1945"/>
      <c r="BC85" s="803"/>
      <c r="BD85" s="803"/>
      <c r="BE85" s="803"/>
      <c r="BF85" s="803"/>
    </row>
    <row s="10822" customFormat="1" customHeight="1" ht="11.25">
      <c r="A86" s="1243"/>
      <c r="B86" s="1949"/>
      <c r="C86" s="1949"/>
      <c r="D86" s="572"/>
      <c r="J86" s="7715"/>
      <c r="K86" s="7715"/>
      <c r="L86" s="7715"/>
      <c r="M86" s="7715"/>
      <c r="N86" s="7715"/>
      <c r="O86" s="7715"/>
      <c r="P86" s="7715"/>
      <c r="Q86" s="7715"/>
      <c r="R86" s="7715"/>
      <c r="S86" s="7715"/>
      <c r="T86" s="7715"/>
      <c r="U86" s="7715"/>
      <c r="V86" s="7715"/>
      <c r="W86" s="7715"/>
      <c r="X86" s="7715"/>
      <c r="Y86" s="7715"/>
      <c r="Z86" s="7715"/>
      <c r="AA86" s="7715"/>
      <c r="AB86" s="7715"/>
      <c r="AC86" s="7715"/>
      <c r="AD86" s="7715"/>
      <c r="AE86" s="7715"/>
      <c r="AF86" s="7715"/>
      <c r="AG86" s="7715"/>
      <c r="AH86" s="7715"/>
      <c r="AI86" s="7715"/>
      <c r="AJ86" s="7715"/>
      <c r="AK86" s="7715"/>
      <c r="AL86" s="1421"/>
      <c r="AM86" s="1949"/>
      <c r="AN86" s="1949"/>
      <c r="AO86" s="1421"/>
      <c r="AP86" s="1421"/>
      <c r="AQ86" s="1421"/>
      <c r="AR86" s="1421"/>
      <c r="AS86" s="1949"/>
      <c r="AT86" s="1421"/>
      <c r="AU86" s="1421"/>
      <c r="AV86" s="781"/>
      <c r="AW86" s="1421"/>
      <c r="AX86" s="1421"/>
      <c r="AY86" s="1421"/>
      <c r="AZ86" s="1421"/>
      <c r="BA86" s="1421"/>
      <c r="BB86" s="1945"/>
      <c r="BC86" s="803"/>
      <c r="BD86" s="803"/>
      <c r="BE86" s="803"/>
      <c r="BF86" s="803"/>
    </row>
    <row s="10822" customFormat="1" customHeight="1" ht="11.25">
      <c r="A87" s="1243"/>
      <c r="B87" s="1949"/>
      <c r="C87" s="1949"/>
      <c r="D87" s="572"/>
      <c r="J87" s="7715"/>
      <c r="K87" s="7715"/>
      <c r="L87" s="7715"/>
      <c r="M87" s="7715"/>
      <c r="N87" s="7715"/>
      <c r="O87" s="7715"/>
      <c r="P87" s="7715"/>
      <c r="Q87" s="7715"/>
      <c r="R87" s="7715"/>
      <c r="S87" s="7715"/>
      <c r="T87" s="7715"/>
      <c r="U87" s="7715"/>
      <c r="V87" s="7715"/>
      <c r="W87" s="7715"/>
      <c r="X87" s="7715"/>
      <c r="Y87" s="7715"/>
      <c r="Z87" s="7715"/>
      <c r="AA87" s="7715"/>
      <c r="AB87" s="7715"/>
      <c r="AC87" s="7715"/>
      <c r="AD87" s="7715"/>
      <c r="AE87" s="7715"/>
      <c r="AF87" s="7715"/>
      <c r="AG87" s="7715"/>
      <c r="AH87" s="7715"/>
      <c r="AI87" s="7715"/>
      <c r="AJ87" s="7715"/>
      <c r="AK87" s="7715"/>
      <c r="AL87" s="1421"/>
      <c r="AM87" s="1949"/>
      <c r="AN87" s="1949"/>
      <c r="AO87" s="1421"/>
      <c r="AP87" s="1421"/>
      <c r="AQ87" s="1421"/>
      <c r="AR87" s="1421"/>
      <c r="AS87" s="1949"/>
      <c r="AT87" s="1421"/>
      <c r="AU87" s="1421"/>
      <c r="AV87" s="781"/>
      <c r="AW87" s="1421"/>
      <c r="AX87" s="1421"/>
      <c r="AY87" s="1421"/>
      <c r="AZ87" s="1421"/>
      <c r="BA87" s="1421"/>
      <c r="BB87" s="1945"/>
      <c r="BC87" s="803"/>
      <c r="BD87" s="803"/>
      <c r="BE87" s="803"/>
      <c r="BF87" s="803"/>
    </row>
    <row s="10822" customFormat="1" customHeight="1" ht="11.25">
      <c r="A88" s="1243"/>
      <c r="B88" s="1949"/>
      <c r="C88" s="1949"/>
      <c r="D88" s="572"/>
      <c r="J88" s="7715"/>
      <c r="K88" s="7715"/>
      <c r="L88" s="7715"/>
      <c r="M88" s="7715"/>
      <c r="N88" s="7715"/>
      <c r="O88" s="7715"/>
      <c r="P88" s="7715"/>
      <c r="Q88" s="7715"/>
      <c r="R88" s="7715"/>
      <c r="S88" s="7715"/>
      <c r="T88" s="7715"/>
      <c r="U88" s="7715"/>
      <c r="V88" s="7715"/>
      <c r="W88" s="7715"/>
      <c r="X88" s="7715"/>
      <c r="Y88" s="7715"/>
      <c r="Z88" s="7715"/>
      <c r="AA88" s="7715"/>
      <c r="AB88" s="7715"/>
      <c r="AC88" s="7715"/>
      <c r="AD88" s="7715"/>
      <c r="AE88" s="7715"/>
      <c r="AF88" s="7715"/>
      <c r="AG88" s="7715"/>
      <c r="AH88" s="7715"/>
      <c r="AI88" s="7715"/>
      <c r="AJ88" s="7715"/>
      <c r="AK88" s="7715"/>
      <c r="AL88" s="1421"/>
      <c r="AM88" s="1949"/>
      <c r="AN88" s="1949"/>
      <c r="AO88" s="1421"/>
      <c r="AP88" s="1421"/>
      <c r="AQ88" s="1421"/>
      <c r="AR88" s="1421"/>
      <c r="AS88" s="1949"/>
      <c r="AT88" s="1421"/>
      <c r="AU88" s="1421"/>
      <c r="AV88" s="781"/>
      <c r="AW88" s="1421"/>
      <c r="AX88" s="1421"/>
      <c r="AY88" s="1421"/>
      <c r="AZ88" s="1421"/>
      <c r="BA88" s="1421"/>
      <c r="BB88" s="1945"/>
      <c r="BC88" s="803"/>
      <c r="BD88" s="803"/>
      <c r="BE88" s="803"/>
      <c r="BF88" s="803"/>
    </row>
    <row s="10822" customFormat="1" customHeight="1" ht="11.25">
      <c r="A89" s="1243"/>
      <c r="B89" s="1949"/>
      <c r="C89" s="1949"/>
      <c r="D89" s="572"/>
      <c r="J89" s="7715"/>
      <c r="K89" s="7715"/>
      <c r="L89" s="7715"/>
      <c r="M89" s="7715"/>
      <c r="N89" s="7715"/>
      <c r="O89" s="7715"/>
      <c r="P89" s="7715"/>
      <c r="Q89" s="7715"/>
      <c r="R89" s="7715"/>
      <c r="S89" s="7715"/>
      <c r="T89" s="7715"/>
      <c r="U89" s="7715"/>
      <c r="V89" s="7715"/>
      <c r="W89" s="7715"/>
      <c r="X89" s="7715"/>
      <c r="Y89" s="7715"/>
      <c r="Z89" s="7715"/>
      <c r="AA89" s="7715"/>
      <c r="AB89" s="7715"/>
      <c r="AC89" s="7715"/>
      <c r="AD89" s="7715"/>
      <c r="AE89" s="7715"/>
      <c r="AF89" s="7715"/>
      <c r="AG89" s="7715"/>
      <c r="AH89" s="7715"/>
      <c r="AI89" s="7715"/>
      <c r="AJ89" s="7715"/>
      <c r="AK89" s="7715"/>
      <c r="AL89" s="1421"/>
      <c r="AM89" s="1949"/>
      <c r="AN89" s="1949"/>
      <c r="AO89" s="1421"/>
      <c r="AP89" s="1421"/>
      <c r="AQ89" s="1421"/>
      <c r="AR89" s="1421"/>
      <c r="AS89" s="1949"/>
      <c r="AT89" s="1421"/>
      <c r="AU89" s="1421"/>
      <c r="AV89" s="781"/>
      <c r="AW89" s="1421"/>
      <c r="AX89" s="1421"/>
      <c r="AY89" s="1421"/>
      <c r="AZ89" s="1421"/>
      <c r="BA89" s="1421"/>
      <c r="BB89" s="1945"/>
      <c r="BC89" s="803"/>
      <c r="BD89" s="803"/>
      <c r="BE89" s="803"/>
      <c r="BF89" s="803"/>
    </row>
    <row s="10822" customFormat="1" customHeight="1" ht="11.25">
      <c r="A90" s="1243"/>
      <c r="B90" s="1949"/>
      <c r="C90" s="1949"/>
      <c r="D90" s="572"/>
      <c r="J90" s="7715"/>
      <c r="K90" s="7715"/>
      <c r="L90" s="7715"/>
      <c r="M90" s="7715"/>
      <c r="N90" s="7715"/>
      <c r="O90" s="7715"/>
      <c r="P90" s="7715"/>
      <c r="Q90" s="7715"/>
      <c r="R90" s="7715"/>
      <c r="S90" s="7715"/>
      <c r="T90" s="7715"/>
      <c r="U90" s="7715"/>
      <c r="V90" s="7715"/>
      <c r="W90" s="7715"/>
      <c r="X90" s="7715"/>
      <c r="Y90" s="7715"/>
      <c r="Z90" s="7715"/>
      <c r="AA90" s="7715"/>
      <c r="AB90" s="7715"/>
      <c r="AC90" s="7715"/>
      <c r="AD90" s="7715"/>
      <c r="AE90" s="7715"/>
      <c r="AF90" s="7715"/>
      <c r="AG90" s="7715"/>
      <c r="AH90" s="7715"/>
      <c r="AI90" s="7715"/>
      <c r="AJ90" s="7715"/>
      <c r="AK90" s="7715"/>
      <c r="AL90" s="1421"/>
      <c r="AM90" s="1949"/>
      <c r="AN90" s="1949"/>
      <c r="AO90" s="1421"/>
      <c r="AP90" s="1421"/>
      <c r="AQ90" s="1421"/>
      <c r="AR90" s="1421"/>
      <c r="AS90" s="1949"/>
      <c r="AT90" s="1421"/>
      <c r="AU90" s="1421"/>
      <c r="AV90" s="781"/>
      <c r="AW90" s="1421"/>
      <c r="AX90" s="1421"/>
      <c r="AY90" s="1421"/>
      <c r="AZ90" s="1421"/>
      <c r="BA90" s="1421"/>
      <c r="BB90" s="1945"/>
      <c r="BC90" s="803"/>
      <c r="BD90" s="803"/>
      <c r="BE90" s="803"/>
      <c r="BF90" s="803"/>
    </row>
    <row s="10822" customFormat="1" customHeight="1" ht="11.25">
      <c r="A91" s="1243"/>
      <c r="B91" s="1949"/>
      <c r="C91" s="1949"/>
      <c r="D91" s="572"/>
      <c r="J91" s="7715"/>
      <c r="K91" s="7715"/>
      <c r="L91" s="7715"/>
      <c r="M91" s="7715"/>
      <c r="N91" s="7715"/>
      <c r="O91" s="7715"/>
      <c r="P91" s="7715"/>
      <c r="Q91" s="7715"/>
      <c r="R91" s="7715"/>
      <c r="S91" s="7715"/>
      <c r="T91" s="7715"/>
      <c r="U91" s="7715"/>
      <c r="V91" s="7715"/>
      <c r="W91" s="7715"/>
      <c r="X91" s="7715"/>
      <c r="Y91" s="7715"/>
      <c r="Z91" s="7715"/>
      <c r="AA91" s="7715"/>
      <c r="AB91" s="7715"/>
      <c r="AC91" s="7715"/>
      <c r="AD91" s="7715"/>
      <c r="AE91" s="7715"/>
      <c r="AF91" s="7715"/>
      <c r="AG91" s="7715"/>
      <c r="AH91" s="7715"/>
      <c r="AI91" s="7715"/>
      <c r="AJ91" s="7715"/>
      <c r="AK91" s="7715"/>
      <c r="AL91" s="1421"/>
      <c r="AM91" s="1949"/>
      <c r="AN91" s="1949"/>
      <c r="AO91" s="1421"/>
      <c r="AP91" s="1421"/>
      <c r="AQ91" s="1421"/>
      <c r="AR91" s="1421"/>
      <c r="AS91" s="1949"/>
      <c r="AT91" s="1421"/>
      <c r="AU91" s="1421"/>
      <c r="AV91" s="781"/>
      <c r="AW91" s="1421"/>
      <c r="AX91" s="1421"/>
      <c r="AY91" s="1421"/>
      <c r="AZ91" s="1421"/>
      <c r="BA91" s="1421"/>
      <c r="BB91" s="1945"/>
      <c r="BC91" s="803"/>
      <c r="BD91" s="803"/>
      <c r="BE91" s="803"/>
      <c r="BF91" s="803"/>
    </row>
    <row s="10822" customFormat="1" customHeight="1" ht="11.25">
      <c r="A92" s="1243"/>
      <c r="B92" s="1949"/>
      <c r="C92" s="1949"/>
      <c r="D92" s="572"/>
      <c r="J92" s="7715"/>
      <c r="K92" s="7715"/>
      <c r="L92" s="7715"/>
      <c r="M92" s="7715"/>
      <c r="N92" s="7715"/>
      <c r="O92" s="7715"/>
      <c r="P92" s="7715"/>
      <c r="Q92" s="7715"/>
      <c r="R92" s="7715"/>
      <c r="S92" s="7715"/>
      <c r="T92" s="7715"/>
      <c r="U92" s="7715"/>
      <c r="V92" s="7715"/>
      <c r="W92" s="7715"/>
      <c r="X92" s="7715"/>
      <c r="Y92" s="7715"/>
      <c r="Z92" s="7715"/>
      <c r="AA92" s="7715"/>
      <c r="AB92" s="7715"/>
      <c r="AC92" s="7715"/>
      <c r="AD92" s="7715"/>
      <c r="AE92" s="7715"/>
      <c r="AF92" s="7715"/>
      <c r="AG92" s="7715"/>
      <c r="AH92" s="7715"/>
      <c r="AI92" s="7715"/>
      <c r="AJ92" s="7715"/>
      <c r="AK92" s="7715"/>
      <c r="AL92" s="1421"/>
      <c r="AM92" s="1949"/>
      <c r="AN92" s="1949"/>
      <c r="AO92" s="1421"/>
      <c r="AP92" s="1421"/>
      <c r="AQ92" s="1421"/>
      <c r="AR92" s="1421"/>
      <c r="AS92" s="1949"/>
      <c r="AT92" s="1421"/>
      <c r="AU92" s="1421"/>
      <c r="AV92" s="781"/>
      <c r="AW92" s="1421"/>
      <c r="AX92" s="1421"/>
      <c r="AY92" s="1421"/>
      <c r="AZ92" s="1421"/>
      <c r="BA92" s="1421"/>
      <c r="BB92" s="1945"/>
      <c r="BC92" s="803"/>
      <c r="BD92" s="803"/>
      <c r="BE92" s="803"/>
      <c r="BF92" s="803"/>
    </row>
    <row s="10822" customFormat="1" customHeight="1" ht="11.25">
      <c r="A93" s="1243"/>
      <c r="B93" s="1949"/>
      <c r="C93" s="1949"/>
      <c r="D93" s="572"/>
      <c r="J93" s="7715"/>
      <c r="K93" s="7715"/>
      <c r="L93" s="7715"/>
      <c r="M93" s="7715"/>
      <c r="N93" s="7715"/>
      <c r="O93" s="7715"/>
      <c r="P93" s="7715"/>
      <c r="Q93" s="7715"/>
      <c r="R93" s="7715"/>
      <c r="S93" s="7715"/>
      <c r="T93" s="7715"/>
      <c r="U93" s="7715"/>
      <c r="V93" s="7715"/>
      <c r="W93" s="7715"/>
      <c r="X93" s="7715"/>
      <c r="Y93" s="7715"/>
      <c r="Z93" s="7715"/>
      <c r="AA93" s="7715"/>
      <c r="AB93" s="7715"/>
      <c r="AC93" s="7715"/>
      <c r="AD93" s="7715"/>
      <c r="AE93" s="7715"/>
      <c r="AF93" s="7715"/>
      <c r="AG93" s="7715"/>
      <c r="AH93" s="7715"/>
      <c r="AI93" s="7715"/>
      <c r="AJ93" s="7715"/>
      <c r="AK93" s="7715"/>
      <c r="AL93" s="1421"/>
      <c r="AM93" s="1949"/>
      <c r="AN93" s="1949"/>
      <c r="AO93" s="1421"/>
      <c r="AP93" s="1421"/>
      <c r="AQ93" s="1421"/>
      <c r="AR93" s="1421"/>
      <c r="AS93" s="1949"/>
      <c r="AT93" s="1421"/>
      <c r="AU93" s="1421"/>
      <c r="AV93" s="781"/>
      <c r="AW93" s="1421"/>
      <c r="AX93" s="1421"/>
      <c r="AY93" s="1421"/>
      <c r="AZ93" s="1421"/>
      <c r="BA93" s="1421"/>
      <c r="BB93" s="1945"/>
      <c r="BC93" s="803"/>
      <c r="BD93" s="803"/>
      <c r="BE93" s="803"/>
      <c r="BF93" s="803"/>
    </row>
    <row s="10822" customFormat="1" customHeight="1" ht="11.25">
      <c r="A94" s="1243"/>
      <c r="B94" s="1949"/>
      <c r="C94" s="1949"/>
      <c r="D94" s="572"/>
      <c r="J94" s="7715"/>
      <c r="K94" s="7715"/>
      <c r="L94" s="7715"/>
      <c r="M94" s="7715"/>
      <c r="N94" s="7715"/>
      <c r="O94" s="7715"/>
      <c r="P94" s="7715"/>
      <c r="Q94" s="7715"/>
      <c r="R94" s="7715"/>
      <c r="S94" s="7715"/>
      <c r="T94" s="7715"/>
      <c r="U94" s="7715"/>
      <c r="V94" s="7715"/>
      <c r="W94" s="7715"/>
      <c r="X94" s="7715"/>
      <c r="Y94" s="7715"/>
      <c r="Z94" s="7715"/>
      <c r="AA94" s="7715"/>
      <c r="AB94" s="7715"/>
      <c r="AC94" s="7715"/>
      <c r="AD94" s="7715"/>
      <c r="AE94" s="7715"/>
      <c r="AF94" s="7715"/>
      <c r="AG94" s="7715"/>
      <c r="AH94" s="7715"/>
      <c r="AI94" s="7715"/>
      <c r="AJ94" s="7715"/>
      <c r="AK94" s="7715"/>
      <c r="AL94" s="1421"/>
      <c r="AM94" s="1949"/>
      <c r="AN94" s="1949"/>
      <c r="AO94" s="1421"/>
      <c r="AP94" s="1421"/>
      <c r="AQ94" s="1421"/>
      <c r="AR94" s="1421"/>
      <c r="AS94" s="1949"/>
      <c r="AT94" s="1421"/>
      <c r="AU94" s="1421"/>
      <c r="AV94" s="781"/>
      <c r="AW94" s="1421"/>
      <c r="AX94" s="1421"/>
      <c r="AY94" s="1421"/>
      <c r="AZ94" s="1421"/>
      <c r="BA94" s="1421"/>
      <c r="BB94" s="1945"/>
      <c r="BC94" s="803"/>
      <c r="BD94" s="803"/>
      <c r="BE94" s="803"/>
      <c r="BF94" s="803"/>
    </row>
    <row s="10822" customFormat="1" customHeight="1" ht="11.25">
      <c r="A95" s="1243"/>
      <c r="B95" s="1949"/>
      <c r="C95" s="1949"/>
      <c r="D95" s="572"/>
      <c r="J95" s="7715"/>
      <c r="K95" s="7715"/>
      <c r="L95" s="7715"/>
      <c r="M95" s="7715"/>
      <c r="N95" s="7715"/>
      <c r="O95" s="7715"/>
      <c r="P95" s="7715"/>
      <c r="Q95" s="7715"/>
      <c r="R95" s="7715"/>
      <c r="S95" s="7715"/>
      <c r="T95" s="7715"/>
      <c r="U95" s="7715"/>
      <c r="V95" s="7715"/>
      <c r="W95" s="7715"/>
      <c r="X95" s="7715"/>
      <c r="Y95" s="7715"/>
      <c r="Z95" s="7715"/>
      <c r="AA95" s="7715"/>
      <c r="AB95" s="7715"/>
      <c r="AC95" s="7715"/>
      <c r="AD95" s="7715"/>
      <c r="AE95" s="7715"/>
      <c r="AF95" s="7715"/>
      <c r="AG95" s="7715"/>
      <c r="AH95" s="7715"/>
      <c r="AI95" s="7715"/>
      <c r="AJ95" s="7715"/>
      <c r="AK95" s="7715"/>
      <c r="AL95" s="1421"/>
      <c r="AM95" s="1949"/>
      <c r="AN95" s="1949"/>
      <c r="AO95" s="1421"/>
      <c r="AP95" s="1421"/>
      <c r="AQ95" s="1421"/>
      <c r="AR95" s="1421"/>
      <c r="AS95" s="1949"/>
      <c r="AT95" s="1421"/>
      <c r="AU95" s="1421"/>
      <c r="AV95" s="781"/>
      <c r="AW95" s="1421"/>
      <c r="AX95" s="1421"/>
      <c r="AY95" s="1421"/>
      <c r="AZ95" s="1421"/>
      <c r="BA95" s="1421"/>
      <c r="BB95" s="1945"/>
      <c r="BC95" s="803"/>
      <c r="BD95" s="803"/>
      <c r="BE95" s="803"/>
      <c r="BF95" s="803"/>
    </row>
    <row s="10822" customFormat="1" customHeight="1" ht="11.25">
      <c r="A96" s="1243"/>
      <c r="B96" s="1949"/>
      <c r="C96" s="1949"/>
      <c r="D96" s="572"/>
      <c r="J96" s="7715"/>
      <c r="K96" s="7715"/>
      <c r="L96" s="7715"/>
      <c r="M96" s="7715"/>
      <c r="N96" s="7715"/>
      <c r="O96" s="7715"/>
      <c r="P96" s="7715"/>
      <c r="Q96" s="7715"/>
      <c r="R96" s="7715"/>
      <c r="S96" s="7715"/>
      <c r="T96" s="7715"/>
      <c r="U96" s="7715"/>
      <c r="V96" s="7715"/>
      <c r="W96" s="7715"/>
      <c r="X96" s="7715"/>
      <c r="Y96" s="7715"/>
      <c r="Z96" s="7715"/>
      <c r="AA96" s="7715"/>
      <c r="AB96" s="7715"/>
      <c r="AC96" s="7715"/>
      <c r="AD96" s="7715"/>
      <c r="AE96" s="7715"/>
      <c r="AF96" s="7715"/>
      <c r="AG96" s="7715"/>
      <c r="AH96" s="7715"/>
      <c r="AI96" s="7715"/>
      <c r="AJ96" s="7715"/>
      <c r="AK96" s="7715"/>
      <c r="AL96" s="1421"/>
      <c r="AM96" s="1949"/>
      <c r="AN96" s="1949"/>
      <c r="AO96" s="1421"/>
      <c r="AP96" s="1421"/>
      <c r="AQ96" s="1421"/>
      <c r="AR96" s="1421"/>
      <c r="AS96" s="1949"/>
      <c r="AT96" s="1421"/>
      <c r="AU96" s="1421"/>
      <c r="AV96" s="781"/>
      <c r="AW96" s="1421"/>
      <c r="AX96" s="1421"/>
      <c r="AY96" s="1421"/>
      <c r="AZ96" s="1421"/>
      <c r="BA96" s="1421"/>
      <c r="BB96" s="1945"/>
      <c r="BC96" s="803"/>
      <c r="BD96" s="803"/>
      <c r="BE96" s="803"/>
      <c r="BF96" s="803"/>
    </row>
    <row s="10822" customFormat="1" customHeight="1" ht="11.25">
      <c r="A97" s="1243"/>
      <c r="B97" s="1949"/>
      <c r="C97" s="1949"/>
      <c r="D97" s="572"/>
      <c r="J97" s="7715"/>
      <c r="K97" s="7715"/>
      <c r="L97" s="7715"/>
      <c r="M97" s="7715"/>
      <c r="N97" s="7715"/>
      <c r="O97" s="7715"/>
      <c r="P97" s="7715"/>
      <c r="Q97" s="7715"/>
      <c r="R97" s="7715"/>
      <c r="S97" s="7715"/>
      <c r="T97" s="7715"/>
      <c r="U97" s="7715"/>
      <c r="V97" s="7715"/>
      <c r="W97" s="7715"/>
      <c r="X97" s="7715"/>
      <c r="Y97" s="7715"/>
      <c r="Z97" s="7715"/>
      <c r="AA97" s="7715"/>
      <c r="AB97" s="7715"/>
      <c r="AC97" s="7715"/>
      <c r="AD97" s="7715"/>
      <c r="AE97" s="7715"/>
      <c r="AF97" s="7715"/>
      <c r="AG97" s="7715"/>
      <c r="AH97" s="7715"/>
      <c r="AI97" s="7715"/>
      <c r="AJ97" s="7715"/>
      <c r="AK97" s="7715"/>
      <c r="AL97" s="1421"/>
      <c r="AM97" s="1949"/>
      <c r="AN97" s="1949"/>
      <c r="AO97" s="1421"/>
      <c r="AP97" s="1421"/>
      <c r="AQ97" s="1421"/>
      <c r="AR97" s="1421"/>
      <c r="AS97" s="1949"/>
      <c r="AT97" s="1421"/>
      <c r="AU97" s="1421"/>
      <c r="AV97" s="781"/>
      <c r="AW97" s="1421"/>
      <c r="AX97" s="1421"/>
      <c r="AY97" s="1421"/>
      <c r="AZ97" s="1421"/>
      <c r="BA97" s="1421"/>
      <c r="BB97" s="1945"/>
      <c r="BC97" s="803"/>
      <c r="BD97" s="803"/>
      <c r="BE97" s="803"/>
      <c r="BF97" s="803"/>
    </row>
    <row s="10822" customFormat="1" customHeight="1" ht="11.25">
      <c r="A98" s="1243"/>
      <c r="B98" s="1949"/>
      <c r="C98" s="1949"/>
      <c r="D98" s="572"/>
      <c r="J98" s="7715"/>
      <c r="K98" s="7715"/>
      <c r="L98" s="7715"/>
      <c r="M98" s="7715"/>
      <c r="N98" s="7715"/>
      <c r="O98" s="7715"/>
      <c r="P98" s="7715"/>
      <c r="Q98" s="7715"/>
      <c r="R98" s="7715"/>
      <c r="S98" s="7715"/>
      <c r="T98" s="7715"/>
      <c r="U98" s="7715"/>
      <c r="V98" s="7715"/>
      <c r="W98" s="7715"/>
      <c r="X98" s="7715"/>
      <c r="Y98" s="7715"/>
      <c r="Z98" s="7715"/>
      <c r="AA98" s="7715"/>
      <c r="AB98" s="7715"/>
      <c r="AC98" s="7715"/>
      <c r="AD98" s="7715"/>
      <c r="AE98" s="7715"/>
      <c r="AF98" s="7715"/>
      <c r="AG98" s="7715"/>
      <c r="AH98" s="7715"/>
      <c r="AI98" s="7715"/>
      <c r="AJ98" s="7715"/>
      <c r="AK98" s="7715"/>
      <c r="AL98" s="1421"/>
      <c r="AM98" s="1949"/>
      <c r="AN98" s="1949"/>
      <c r="AO98" s="1421"/>
      <c r="AP98" s="1421"/>
      <c r="AQ98" s="1421"/>
      <c r="AR98" s="1421"/>
      <c r="AS98" s="1949"/>
      <c r="AT98" s="1421"/>
      <c r="AU98" s="1421"/>
      <c r="AV98" s="781"/>
      <c r="AW98" s="1421"/>
      <c r="AX98" s="1421"/>
      <c r="AY98" s="1421"/>
      <c r="AZ98" s="1421"/>
      <c r="BA98" s="1421"/>
      <c r="BB98" s="1945"/>
      <c r="BC98" s="803"/>
      <c r="BD98" s="803"/>
      <c r="BE98" s="803"/>
      <c r="BF98" s="803"/>
    </row>
    <row s="10822" customFormat="1" customHeight="1" ht="11.25">
      <c r="A99" s="1243"/>
      <c r="B99" s="1949"/>
      <c r="C99" s="1949"/>
      <c r="D99" s="572"/>
      <c r="J99" s="7715"/>
      <c r="K99" s="7715"/>
      <c r="L99" s="7715"/>
      <c r="M99" s="7715"/>
      <c r="N99" s="7715"/>
      <c r="O99" s="7715"/>
      <c r="P99" s="7715"/>
      <c r="Q99" s="7715"/>
      <c r="R99" s="7715"/>
      <c r="S99" s="7715"/>
      <c r="T99" s="7715"/>
      <c r="U99" s="7715"/>
      <c r="V99" s="7715"/>
      <c r="W99" s="7715"/>
      <c r="X99" s="7715"/>
      <c r="Y99" s="7715"/>
      <c r="Z99" s="7715"/>
      <c r="AA99" s="7715"/>
      <c r="AB99" s="7715"/>
      <c r="AC99" s="7715"/>
      <c r="AD99" s="7715"/>
      <c r="AE99" s="7715"/>
      <c r="AF99" s="7715"/>
      <c r="AG99" s="7715"/>
      <c r="AH99" s="7715"/>
      <c r="AI99" s="7715"/>
      <c r="AJ99" s="7715"/>
      <c r="AK99" s="7715"/>
      <c r="AL99" s="1421"/>
      <c r="AM99" s="1949"/>
      <c r="AN99" s="1949"/>
      <c r="AO99" s="1421"/>
      <c r="AP99" s="1421"/>
      <c r="AQ99" s="1421"/>
      <c r="AR99" s="1421"/>
      <c r="AS99" s="1949"/>
      <c r="AT99" s="1421"/>
      <c r="AU99" s="1421"/>
      <c r="AV99" s="781"/>
      <c r="AW99" s="1421"/>
      <c r="AX99" s="1421"/>
      <c r="AY99" s="1421"/>
      <c r="AZ99" s="1421"/>
      <c r="BA99" s="1421"/>
      <c r="BB99" s="1945"/>
      <c r="BC99" s="803"/>
      <c r="BD99" s="803"/>
      <c r="BE99" s="803"/>
      <c r="BF99" s="803"/>
    </row>
    <row s="10822" customFormat="1" customHeight="1" ht="11.25">
      <c r="A100" s="1243"/>
      <c r="B100" s="1949"/>
      <c r="C100" s="1949"/>
      <c r="D100" s="572"/>
      <c r="J100" s="7715"/>
      <c r="K100" s="7715"/>
      <c r="L100" s="7715"/>
      <c r="M100" s="7715"/>
      <c r="N100" s="7715"/>
      <c r="O100" s="7715"/>
      <c r="P100" s="7715"/>
      <c r="Q100" s="7715"/>
      <c r="R100" s="7715"/>
      <c r="S100" s="7715"/>
      <c r="T100" s="7715"/>
      <c r="U100" s="7715"/>
      <c r="V100" s="7715"/>
      <c r="W100" s="7715"/>
      <c r="X100" s="7715"/>
      <c r="Y100" s="7715"/>
      <c r="Z100" s="7715"/>
      <c r="AA100" s="7715"/>
      <c r="AB100" s="7715"/>
      <c r="AC100" s="7715"/>
      <c r="AD100" s="7715"/>
      <c r="AE100" s="7715"/>
      <c r="AF100" s="7715"/>
      <c r="AG100" s="7715"/>
      <c r="AH100" s="7715"/>
      <c r="AI100" s="7715"/>
      <c r="AJ100" s="7715"/>
      <c r="AK100" s="7715"/>
      <c r="AL100" s="1421"/>
      <c r="AM100" s="1949"/>
      <c r="AN100" s="1949"/>
      <c r="AO100" s="1421"/>
      <c r="AP100" s="1421"/>
      <c r="AQ100" s="1421"/>
      <c r="AR100" s="1421"/>
      <c r="AS100" s="1949"/>
      <c r="AT100" s="1421"/>
      <c r="AU100" s="1421"/>
      <c r="AV100" s="781"/>
      <c r="AW100" s="1421"/>
      <c r="AX100" s="1421"/>
      <c r="AY100" s="1421"/>
      <c r="AZ100" s="1421"/>
      <c r="BA100" s="1421"/>
      <c r="BB100" s="1945"/>
      <c r="BC100" s="803"/>
      <c r="BD100" s="803"/>
      <c r="BE100" s="803"/>
      <c r="BF100" s="803"/>
    </row>
    <row s="10822" customFormat="1" customHeight="1" ht="11.25">
      <c r="A101" s="1243"/>
      <c r="B101" s="1949"/>
      <c r="C101" s="1949"/>
      <c r="D101" s="572"/>
      <c r="J101" s="7715"/>
      <c r="K101" s="7715"/>
      <c r="L101" s="7715"/>
      <c r="M101" s="7715"/>
      <c r="N101" s="7715"/>
      <c r="O101" s="7715"/>
      <c r="P101" s="7715"/>
      <c r="Q101" s="7715"/>
      <c r="R101" s="7715"/>
      <c r="S101" s="7715"/>
      <c r="T101" s="7715"/>
      <c r="U101" s="7715"/>
      <c r="V101" s="7715"/>
      <c r="W101" s="7715"/>
      <c r="X101" s="7715"/>
      <c r="Y101" s="7715"/>
      <c r="Z101" s="7715"/>
      <c r="AA101" s="7715"/>
      <c r="AB101" s="7715"/>
      <c r="AC101" s="7715"/>
      <c r="AD101" s="7715"/>
      <c r="AE101" s="7715"/>
      <c r="AF101" s="7715"/>
      <c r="AG101" s="7715"/>
      <c r="AH101" s="7715"/>
      <c r="AI101" s="7715"/>
      <c r="AJ101" s="7715"/>
      <c r="AK101" s="7715"/>
      <c r="AL101" s="1421"/>
      <c r="AM101" s="1949"/>
      <c r="AN101" s="1949"/>
      <c r="AO101" s="1421"/>
      <c r="AP101" s="1421"/>
      <c r="AQ101" s="1421"/>
      <c r="AR101" s="1421"/>
      <c r="AS101" s="1949"/>
      <c r="AT101" s="1421"/>
      <c r="AU101" s="1421"/>
      <c r="AV101" s="781"/>
      <c r="AW101" s="1421"/>
      <c r="AX101" s="1421"/>
      <c r="AY101" s="1421"/>
      <c r="AZ101" s="1421"/>
      <c r="BA101" s="1421"/>
      <c r="BB101" s="1945"/>
      <c r="BC101" s="803"/>
      <c r="BD101" s="803"/>
      <c r="BE101" s="803"/>
      <c r="BF101" s="803"/>
    </row>
    <row s="10822" customFormat="1" customHeight="1" ht="11.25">
      <c r="A102" s="1243"/>
      <c r="B102" s="1949"/>
      <c r="C102" s="1949"/>
      <c r="D102" s="572"/>
      <c r="J102" s="7715"/>
      <c r="K102" s="7715"/>
      <c r="L102" s="7715"/>
      <c r="M102" s="7715"/>
      <c r="N102" s="7715"/>
      <c r="O102" s="7715"/>
      <c r="P102" s="7715"/>
      <c r="Q102" s="7715"/>
      <c r="R102" s="7715"/>
      <c r="S102" s="7715"/>
      <c r="T102" s="7715"/>
      <c r="U102" s="7715"/>
      <c r="V102" s="7715"/>
      <c r="W102" s="7715"/>
      <c r="X102" s="7715"/>
      <c r="Y102" s="7715"/>
      <c r="Z102" s="7715"/>
      <c r="AA102" s="7715"/>
      <c r="AB102" s="7715"/>
      <c r="AC102" s="7715"/>
      <c r="AD102" s="7715"/>
      <c r="AE102" s="7715"/>
      <c r="AF102" s="7715"/>
      <c r="AG102" s="7715"/>
      <c r="AH102" s="7715"/>
      <c r="AI102" s="7715"/>
      <c r="AJ102" s="7715"/>
      <c r="AK102" s="7715"/>
      <c r="AL102" s="1421"/>
      <c r="AM102" s="1949"/>
      <c r="AN102" s="1949"/>
      <c r="AO102" s="1421"/>
      <c r="AP102" s="1421"/>
      <c r="AQ102" s="1421"/>
      <c r="AR102" s="1421"/>
      <c r="AS102" s="1949"/>
      <c r="AT102" s="1421"/>
      <c r="AU102" s="1421"/>
      <c r="AV102" s="781"/>
      <c r="AW102" s="1421"/>
      <c r="AX102" s="1421"/>
      <c r="AY102" s="1421"/>
      <c r="AZ102" s="1421"/>
      <c r="BA102" s="1421"/>
      <c r="BB102" s="1945"/>
      <c r="BC102" s="803"/>
      <c r="BD102" s="803"/>
      <c r="BE102" s="803"/>
      <c r="BF102" s="803"/>
    </row>
    <row s="10822" customFormat="1" customHeight="1" ht="11.25">
      <c r="A103" s="1243"/>
      <c r="B103" s="1949"/>
      <c r="C103" s="1949"/>
      <c r="D103" s="572"/>
      <c r="J103" s="7715"/>
      <c r="K103" s="7715"/>
      <c r="L103" s="7715"/>
      <c r="M103" s="7715"/>
      <c r="N103" s="7715"/>
      <c r="O103" s="7715"/>
      <c r="P103" s="7715"/>
      <c r="Q103" s="7715"/>
      <c r="R103" s="7715"/>
      <c r="S103" s="7715"/>
      <c r="T103" s="7715"/>
      <c r="U103" s="7715"/>
      <c r="V103" s="7715"/>
      <c r="W103" s="7715"/>
      <c r="X103" s="7715"/>
      <c r="Y103" s="7715"/>
      <c r="Z103" s="7715"/>
      <c r="AA103" s="7715"/>
      <c r="AB103" s="7715"/>
      <c r="AC103" s="7715"/>
      <c r="AD103" s="7715"/>
      <c r="AE103" s="7715"/>
      <c r="AF103" s="7715"/>
      <c r="AG103" s="7715"/>
      <c r="AH103" s="7715"/>
      <c r="AI103" s="7715"/>
      <c r="AJ103" s="7715"/>
      <c r="AK103" s="7715"/>
      <c r="AL103" s="1421"/>
      <c r="AM103" s="1949"/>
      <c r="AN103" s="1949"/>
      <c r="AO103" s="1421"/>
      <c r="AP103" s="1421"/>
      <c r="AQ103" s="1421"/>
      <c r="AR103" s="1421"/>
      <c r="AS103" s="1949"/>
      <c r="AT103" s="1421"/>
      <c r="AU103" s="1421"/>
      <c r="AV103" s="781"/>
      <c r="AW103" s="1421"/>
      <c r="AX103" s="1421"/>
      <c r="AY103" s="1421"/>
      <c r="AZ103" s="1421"/>
      <c r="BA103" s="1421"/>
      <c r="BB103" s="1945"/>
      <c r="BC103" s="803"/>
      <c r="BD103" s="803"/>
      <c r="BE103" s="803"/>
      <c r="BF103" s="803"/>
    </row>
    <row s="10822" customFormat="1" customHeight="1" ht="11.25">
      <c r="A104" s="1243"/>
      <c r="B104" s="1949"/>
      <c r="C104" s="1949"/>
      <c r="D104" s="572"/>
      <c r="J104" s="7715"/>
      <c r="K104" s="7715"/>
      <c r="L104" s="7715"/>
      <c r="M104" s="7715"/>
      <c r="N104" s="7715"/>
      <c r="O104" s="7715"/>
      <c r="P104" s="7715"/>
      <c r="Q104" s="7715"/>
      <c r="R104" s="7715"/>
      <c r="S104" s="7715"/>
      <c r="T104" s="7715"/>
      <c r="U104" s="7715"/>
      <c r="V104" s="7715"/>
      <c r="W104" s="7715"/>
      <c r="X104" s="7715"/>
      <c r="Y104" s="7715"/>
      <c r="Z104" s="7715"/>
      <c r="AA104" s="7715"/>
      <c r="AB104" s="7715"/>
      <c r="AC104" s="7715"/>
      <c r="AD104" s="7715"/>
      <c r="AE104" s="7715"/>
      <c r="AF104" s="7715"/>
      <c r="AG104" s="7715"/>
      <c r="AH104" s="7715"/>
      <c r="AI104" s="7715"/>
      <c r="AJ104" s="7715"/>
      <c r="AK104" s="7715"/>
      <c r="AL104" s="1421"/>
      <c r="AM104" s="1949"/>
      <c r="AN104" s="1949"/>
      <c r="AO104" s="1421"/>
      <c r="AP104" s="1421"/>
      <c r="AQ104" s="1421"/>
      <c r="AR104" s="1421"/>
      <c r="AS104" s="1949"/>
      <c r="AT104" s="1421"/>
      <c r="AU104" s="1421"/>
      <c r="AV104" s="781"/>
      <c r="AW104" s="1421"/>
      <c r="AX104" s="1421"/>
      <c r="AY104" s="1421"/>
      <c r="AZ104" s="1421"/>
      <c r="BA104" s="1421"/>
      <c r="BB104" s="1945"/>
      <c r="BC104" s="803"/>
      <c r="BD104" s="803"/>
      <c r="BE104" s="803"/>
      <c r="BF104" s="803"/>
    </row>
    <row s="10822" customFormat="1" customHeight="1" ht="11.25">
      <c r="A105" s="1243"/>
      <c r="B105" s="1949"/>
      <c r="C105" s="1949"/>
      <c r="D105" s="572"/>
      <c r="J105" s="7715"/>
      <c r="K105" s="7715"/>
      <c r="L105" s="7715"/>
      <c r="M105" s="7715"/>
      <c r="N105" s="7715"/>
      <c r="O105" s="7715"/>
      <c r="P105" s="7715"/>
      <c r="Q105" s="7715"/>
      <c r="R105" s="7715"/>
      <c r="S105" s="7715"/>
      <c r="T105" s="7715"/>
      <c r="U105" s="7715"/>
      <c r="V105" s="7715"/>
      <c r="W105" s="7715"/>
      <c r="X105" s="7715"/>
      <c r="Y105" s="7715"/>
      <c r="Z105" s="7715"/>
      <c r="AA105" s="7715"/>
      <c r="AB105" s="7715"/>
      <c r="AC105" s="7715"/>
      <c r="AD105" s="7715"/>
      <c r="AE105" s="7715"/>
      <c r="AF105" s="7715"/>
      <c r="AG105" s="7715"/>
      <c r="AH105" s="7715"/>
      <c r="AI105" s="7715"/>
      <c r="AJ105" s="7715"/>
      <c r="AK105" s="7715"/>
      <c r="AL105" s="1421"/>
      <c r="AM105" s="1949"/>
      <c r="AN105" s="1949"/>
      <c r="AO105" s="1421"/>
      <c r="AP105" s="1421"/>
      <c r="AQ105" s="1421"/>
      <c r="AR105" s="1421"/>
      <c r="AS105" s="1949"/>
      <c r="AT105" s="1421"/>
      <c r="AU105" s="1421"/>
      <c r="AV105" s="781"/>
      <c r="AW105" s="1421"/>
      <c r="AX105" s="1421"/>
      <c r="AY105" s="1421"/>
      <c r="AZ105" s="1421"/>
      <c r="BA105" s="1421"/>
      <c r="BB105" s="1945"/>
      <c r="BC105" s="803"/>
      <c r="BD105" s="803"/>
      <c r="BE105" s="803"/>
      <c r="BF105" s="803"/>
    </row>
    <row s="10822" customFormat="1" customHeight="1" ht="11.25">
      <c r="A106" s="1243"/>
      <c r="B106" s="1949"/>
      <c r="C106" s="1949"/>
      <c r="D106" s="572"/>
      <c r="J106" s="7715"/>
      <c r="K106" s="7715"/>
      <c r="L106" s="7715"/>
      <c r="M106" s="7715"/>
      <c r="N106" s="7715"/>
      <c r="O106" s="7715"/>
      <c r="P106" s="7715"/>
      <c r="Q106" s="7715"/>
      <c r="R106" s="7715"/>
      <c r="S106" s="7715"/>
      <c r="T106" s="7715"/>
      <c r="U106" s="7715"/>
      <c r="V106" s="7715"/>
      <c r="W106" s="7715"/>
      <c r="X106" s="7715"/>
      <c r="Y106" s="7715"/>
      <c r="Z106" s="7715"/>
      <c r="AA106" s="7715"/>
      <c r="AB106" s="7715"/>
      <c r="AC106" s="7715"/>
      <c r="AD106" s="7715"/>
      <c r="AE106" s="7715"/>
      <c r="AF106" s="7715"/>
      <c r="AG106" s="7715"/>
      <c r="AH106" s="7715"/>
      <c r="AI106" s="7715"/>
      <c r="AJ106" s="7715"/>
      <c r="AK106" s="7715"/>
      <c r="AL106" s="1421"/>
      <c r="AM106" s="1949"/>
      <c r="AN106" s="1949"/>
      <c r="AO106" s="1421"/>
      <c r="AP106" s="1421"/>
      <c r="AQ106" s="1421"/>
      <c r="AR106" s="1421"/>
      <c r="AS106" s="1949"/>
      <c r="AT106" s="1421"/>
      <c r="AU106" s="1421"/>
      <c r="AV106" s="781"/>
      <c r="AW106" s="1421"/>
      <c r="AX106" s="1421"/>
      <c r="AY106" s="1421"/>
      <c r="AZ106" s="1421"/>
      <c r="BA106" s="1421"/>
      <c r="BB106" s="1945"/>
      <c r="BC106" s="803"/>
      <c r="BD106" s="803"/>
      <c r="BE106" s="803"/>
      <c r="BF106" s="803"/>
    </row>
    <row s="10822" customFormat="1" customHeight="1" ht="11.25">
      <c r="A107" s="1243"/>
      <c r="B107" s="1949"/>
      <c r="C107" s="1949"/>
      <c r="D107" s="572"/>
      <c r="J107" s="7715"/>
      <c r="K107" s="7715"/>
      <c r="L107" s="7715"/>
      <c r="M107" s="7715"/>
      <c r="N107" s="7715"/>
      <c r="O107" s="7715"/>
      <c r="P107" s="7715"/>
      <c r="Q107" s="7715"/>
      <c r="R107" s="7715"/>
      <c r="S107" s="7715"/>
      <c r="T107" s="7715"/>
      <c r="U107" s="7715"/>
      <c r="V107" s="7715"/>
      <c r="W107" s="7715"/>
      <c r="X107" s="7715"/>
      <c r="Y107" s="7715"/>
      <c r="Z107" s="7715"/>
      <c r="AA107" s="7715"/>
      <c r="AB107" s="7715"/>
      <c r="AC107" s="7715"/>
      <c r="AD107" s="7715"/>
      <c r="AE107" s="7715"/>
      <c r="AF107" s="7715"/>
      <c r="AG107" s="7715"/>
      <c r="AH107" s="7715"/>
      <c r="AI107" s="7715"/>
      <c r="AJ107" s="7715"/>
      <c r="AK107" s="7715"/>
      <c r="AL107" s="1421"/>
      <c r="AM107" s="1949"/>
      <c r="AN107" s="1949"/>
      <c r="AO107" s="1421"/>
      <c r="AP107" s="1421"/>
      <c r="AQ107" s="1421"/>
      <c r="AR107" s="1421"/>
      <c r="AS107" s="1949"/>
      <c r="AT107" s="1421"/>
      <c r="AU107" s="1421"/>
      <c r="AV107" s="781"/>
      <c r="AW107" s="1421"/>
      <c r="AX107" s="1421"/>
      <c r="AY107" s="1421"/>
      <c r="AZ107" s="1421"/>
      <c r="BA107" s="1421"/>
      <c r="BB107" s="1945"/>
      <c r="BC107" s="803"/>
      <c r="BD107" s="803"/>
      <c r="BE107" s="803"/>
      <c r="BF107" s="803"/>
    </row>
    <row s="10822" customFormat="1" customHeight="1" ht="11.25">
      <c r="A108" s="1243"/>
      <c r="B108" s="1949"/>
      <c r="C108" s="1949"/>
      <c r="D108" s="572"/>
      <c r="J108" s="7715"/>
      <c r="K108" s="7715"/>
      <c r="L108" s="7715"/>
      <c r="M108" s="7715"/>
      <c r="N108" s="7715"/>
      <c r="O108" s="7715"/>
      <c r="P108" s="7715"/>
      <c r="Q108" s="7715"/>
      <c r="R108" s="7715"/>
      <c r="S108" s="7715"/>
      <c r="T108" s="7715"/>
      <c r="U108" s="7715"/>
      <c r="V108" s="7715"/>
      <c r="W108" s="7715"/>
      <c r="X108" s="7715"/>
      <c r="Y108" s="7715"/>
      <c r="Z108" s="7715"/>
      <c r="AA108" s="7715"/>
      <c r="AB108" s="7715"/>
      <c r="AC108" s="7715"/>
      <c r="AD108" s="7715"/>
      <c r="AE108" s="7715"/>
      <c r="AF108" s="7715"/>
      <c r="AG108" s="7715"/>
      <c r="AH108" s="7715"/>
      <c r="AI108" s="7715"/>
      <c r="AJ108" s="7715"/>
      <c r="AK108" s="7715"/>
      <c r="AL108" s="1421"/>
      <c r="AM108" s="1949"/>
      <c r="AN108" s="1949"/>
      <c r="AO108" s="1421"/>
      <c r="AP108" s="1421"/>
      <c r="AQ108" s="1421"/>
      <c r="AR108" s="1421"/>
      <c r="AS108" s="1949"/>
      <c r="AT108" s="1421"/>
      <c r="AU108" s="1421"/>
      <c r="AV108" s="781"/>
      <c r="AW108" s="1421"/>
      <c r="AX108" s="1421"/>
      <c r="AY108" s="1421"/>
      <c r="AZ108" s="1421"/>
      <c r="BA108" s="1421"/>
      <c r="BB108" s="1945"/>
      <c r="BC108" s="803"/>
      <c r="BD108" s="803"/>
      <c r="BE108" s="803"/>
      <c r="BF108" s="803"/>
    </row>
    <row s="10822" customFormat="1" customHeight="1" ht="11.25">
      <c r="A109" s="1243"/>
      <c r="B109" s="1949"/>
      <c r="C109" s="1949"/>
      <c r="D109" s="572"/>
      <c r="J109" s="7715"/>
      <c r="K109" s="7715"/>
      <c r="L109" s="7715"/>
      <c r="M109" s="7715"/>
      <c r="N109" s="7715"/>
      <c r="O109" s="7715"/>
      <c r="P109" s="7715"/>
      <c r="Q109" s="7715"/>
      <c r="R109" s="7715"/>
      <c r="S109" s="7715"/>
      <c r="T109" s="7715"/>
      <c r="U109" s="7715"/>
      <c r="V109" s="7715"/>
      <c r="W109" s="7715"/>
      <c r="X109" s="7715"/>
      <c r="Y109" s="7715"/>
      <c r="Z109" s="7715"/>
      <c r="AA109" s="7715"/>
      <c r="AB109" s="7715"/>
      <c r="AC109" s="7715"/>
      <c r="AD109" s="7715"/>
      <c r="AE109" s="7715"/>
      <c r="AF109" s="7715"/>
      <c r="AG109" s="7715"/>
      <c r="AH109" s="7715"/>
      <c r="AI109" s="7715"/>
      <c r="AJ109" s="7715"/>
      <c r="AK109" s="7715"/>
      <c r="AL109" s="1421"/>
      <c r="AM109" s="1949"/>
      <c r="AN109" s="1949"/>
      <c r="AO109" s="1421"/>
      <c r="AP109" s="1421"/>
      <c r="AQ109" s="1421"/>
      <c r="AR109" s="1421"/>
      <c r="AS109" s="1949"/>
      <c r="AT109" s="1421"/>
      <c r="AU109" s="1421"/>
      <c r="AV109" s="781"/>
      <c r="AW109" s="1421"/>
      <c r="AX109" s="1421"/>
      <c r="AY109" s="1421"/>
      <c r="AZ109" s="1421"/>
      <c r="BA109" s="1421"/>
      <c r="BB109" s="1945"/>
      <c r="BC109" s="803"/>
      <c r="BD109" s="803"/>
      <c r="BE109" s="803"/>
      <c r="BF109" s="803"/>
    </row>
    <row s="10822" customFormat="1" customHeight="1" ht="11.25">
      <c r="A110" s="1243"/>
      <c r="B110" s="1949"/>
      <c r="C110" s="1949"/>
      <c r="D110" s="572"/>
      <c r="J110" s="7715"/>
      <c r="K110" s="7715"/>
      <c r="L110" s="7715"/>
      <c r="M110" s="7715"/>
      <c r="N110" s="7715"/>
      <c r="O110" s="7715"/>
      <c r="P110" s="7715"/>
      <c r="Q110" s="7715"/>
      <c r="R110" s="7715"/>
      <c r="S110" s="7715"/>
      <c r="T110" s="7715"/>
      <c r="U110" s="7715"/>
      <c r="V110" s="7715"/>
      <c r="W110" s="7715"/>
      <c r="X110" s="7715"/>
      <c r="Y110" s="7715"/>
      <c r="Z110" s="7715"/>
      <c r="AA110" s="7715"/>
      <c r="AB110" s="7715"/>
      <c r="AC110" s="7715"/>
      <c r="AD110" s="7715"/>
      <c r="AE110" s="7715"/>
      <c r="AF110" s="7715"/>
      <c r="AG110" s="7715"/>
      <c r="AH110" s="7715"/>
      <c r="AI110" s="7715"/>
      <c r="AJ110" s="7715"/>
      <c r="AK110" s="7715"/>
      <c r="AL110" s="1421"/>
      <c r="AM110" s="1949"/>
      <c r="AN110" s="1949"/>
      <c r="AO110" s="1421"/>
      <c r="AP110" s="1421"/>
      <c r="AQ110" s="1421"/>
      <c r="AR110" s="1421"/>
      <c r="AS110" s="1949"/>
      <c r="AT110" s="1421"/>
      <c r="AU110" s="1421"/>
      <c r="AV110" s="781"/>
      <c r="AW110" s="1421"/>
      <c r="AX110" s="1421"/>
      <c r="AY110" s="1421"/>
      <c r="AZ110" s="1421"/>
      <c r="BA110" s="1421"/>
      <c r="BB110" s="1945"/>
      <c r="BC110" s="803"/>
      <c r="BD110" s="803"/>
      <c r="BE110" s="803"/>
      <c r="BF110" s="803"/>
    </row>
    <row s="10822" customFormat="1" customHeight="1" ht="11.25">
      <c r="A111" s="1243"/>
      <c r="B111" s="1949"/>
      <c r="C111" s="1949"/>
      <c r="D111" s="572"/>
      <c r="J111" s="7715"/>
      <c r="K111" s="7715"/>
      <c r="L111" s="7715"/>
      <c r="M111" s="7715"/>
      <c r="N111" s="7715"/>
      <c r="O111" s="7715"/>
      <c r="P111" s="7715"/>
      <c r="Q111" s="7715"/>
      <c r="R111" s="7715"/>
      <c r="S111" s="7715"/>
      <c r="T111" s="7715"/>
      <c r="U111" s="7715"/>
      <c r="V111" s="7715"/>
      <c r="W111" s="7715"/>
      <c r="X111" s="7715"/>
      <c r="Y111" s="7715"/>
      <c r="Z111" s="7715"/>
      <c r="AA111" s="7715"/>
      <c r="AB111" s="7715"/>
      <c r="AC111" s="7715"/>
      <c r="AD111" s="7715"/>
      <c r="AE111" s="7715"/>
      <c r="AF111" s="7715"/>
      <c r="AG111" s="7715"/>
      <c r="AH111" s="7715"/>
      <c r="AI111" s="7715"/>
      <c r="AJ111" s="7715"/>
      <c r="AK111" s="7715"/>
      <c r="AL111" s="1421"/>
      <c r="AM111" s="1949"/>
      <c r="AN111" s="1949"/>
      <c r="AO111" s="1421"/>
      <c r="AP111" s="1421"/>
      <c r="AQ111" s="1421"/>
      <c r="AR111" s="1421"/>
      <c r="AS111" s="1949"/>
      <c r="AT111" s="1421"/>
      <c r="AU111" s="1421"/>
      <c r="AV111" s="781"/>
      <c r="AW111" s="1421"/>
      <c r="AX111" s="1421"/>
      <c r="AY111" s="1421"/>
      <c r="AZ111" s="1421"/>
      <c r="BA111" s="1421"/>
      <c r="BB111" s="1945"/>
      <c r="BC111" s="803"/>
      <c r="BD111" s="803"/>
      <c r="BE111" s="803"/>
      <c r="BF111" s="803"/>
    </row>
    <row s="10822" customFormat="1" customHeight="1" ht="11.25">
      <c r="A112" s="1243"/>
      <c r="B112" s="1949"/>
      <c r="C112" s="1949"/>
      <c r="D112" s="572"/>
      <c r="J112" s="7715"/>
      <c r="K112" s="7715"/>
      <c r="L112" s="7715"/>
      <c r="M112" s="7715"/>
      <c r="N112" s="7715"/>
      <c r="O112" s="7715"/>
      <c r="P112" s="7715"/>
      <c r="Q112" s="7715"/>
      <c r="R112" s="7715"/>
      <c r="S112" s="7715"/>
      <c r="T112" s="7715"/>
      <c r="U112" s="7715"/>
      <c r="V112" s="7715"/>
      <c r="W112" s="7715"/>
      <c r="X112" s="7715"/>
      <c r="Y112" s="7715"/>
      <c r="Z112" s="7715"/>
      <c r="AA112" s="7715"/>
      <c r="AB112" s="7715"/>
      <c r="AC112" s="7715"/>
      <c r="AD112" s="7715"/>
      <c r="AE112" s="7715"/>
      <c r="AF112" s="7715"/>
      <c r="AG112" s="7715"/>
      <c r="AH112" s="7715"/>
      <c r="AI112" s="7715"/>
      <c r="AJ112" s="7715"/>
      <c r="AK112" s="7715"/>
      <c r="AL112" s="1421"/>
      <c r="AM112" s="1949"/>
      <c r="AN112" s="1949"/>
      <c r="AO112" s="1421"/>
      <c r="AP112" s="1421"/>
      <c r="AQ112" s="1421"/>
      <c r="AR112" s="1421"/>
      <c r="AS112" s="1949"/>
      <c r="AT112" s="1421"/>
      <c r="AU112" s="1421"/>
      <c r="AV112" s="781"/>
      <c r="AW112" s="1421"/>
      <c r="AX112" s="1421"/>
      <c r="AY112" s="1421"/>
      <c r="AZ112" s="1421"/>
      <c r="BA112" s="1421"/>
      <c r="BB112" s="1945"/>
      <c r="BC112" s="803"/>
      <c r="BD112" s="803"/>
      <c r="BE112" s="803"/>
      <c r="BF112" s="803"/>
    </row>
    <row s="10822" customFormat="1" customHeight="1" ht="11.25">
      <c r="A113" s="1243"/>
      <c r="B113" s="1949"/>
      <c r="C113" s="1949"/>
      <c r="D113" s="572"/>
      <c r="J113" s="7715"/>
      <c r="K113" s="7715"/>
      <c r="L113" s="7715"/>
      <c r="M113" s="7715"/>
      <c r="N113" s="7715"/>
      <c r="O113" s="7715"/>
      <c r="P113" s="7715"/>
      <c r="Q113" s="7715"/>
      <c r="R113" s="7715"/>
      <c r="S113" s="7715"/>
      <c r="T113" s="7715"/>
      <c r="U113" s="7715"/>
      <c r="V113" s="7715"/>
      <c r="W113" s="7715"/>
      <c r="X113" s="7715"/>
      <c r="Y113" s="7715"/>
      <c r="Z113" s="7715"/>
      <c r="AA113" s="7715"/>
      <c r="AB113" s="7715"/>
      <c r="AC113" s="7715"/>
      <c r="AD113" s="7715"/>
      <c r="AE113" s="7715"/>
      <c r="AF113" s="7715"/>
      <c r="AG113" s="7715"/>
      <c r="AH113" s="7715"/>
      <c r="AI113" s="7715"/>
      <c r="AJ113" s="7715"/>
      <c r="AK113" s="7715"/>
      <c r="AL113" s="1421"/>
      <c r="AM113" s="1949"/>
      <c r="AN113" s="1949"/>
      <c r="AO113" s="1421"/>
      <c r="AP113" s="1421"/>
      <c r="AQ113" s="1421"/>
      <c r="AR113" s="1421"/>
      <c r="AS113" s="1949"/>
      <c r="AT113" s="1421"/>
      <c r="AU113" s="1421"/>
      <c r="AV113" s="781"/>
      <c r="AW113" s="1421"/>
      <c r="AX113" s="1421"/>
      <c r="AY113" s="1421"/>
      <c r="AZ113" s="1421"/>
      <c r="BA113" s="1421"/>
      <c r="BB113" s="1945"/>
      <c r="BC113" s="803"/>
      <c r="BD113" s="803"/>
      <c r="BE113" s="803"/>
      <c r="BF113" s="803"/>
    </row>
    <row s="10822" customFormat="1" customHeight="1" ht="11.25">
      <c r="A114" s="1243"/>
      <c r="B114" s="1949"/>
      <c r="C114" s="1949"/>
      <c r="D114" s="572"/>
      <c r="J114" s="7715"/>
      <c r="K114" s="7715"/>
      <c r="L114" s="7715"/>
      <c r="M114" s="7715"/>
      <c r="N114" s="7715"/>
      <c r="O114" s="7715"/>
      <c r="P114" s="7715"/>
      <c r="Q114" s="7715"/>
      <c r="R114" s="7715"/>
      <c r="S114" s="7715"/>
      <c r="T114" s="7715"/>
      <c r="U114" s="7715"/>
      <c r="V114" s="7715"/>
      <c r="W114" s="7715"/>
      <c r="X114" s="7715"/>
      <c r="Y114" s="7715"/>
      <c r="Z114" s="7715"/>
      <c r="AA114" s="7715"/>
      <c r="AB114" s="7715"/>
      <c r="AC114" s="7715"/>
      <c r="AD114" s="7715"/>
      <c r="AE114" s="7715"/>
      <c r="AF114" s="7715"/>
      <c r="AG114" s="7715"/>
      <c r="AH114" s="7715"/>
      <c r="AI114" s="7715"/>
      <c r="AJ114" s="7715"/>
      <c r="AK114" s="7715"/>
      <c r="AL114" s="1421"/>
      <c r="AM114" s="1949"/>
      <c r="AN114" s="1949"/>
      <c r="AO114" s="1421"/>
      <c r="AP114" s="1421"/>
      <c r="AQ114" s="1421"/>
      <c r="AR114" s="1421"/>
      <c r="AS114" s="1949"/>
      <c r="AT114" s="1421"/>
      <c r="AU114" s="1421"/>
      <c r="AV114" s="781"/>
      <c r="AW114" s="1421"/>
      <c r="AX114" s="1421"/>
      <c r="AY114" s="1421"/>
      <c r="AZ114" s="1421"/>
      <c r="BA114" s="1421"/>
      <c r="BB114" s="1945"/>
      <c r="BC114" s="803"/>
      <c r="BD114" s="803"/>
      <c r="BE114" s="803"/>
      <c r="BF114" s="803"/>
    </row>
    <row s="10822" customFormat="1" customHeight="1" ht="11.25">
      <c r="A115" s="1243"/>
      <c r="B115" s="1949"/>
      <c r="C115" s="1949"/>
      <c r="D115" s="572"/>
      <c r="J115" s="7715"/>
      <c r="K115" s="7715"/>
      <c r="L115" s="7715"/>
      <c r="M115" s="7715"/>
      <c r="N115" s="7715"/>
      <c r="O115" s="7715"/>
      <c r="P115" s="7715"/>
      <c r="Q115" s="7715"/>
      <c r="R115" s="7715"/>
      <c r="S115" s="7715"/>
      <c r="T115" s="7715"/>
      <c r="U115" s="7715"/>
      <c r="V115" s="7715"/>
      <c r="W115" s="7715"/>
      <c r="X115" s="7715"/>
      <c r="Y115" s="7715"/>
      <c r="Z115" s="7715"/>
      <c r="AA115" s="7715"/>
      <c r="AB115" s="7715"/>
      <c r="AC115" s="7715"/>
      <c r="AD115" s="7715"/>
      <c r="AE115" s="7715"/>
      <c r="AF115" s="7715"/>
      <c r="AG115" s="7715"/>
      <c r="AH115" s="7715"/>
      <c r="AI115" s="7715"/>
      <c r="AJ115" s="7715"/>
      <c r="AK115" s="7715"/>
      <c r="AL115" s="1421"/>
      <c r="AM115" s="1949"/>
      <c r="AN115" s="1949"/>
      <c r="AO115" s="1421"/>
      <c r="AP115" s="1421"/>
      <c r="AQ115" s="1421"/>
      <c r="AR115" s="1421"/>
      <c r="AS115" s="1949"/>
      <c r="AT115" s="1421"/>
      <c r="AU115" s="1421"/>
      <c r="AV115" s="781"/>
      <c r="AW115" s="1421"/>
      <c r="AX115" s="1421"/>
      <c r="AY115" s="1421"/>
      <c r="AZ115" s="1421"/>
      <c r="BA115" s="1421"/>
      <c r="BB115" s="1945"/>
      <c r="BC115" s="803"/>
      <c r="BD115" s="803"/>
      <c r="BE115" s="803"/>
      <c r="BF115" s="803"/>
    </row>
    <row s="10822" customFormat="1" customHeight="1" ht="11.25">
      <c r="A116" s="1243"/>
      <c r="B116" s="1949"/>
      <c r="C116" s="1949"/>
      <c r="D116" s="572"/>
      <c r="J116" s="7715"/>
      <c r="K116" s="7715"/>
      <c r="L116" s="7715"/>
      <c r="M116" s="7715"/>
      <c r="N116" s="7715"/>
      <c r="O116" s="7715"/>
      <c r="P116" s="7715"/>
      <c r="Q116" s="7715"/>
      <c r="R116" s="7715"/>
      <c r="S116" s="7715"/>
      <c r="T116" s="7715"/>
      <c r="U116" s="7715"/>
      <c r="V116" s="7715"/>
      <c r="W116" s="7715"/>
      <c r="X116" s="7715"/>
      <c r="Y116" s="7715"/>
      <c r="Z116" s="7715"/>
      <c r="AA116" s="7715"/>
      <c r="AB116" s="7715"/>
      <c r="AC116" s="7715"/>
      <c r="AD116" s="7715"/>
      <c r="AE116" s="7715"/>
      <c r="AF116" s="7715"/>
      <c r="AG116" s="7715"/>
      <c r="AH116" s="7715"/>
      <c r="AI116" s="7715"/>
      <c r="AJ116" s="7715"/>
      <c r="AK116" s="7715"/>
      <c r="AL116" s="1421"/>
      <c r="AM116" s="1949"/>
      <c r="AN116" s="1949"/>
      <c r="AO116" s="1421"/>
      <c r="AP116" s="1421"/>
      <c r="AQ116" s="1421"/>
      <c r="AR116" s="1421"/>
      <c r="AS116" s="1949"/>
      <c r="AT116" s="1421"/>
      <c r="AU116" s="1421"/>
      <c r="AV116" s="781"/>
      <c r="AW116" s="1421"/>
      <c r="AX116" s="1421"/>
      <c r="AY116" s="1421"/>
      <c r="AZ116" s="1421"/>
      <c r="BA116" s="1421"/>
      <c r="BB116" s="1945"/>
      <c r="BC116" s="803"/>
      <c r="BD116" s="803"/>
      <c r="BE116" s="803"/>
      <c r="BF116" s="803"/>
    </row>
    <row s="10822" customFormat="1" customHeight="1" ht="11.25">
      <c r="A117" s="1243"/>
      <c r="B117" s="1949"/>
      <c r="C117" s="1949"/>
      <c r="D117" s="572"/>
      <c r="J117" s="7715"/>
      <c r="K117" s="7715"/>
      <c r="L117" s="7715"/>
      <c r="M117" s="7715"/>
      <c r="N117" s="7715"/>
      <c r="O117" s="7715"/>
      <c r="P117" s="7715"/>
      <c r="Q117" s="7715"/>
      <c r="R117" s="7715"/>
      <c r="S117" s="7715"/>
      <c r="T117" s="7715"/>
      <c r="U117" s="7715"/>
      <c r="V117" s="7715"/>
      <c r="W117" s="7715"/>
      <c r="X117" s="7715"/>
      <c r="Y117" s="7715"/>
      <c r="Z117" s="7715"/>
      <c r="AA117" s="7715"/>
      <c r="AB117" s="7715"/>
      <c r="AC117" s="7715"/>
      <c r="AD117" s="7715"/>
      <c r="AE117" s="7715"/>
      <c r="AF117" s="7715"/>
      <c r="AG117" s="7715"/>
      <c r="AH117" s="7715"/>
      <c r="AI117" s="7715"/>
      <c r="AJ117" s="7715"/>
      <c r="AK117" s="7715"/>
      <c r="AL117" s="1421"/>
      <c r="AM117" s="1949"/>
      <c r="AN117" s="1949"/>
      <c r="AO117" s="1421"/>
      <c r="AP117" s="1421"/>
      <c r="AQ117" s="1421"/>
      <c r="AR117" s="1421"/>
      <c r="AS117" s="1949"/>
      <c r="AT117" s="1421"/>
      <c r="AU117" s="1421"/>
      <c r="AV117" s="781"/>
      <c r="AW117" s="1421"/>
      <c r="AX117" s="1421"/>
      <c r="AY117" s="1421"/>
      <c r="AZ117" s="1421"/>
      <c r="BA117" s="1421"/>
      <c r="BB117" s="1945"/>
      <c r="BC117" s="803"/>
      <c r="BD117" s="803"/>
      <c r="BE117" s="803"/>
      <c r="BF117" s="803"/>
    </row>
    <row s="10822" customFormat="1" customHeight="1" ht="11.25">
      <c r="A118" s="1243"/>
      <c r="B118" s="1949"/>
      <c r="C118" s="1949"/>
      <c r="D118" s="572"/>
      <c r="J118" s="7715"/>
      <c r="K118" s="7715"/>
      <c r="L118" s="7715"/>
      <c r="M118" s="7715"/>
      <c r="N118" s="7715"/>
      <c r="O118" s="7715"/>
      <c r="P118" s="7715"/>
      <c r="Q118" s="7715"/>
      <c r="R118" s="7715"/>
      <c r="S118" s="7715"/>
      <c r="T118" s="7715"/>
      <c r="U118" s="7715"/>
      <c r="V118" s="7715"/>
      <c r="W118" s="7715"/>
      <c r="X118" s="7715"/>
      <c r="Y118" s="7715"/>
      <c r="Z118" s="7715"/>
      <c r="AA118" s="7715"/>
      <c r="AB118" s="7715"/>
      <c r="AC118" s="7715"/>
      <c r="AD118" s="7715"/>
      <c r="AE118" s="7715"/>
      <c r="AF118" s="7715"/>
      <c r="AG118" s="7715"/>
      <c r="AH118" s="7715"/>
      <c r="AI118" s="7715"/>
      <c r="AJ118" s="7715"/>
      <c r="AK118" s="7715"/>
      <c r="AL118" s="1421"/>
      <c r="AM118" s="1949"/>
      <c r="AN118" s="1949"/>
      <c r="AO118" s="1421"/>
      <c r="AP118" s="1421"/>
      <c r="AQ118" s="1421"/>
      <c r="AR118" s="1421"/>
      <c r="AS118" s="1949"/>
      <c r="AT118" s="1421"/>
      <c r="AU118" s="1421"/>
      <c r="AV118" s="781"/>
      <c r="AW118" s="1421"/>
      <c r="AX118" s="1421"/>
      <c r="AY118" s="1421"/>
      <c r="AZ118" s="1421"/>
      <c r="BA118" s="1421"/>
      <c r="BB118" s="1945"/>
      <c r="BC118" s="803"/>
      <c r="BD118" s="803"/>
      <c r="BE118" s="803"/>
      <c r="BF118" s="803"/>
    </row>
    <row s="10822" customFormat="1" customHeight="1" ht="11.25">
      <c r="A119" s="1243"/>
      <c r="B119" s="1949"/>
      <c r="C119" s="1949"/>
      <c r="D119" s="572"/>
      <c r="J119" s="7715"/>
      <c r="K119" s="7715"/>
      <c r="L119" s="7715"/>
      <c r="M119" s="7715"/>
      <c r="N119" s="7715"/>
      <c r="O119" s="7715"/>
      <c r="P119" s="7715"/>
      <c r="Q119" s="7715"/>
      <c r="R119" s="7715"/>
      <c r="S119" s="7715"/>
      <c r="T119" s="7715"/>
      <c r="U119" s="7715"/>
      <c r="V119" s="7715"/>
      <c r="W119" s="7715"/>
      <c r="X119" s="7715"/>
      <c r="Y119" s="7715"/>
      <c r="Z119" s="7715"/>
      <c r="AA119" s="7715"/>
      <c r="AB119" s="7715"/>
      <c r="AC119" s="7715"/>
      <c r="AD119" s="7715"/>
      <c r="AE119" s="7715"/>
      <c r="AF119" s="7715"/>
      <c r="AG119" s="7715"/>
      <c r="AH119" s="7715"/>
      <c r="AI119" s="7715"/>
      <c r="AJ119" s="7715"/>
      <c r="AK119" s="7715"/>
      <c r="AL119" s="1421"/>
      <c r="AM119" s="1949"/>
      <c r="AN119" s="1949"/>
      <c r="AO119" s="1421"/>
      <c r="AP119" s="1421"/>
      <c r="AQ119" s="1421"/>
      <c r="AR119" s="1421"/>
      <c r="AS119" s="1949"/>
      <c r="AT119" s="1421"/>
      <c r="AU119" s="1421"/>
      <c r="AV119" s="781"/>
      <c r="AW119" s="1421"/>
      <c r="AX119" s="1421"/>
      <c r="AY119" s="1421"/>
      <c r="AZ119" s="1421"/>
      <c r="BA119" s="1421"/>
      <c r="BB119" s="1945"/>
      <c r="BC119" s="803"/>
      <c r="BD119" s="803"/>
      <c r="BE119" s="803"/>
      <c r="BF119" s="803"/>
    </row>
    <row s="10822" customFormat="1" customHeight="1" ht="11.25">
      <c r="A120" s="1243"/>
      <c r="B120" s="1949"/>
      <c r="C120" s="1949"/>
      <c r="D120" s="572"/>
      <c r="J120" s="7715"/>
      <c r="K120" s="7715"/>
      <c r="L120" s="7715"/>
      <c r="M120" s="7715"/>
      <c r="N120" s="7715"/>
      <c r="O120" s="7715"/>
      <c r="P120" s="7715"/>
      <c r="Q120" s="7715"/>
      <c r="R120" s="7715"/>
      <c r="S120" s="7715"/>
      <c r="T120" s="7715"/>
      <c r="U120" s="7715"/>
      <c r="V120" s="7715"/>
      <c r="W120" s="7715"/>
      <c r="X120" s="7715"/>
      <c r="Y120" s="7715"/>
      <c r="Z120" s="7715"/>
      <c r="AA120" s="7715"/>
      <c r="AB120" s="7715"/>
      <c r="AC120" s="7715"/>
      <c r="AD120" s="7715"/>
      <c r="AE120" s="7715"/>
      <c r="AF120" s="7715"/>
      <c r="AG120" s="7715"/>
      <c r="AH120" s="7715"/>
      <c r="AI120" s="7715"/>
      <c r="AJ120" s="7715"/>
      <c r="AK120" s="7715"/>
      <c r="AL120" s="1421"/>
      <c r="AM120" s="1949"/>
      <c r="AN120" s="1949"/>
      <c r="AO120" s="1421"/>
      <c r="AP120" s="1421"/>
      <c r="AQ120" s="1421"/>
      <c r="AR120" s="1421"/>
      <c r="AS120" s="1949"/>
      <c r="AT120" s="1421"/>
      <c r="AU120" s="1421"/>
      <c r="AV120" s="781"/>
      <c r="AW120" s="1421"/>
      <c r="AX120" s="1421"/>
      <c r="AY120" s="1421"/>
      <c r="AZ120" s="1421"/>
      <c r="BA120" s="1421"/>
      <c r="BB120" s="1945"/>
      <c r="BC120" s="803"/>
      <c r="BD120" s="803"/>
      <c r="BE120" s="803"/>
      <c r="BF120" s="803"/>
    </row>
    <row s="10822" customFormat="1" customHeight="1" ht="11.25">
      <c r="A121" s="1243"/>
      <c r="B121" s="1949"/>
      <c r="C121" s="1949"/>
      <c r="D121" s="572"/>
      <c r="J121" s="7715"/>
      <c r="K121" s="7715"/>
      <c r="L121" s="7715"/>
      <c r="M121" s="7715"/>
      <c r="N121" s="7715"/>
      <c r="O121" s="7715"/>
      <c r="P121" s="7715"/>
      <c r="Q121" s="7715"/>
      <c r="R121" s="7715"/>
      <c r="S121" s="7715"/>
      <c r="T121" s="7715"/>
      <c r="U121" s="7715"/>
      <c r="V121" s="7715"/>
      <c r="W121" s="7715"/>
      <c r="X121" s="7715"/>
      <c r="Y121" s="7715"/>
      <c r="Z121" s="7715"/>
      <c r="AA121" s="7715"/>
      <c r="AB121" s="7715"/>
      <c r="AC121" s="7715"/>
      <c r="AD121" s="7715"/>
      <c r="AE121" s="7715"/>
      <c r="AF121" s="7715"/>
      <c r="AG121" s="7715"/>
      <c r="AH121" s="7715"/>
      <c r="AI121" s="7715"/>
      <c r="AJ121" s="7715"/>
      <c r="AK121" s="7715"/>
      <c r="AL121" s="1421"/>
      <c r="AM121" s="1949"/>
      <c r="AN121" s="1949"/>
      <c r="AO121" s="1421"/>
      <c r="AP121" s="1421"/>
      <c r="AQ121" s="1421"/>
      <c r="AR121" s="1421"/>
      <c r="AS121" s="1949"/>
      <c r="AT121" s="1421"/>
      <c r="AU121" s="1421"/>
      <c r="AV121" s="781"/>
      <c r="AW121" s="1421"/>
      <c r="AX121" s="1421"/>
      <c r="AY121" s="1421"/>
      <c r="AZ121" s="1421"/>
      <c r="BA121" s="1421"/>
      <c r="BB121" s="1945"/>
      <c r="BC121" s="803"/>
      <c r="BD121" s="803"/>
      <c r="BE121" s="803"/>
      <c r="BF121" s="803"/>
    </row>
    <row s="10822" customFormat="1" customHeight="1" ht="11.25">
      <c r="A122" s="1243"/>
      <c r="B122" s="1949"/>
      <c r="C122" s="1949"/>
      <c r="D122" s="572"/>
      <c r="J122" s="7715"/>
      <c r="K122" s="7715"/>
      <c r="L122" s="7715"/>
      <c r="M122" s="7715"/>
      <c r="N122" s="7715"/>
      <c r="O122" s="7715"/>
      <c r="P122" s="7715"/>
      <c r="Q122" s="7715"/>
      <c r="R122" s="7715"/>
      <c r="S122" s="7715"/>
      <c r="T122" s="7715"/>
      <c r="U122" s="7715"/>
      <c r="V122" s="7715"/>
      <c r="W122" s="7715"/>
      <c r="X122" s="7715"/>
      <c r="Y122" s="7715"/>
      <c r="Z122" s="7715"/>
      <c r="AA122" s="7715"/>
      <c r="AB122" s="7715"/>
      <c r="AC122" s="7715"/>
      <c r="AD122" s="7715"/>
      <c r="AE122" s="7715"/>
      <c r="AF122" s="7715"/>
      <c r="AG122" s="7715"/>
      <c r="AH122" s="7715"/>
      <c r="AI122" s="7715"/>
      <c r="AJ122" s="7715"/>
      <c r="AK122" s="7715"/>
      <c r="AL122" s="1421"/>
      <c r="AM122" s="1949"/>
      <c r="AN122" s="1949"/>
      <c r="AO122" s="1421"/>
      <c r="AP122" s="1421"/>
      <c r="AQ122" s="1421"/>
      <c r="AR122" s="1421"/>
      <c r="AS122" s="1949"/>
      <c r="AT122" s="1421"/>
      <c r="AU122" s="1421"/>
      <c r="AV122" s="781"/>
      <c r="AW122" s="1421"/>
      <c r="AX122" s="1421"/>
      <c r="AY122" s="1421"/>
      <c r="AZ122" s="1421"/>
      <c r="BA122" s="1421"/>
      <c r="BB122" s="1945"/>
      <c r="BC122" s="803"/>
      <c r="BD122" s="803"/>
      <c r="BE122" s="803"/>
      <c r="BF122" s="803"/>
    </row>
    <row s="10822" customFormat="1" customHeight="1" ht="11.25">
      <c r="A123" s="1243"/>
      <c r="B123" s="1949"/>
      <c r="C123" s="1949"/>
      <c r="D123" s="572"/>
      <c r="J123" s="7715"/>
      <c r="K123" s="7715"/>
      <c r="L123" s="7715"/>
      <c r="M123" s="7715"/>
      <c r="N123" s="7715"/>
      <c r="O123" s="7715"/>
      <c r="P123" s="7715"/>
      <c r="Q123" s="7715"/>
      <c r="R123" s="7715"/>
      <c r="S123" s="7715"/>
      <c r="T123" s="7715"/>
      <c r="U123" s="7715"/>
      <c r="V123" s="7715"/>
      <c r="W123" s="7715"/>
      <c r="X123" s="7715"/>
      <c r="Y123" s="7715"/>
      <c r="Z123" s="7715"/>
      <c r="AA123" s="7715"/>
      <c r="AB123" s="7715"/>
      <c r="AC123" s="7715"/>
      <c r="AD123" s="7715"/>
      <c r="AE123" s="7715"/>
      <c r="AF123" s="7715"/>
      <c r="AG123" s="7715"/>
      <c r="AH123" s="7715"/>
      <c r="AI123" s="7715"/>
      <c r="AJ123" s="7715"/>
      <c r="AK123" s="7715"/>
      <c r="AL123" s="1421"/>
      <c r="AM123" s="1949"/>
      <c r="AN123" s="1949"/>
      <c r="AO123" s="1421"/>
      <c r="AP123" s="1421"/>
      <c r="AQ123" s="1421"/>
      <c r="AR123" s="1421"/>
      <c r="AS123" s="1949"/>
      <c r="AT123" s="1421"/>
      <c r="AU123" s="1421"/>
      <c r="AV123" s="781"/>
      <c r="AW123" s="1421"/>
      <c r="AX123" s="1421"/>
      <c r="AY123" s="1421"/>
      <c r="AZ123" s="1421"/>
      <c r="BA123" s="1421"/>
      <c r="BB123" s="1945"/>
      <c r="BC123" s="803"/>
      <c r="BD123" s="803"/>
      <c r="BE123" s="803"/>
      <c r="BF123" s="803"/>
    </row>
    <row s="10822" customFormat="1" customHeight="1" ht="11.25">
      <c r="A124" s="1243"/>
      <c r="B124" s="1949"/>
      <c r="C124" s="1949"/>
      <c r="D124" s="572"/>
      <c r="J124" s="7715"/>
      <c r="K124" s="7715"/>
      <c r="L124" s="7715"/>
      <c r="M124" s="7715"/>
      <c r="N124" s="7715"/>
      <c r="O124" s="7715"/>
      <c r="P124" s="7715"/>
      <c r="Q124" s="7715"/>
      <c r="R124" s="7715"/>
      <c r="S124" s="7715"/>
      <c r="T124" s="7715"/>
      <c r="U124" s="7715"/>
      <c r="V124" s="7715"/>
      <c r="W124" s="7715"/>
      <c r="X124" s="7715"/>
      <c r="Y124" s="7715"/>
      <c r="Z124" s="7715"/>
      <c r="AA124" s="7715"/>
      <c r="AB124" s="7715"/>
      <c r="AC124" s="7715"/>
      <c r="AD124" s="7715"/>
      <c r="AE124" s="7715"/>
      <c r="AF124" s="7715"/>
      <c r="AG124" s="7715"/>
      <c r="AH124" s="7715"/>
      <c r="AI124" s="7715"/>
      <c r="AJ124" s="7715"/>
      <c r="AK124" s="7715"/>
      <c r="AL124" s="1421"/>
      <c r="AM124" s="1949"/>
      <c r="AN124" s="1949"/>
      <c r="AO124" s="1421"/>
      <c r="AP124" s="1421"/>
      <c r="AQ124" s="1421"/>
      <c r="AR124" s="1421"/>
      <c r="AS124" s="1949"/>
      <c r="AT124" s="1421"/>
      <c r="AU124" s="1421"/>
      <c r="AV124" s="781"/>
      <c r="AW124" s="1421"/>
      <c r="AX124" s="1421"/>
      <c r="AY124" s="1421"/>
      <c r="AZ124" s="1421"/>
      <c r="BA124" s="1421"/>
      <c r="BB124" s="1945"/>
      <c r="BC124" s="803"/>
      <c r="BD124" s="803"/>
      <c r="BE124" s="803"/>
      <c r="BF124" s="803"/>
    </row>
    <row s="10822" customFormat="1" customHeight="1" ht="11.25">
      <c r="A125" s="1243"/>
      <c r="B125" s="1949"/>
      <c r="C125" s="1949"/>
      <c r="D125" s="572"/>
      <c r="J125" s="7715"/>
      <c r="K125" s="7715"/>
      <c r="L125" s="7715"/>
      <c r="M125" s="7715"/>
      <c r="N125" s="7715"/>
      <c r="O125" s="7715"/>
      <c r="P125" s="7715"/>
      <c r="Q125" s="7715"/>
      <c r="R125" s="7715"/>
      <c r="S125" s="7715"/>
      <c r="T125" s="7715"/>
      <c r="U125" s="7715"/>
      <c r="V125" s="7715"/>
      <c r="W125" s="7715"/>
      <c r="X125" s="7715"/>
      <c r="Y125" s="7715"/>
      <c r="Z125" s="7715"/>
      <c r="AA125" s="7715"/>
      <c r="AB125" s="7715"/>
      <c r="AC125" s="7715"/>
      <c r="AD125" s="7715"/>
      <c r="AE125" s="7715"/>
      <c r="AF125" s="7715"/>
      <c r="AG125" s="7715"/>
      <c r="AH125" s="7715"/>
      <c r="AI125" s="7715"/>
      <c r="AJ125" s="7715"/>
      <c r="AK125" s="7715"/>
      <c r="AL125" s="1421"/>
      <c r="AM125" s="1949"/>
      <c r="AN125" s="1949"/>
      <c r="AO125" s="1421"/>
      <c r="AP125" s="1421"/>
      <c r="AQ125" s="1421"/>
      <c r="AR125" s="1421"/>
      <c r="AS125" s="1949"/>
      <c r="AT125" s="1421"/>
      <c r="AU125" s="1421"/>
      <c r="AV125" s="781"/>
      <c r="AW125" s="1421"/>
      <c r="AX125" s="1421"/>
      <c r="AY125" s="1421"/>
      <c r="AZ125" s="1421"/>
      <c r="BA125" s="1421"/>
      <c r="BB125" s="1945"/>
      <c r="BC125" s="803"/>
      <c r="BD125" s="803"/>
      <c r="BE125" s="803"/>
      <c r="BF125" s="803"/>
    </row>
    <row s="10822" customFormat="1" customHeight="1" ht="11.25">
      <c r="A126" s="1243"/>
      <c r="B126" s="1949"/>
      <c r="C126" s="1949"/>
      <c r="D126" s="572"/>
      <c r="J126" s="7715"/>
      <c r="K126" s="7715"/>
      <c r="L126" s="7715"/>
      <c r="M126" s="7715"/>
      <c r="N126" s="7715"/>
      <c r="O126" s="7715"/>
      <c r="P126" s="7715"/>
      <c r="Q126" s="7715"/>
      <c r="R126" s="7715"/>
      <c r="S126" s="7715"/>
      <c r="T126" s="7715"/>
      <c r="U126" s="7715"/>
      <c r="V126" s="7715"/>
      <c r="W126" s="7715"/>
      <c r="X126" s="7715"/>
      <c r="Y126" s="7715"/>
      <c r="Z126" s="7715"/>
      <c r="AA126" s="7715"/>
      <c r="AB126" s="7715"/>
      <c r="AC126" s="7715"/>
      <c r="AD126" s="7715"/>
      <c r="AE126" s="7715"/>
      <c r="AF126" s="7715"/>
      <c r="AG126" s="7715"/>
      <c r="AH126" s="7715"/>
      <c r="AI126" s="7715"/>
      <c r="AJ126" s="7715"/>
      <c r="AK126" s="7715"/>
      <c r="AL126" s="1421"/>
      <c r="AM126" s="1949"/>
      <c r="AN126" s="1949"/>
      <c r="AO126" s="1421"/>
      <c r="AP126" s="1421"/>
      <c r="AQ126" s="1421"/>
      <c r="AR126" s="1421"/>
      <c r="AS126" s="1949"/>
      <c r="AT126" s="1421"/>
      <c r="AU126" s="1421"/>
      <c r="AV126" s="781"/>
      <c r="AW126" s="1421"/>
      <c r="AX126" s="1421"/>
      <c r="AY126" s="1421"/>
      <c r="AZ126" s="1421"/>
      <c r="BA126" s="1421"/>
      <c r="BB126" s="1945"/>
      <c r="BC126" s="803"/>
      <c r="BD126" s="803"/>
      <c r="BE126" s="803"/>
      <c r="BF126" s="803"/>
    </row>
    <row s="10822" customFormat="1" customHeight="1" ht="11.25">
      <c r="A127" s="1243"/>
      <c r="B127" s="1949"/>
      <c r="C127" s="1949"/>
      <c r="D127" s="572"/>
      <c r="J127" s="7715"/>
      <c r="K127" s="7715"/>
      <c r="L127" s="7715"/>
      <c r="M127" s="7715"/>
      <c r="N127" s="7715"/>
      <c r="O127" s="7715"/>
      <c r="P127" s="7715"/>
      <c r="Q127" s="7715"/>
      <c r="R127" s="7715"/>
      <c r="S127" s="7715"/>
      <c r="T127" s="7715"/>
      <c r="U127" s="7715"/>
      <c r="V127" s="7715"/>
      <c r="W127" s="7715"/>
      <c r="X127" s="7715"/>
      <c r="Y127" s="7715"/>
      <c r="Z127" s="7715"/>
      <c r="AA127" s="7715"/>
      <c r="AB127" s="7715"/>
      <c r="AC127" s="7715"/>
      <c r="AD127" s="7715"/>
      <c r="AE127" s="7715"/>
      <c r="AF127" s="7715"/>
      <c r="AG127" s="7715"/>
      <c r="AH127" s="7715"/>
      <c r="AI127" s="7715"/>
      <c r="AJ127" s="7715"/>
      <c r="AK127" s="7715"/>
      <c r="AL127" s="1421"/>
      <c r="AM127" s="1949"/>
      <c r="AN127" s="1949"/>
      <c r="AO127" s="1421"/>
      <c r="AP127" s="1421"/>
      <c r="AQ127" s="1421"/>
      <c r="AR127" s="1421"/>
      <c r="AS127" s="1949"/>
      <c r="AT127" s="1421"/>
      <c r="AU127" s="1421"/>
      <c r="AV127" s="781"/>
      <c r="AW127" s="1421"/>
      <c r="AX127" s="1421"/>
      <c r="AY127" s="1421"/>
      <c r="AZ127" s="1421"/>
      <c r="BA127" s="1421"/>
      <c r="BB127" s="1945"/>
      <c r="BC127" s="803"/>
      <c r="BD127" s="803"/>
      <c r="BE127" s="803"/>
      <c r="BF127" s="803"/>
    </row>
    <row s="10822" customFormat="1" customHeight="1" ht="11.25">
      <c r="A128" s="1243"/>
      <c r="B128" s="1949"/>
      <c r="C128" s="1949"/>
      <c r="D128" s="572"/>
      <c r="J128" s="7715"/>
      <c r="K128" s="7715"/>
      <c r="L128" s="7715"/>
      <c r="M128" s="7715"/>
      <c r="N128" s="7715"/>
      <c r="O128" s="7715"/>
      <c r="P128" s="7715"/>
      <c r="Q128" s="7715"/>
      <c r="R128" s="7715"/>
      <c r="S128" s="7715"/>
      <c r="T128" s="7715"/>
      <c r="U128" s="7715"/>
      <c r="V128" s="7715"/>
      <c r="W128" s="7715"/>
      <c r="X128" s="7715"/>
      <c r="Y128" s="7715"/>
      <c r="Z128" s="7715"/>
      <c r="AA128" s="7715"/>
      <c r="AB128" s="7715"/>
      <c r="AC128" s="7715"/>
      <c r="AD128" s="7715"/>
      <c r="AE128" s="7715"/>
      <c r="AF128" s="7715"/>
      <c r="AG128" s="7715"/>
      <c r="AH128" s="7715"/>
      <c r="AI128" s="7715"/>
      <c r="AJ128" s="7715"/>
      <c r="AK128" s="7715"/>
      <c r="AL128" s="1421"/>
      <c r="AM128" s="1949"/>
      <c r="AN128" s="1949"/>
      <c r="AO128" s="1421"/>
      <c r="AP128" s="1421"/>
      <c r="AQ128" s="1421"/>
      <c r="AR128" s="1421"/>
      <c r="AS128" s="1949"/>
      <c r="AT128" s="1421"/>
      <c r="AU128" s="1421"/>
      <c r="AV128" s="781"/>
      <c r="AW128" s="1421"/>
      <c r="AX128" s="1421"/>
      <c r="AY128" s="1421"/>
      <c r="AZ128" s="1421"/>
      <c r="BA128" s="1421"/>
      <c r="BB128" s="1945"/>
      <c r="BC128" s="803"/>
      <c r="BD128" s="803"/>
      <c r="BE128" s="803"/>
      <c r="BF128" s="803"/>
    </row>
    <row s="10822" customFormat="1" customHeight="1" ht="11.25">
      <c r="A129" s="1243"/>
      <c r="B129" s="1949"/>
      <c r="C129" s="1949"/>
      <c r="D129" s="572"/>
      <c r="J129" s="7715"/>
      <c r="K129" s="7715"/>
      <c r="L129" s="7715"/>
      <c r="M129" s="7715"/>
      <c r="N129" s="7715"/>
      <c r="O129" s="7715"/>
      <c r="P129" s="7715"/>
      <c r="Q129" s="7715"/>
      <c r="R129" s="7715"/>
      <c r="S129" s="7715"/>
      <c r="T129" s="7715"/>
      <c r="U129" s="7715"/>
      <c r="V129" s="7715"/>
      <c r="W129" s="7715"/>
      <c r="X129" s="7715"/>
      <c r="Y129" s="7715"/>
      <c r="Z129" s="7715"/>
      <c r="AA129" s="7715"/>
      <c r="AB129" s="7715"/>
      <c r="AC129" s="7715"/>
      <c r="AD129" s="7715"/>
      <c r="AE129" s="7715"/>
      <c r="AF129" s="7715"/>
      <c r="AG129" s="7715"/>
      <c r="AH129" s="7715"/>
      <c r="AI129" s="7715"/>
      <c r="AJ129" s="7715"/>
      <c r="AK129" s="7715"/>
      <c r="AL129" s="1421"/>
      <c r="AM129" s="1949"/>
      <c r="AN129" s="1949"/>
      <c r="AO129" s="1421"/>
      <c r="AP129" s="1421"/>
      <c r="AQ129" s="1421"/>
      <c r="AR129" s="1421"/>
      <c r="AS129" s="1949"/>
      <c r="AT129" s="1421"/>
      <c r="AU129" s="1421"/>
      <c r="AV129" s="781"/>
      <c r="AW129" s="1421"/>
      <c r="AX129" s="1421"/>
      <c r="AY129" s="1421"/>
      <c r="AZ129" s="1421"/>
      <c r="BA129" s="1421"/>
      <c r="BB129" s="1945"/>
      <c r="BC129" s="803"/>
      <c r="BD129" s="803"/>
      <c r="BE129" s="803"/>
      <c r="BF129" s="803"/>
    </row>
    <row s="10822" customFormat="1" customHeight="1" ht="11.25">
      <c r="A130" s="1243"/>
      <c r="B130" s="1949"/>
      <c r="C130" s="1949"/>
      <c r="D130" s="572"/>
      <c r="J130" s="7715"/>
      <c r="K130" s="7715"/>
      <c r="L130" s="7715"/>
      <c r="M130" s="7715"/>
      <c r="N130" s="7715"/>
      <c r="O130" s="7715"/>
      <c r="P130" s="7715"/>
      <c r="Q130" s="7715"/>
      <c r="R130" s="7715"/>
      <c r="S130" s="7715"/>
      <c r="T130" s="7715"/>
      <c r="U130" s="7715"/>
      <c r="V130" s="7715"/>
      <c r="W130" s="7715"/>
      <c r="X130" s="7715"/>
      <c r="Y130" s="7715"/>
      <c r="Z130" s="7715"/>
      <c r="AA130" s="7715"/>
      <c r="AB130" s="7715"/>
      <c r="AC130" s="7715"/>
      <c r="AD130" s="7715"/>
      <c r="AE130" s="7715"/>
      <c r="AF130" s="7715"/>
      <c r="AG130" s="7715"/>
      <c r="AH130" s="7715"/>
      <c r="AI130" s="7715"/>
      <c r="AJ130" s="7715"/>
      <c r="AK130" s="7715"/>
      <c r="AL130" s="1421"/>
      <c r="AM130" s="1949"/>
      <c r="AN130" s="1949"/>
      <c r="AO130" s="1421"/>
      <c r="AP130" s="1421"/>
      <c r="AQ130" s="1421"/>
      <c r="AR130" s="1421"/>
      <c r="AS130" s="1949"/>
      <c r="AT130" s="1421"/>
      <c r="AU130" s="1421"/>
      <c r="AV130" s="781"/>
      <c r="AW130" s="1421"/>
      <c r="AX130" s="1421"/>
      <c r="AY130" s="1421"/>
      <c r="AZ130" s="1421"/>
      <c r="BA130" s="1421"/>
      <c r="BB130" s="1945"/>
      <c r="BC130" s="803"/>
      <c r="BD130" s="803"/>
      <c r="BE130" s="803"/>
      <c r="BF130" s="803"/>
    </row>
    <row s="10822" customFormat="1" customHeight="1" ht="11.25">
      <c r="A131" s="1243"/>
      <c r="B131" s="1949"/>
      <c r="C131" s="1949"/>
      <c r="D131" s="572"/>
      <c r="J131" s="7715"/>
      <c r="K131" s="7715"/>
      <c r="L131" s="7715"/>
      <c r="M131" s="7715"/>
      <c r="N131" s="7715"/>
      <c r="O131" s="7715"/>
      <c r="P131" s="7715"/>
      <c r="Q131" s="7715"/>
      <c r="R131" s="7715"/>
      <c r="S131" s="7715"/>
      <c r="T131" s="7715"/>
      <c r="U131" s="7715"/>
      <c r="V131" s="7715"/>
      <c r="W131" s="7715"/>
      <c r="X131" s="7715"/>
      <c r="Y131" s="7715"/>
      <c r="Z131" s="7715"/>
      <c r="AA131" s="7715"/>
      <c r="AB131" s="7715"/>
      <c r="AC131" s="7715"/>
      <c r="AD131" s="7715"/>
      <c r="AE131" s="7715"/>
      <c r="AF131" s="7715"/>
      <c r="AG131" s="7715"/>
      <c r="AH131" s="7715"/>
      <c r="AI131" s="7715"/>
      <c r="AJ131" s="7715"/>
      <c r="AK131" s="7715"/>
      <c r="AL131" s="1421"/>
      <c r="AM131" s="1949"/>
      <c r="AN131" s="1949"/>
      <c r="AO131" s="1421"/>
      <c r="AP131" s="1421"/>
      <c r="AQ131" s="1421"/>
      <c r="AR131" s="1421"/>
      <c r="AS131" s="1949"/>
      <c r="AT131" s="1421"/>
      <c r="AU131" s="1421"/>
      <c r="AV131" s="781"/>
      <c r="AW131" s="1421"/>
      <c r="AX131" s="1421"/>
      <c r="AY131" s="1421"/>
      <c r="AZ131" s="1421"/>
      <c r="BA131" s="1421"/>
      <c r="BB131" s="1945"/>
      <c r="BC131" s="803"/>
      <c r="BD131" s="803"/>
      <c r="BE131" s="803"/>
      <c r="BF131" s="803"/>
    </row>
    <row s="10822" customFormat="1" customHeight="1" ht="11.25">
      <c r="A132" s="1243"/>
      <c r="B132" s="1949"/>
      <c r="C132" s="1949"/>
      <c r="D132" s="572"/>
      <c r="J132" s="7715"/>
      <c r="K132" s="7715"/>
      <c r="L132" s="7715"/>
      <c r="M132" s="7715"/>
      <c r="N132" s="7715"/>
      <c r="O132" s="7715"/>
      <c r="P132" s="7715"/>
      <c r="Q132" s="7715"/>
      <c r="R132" s="7715"/>
      <c r="S132" s="7715"/>
      <c r="T132" s="7715"/>
      <c r="U132" s="7715"/>
      <c r="V132" s="7715"/>
      <c r="W132" s="7715"/>
      <c r="X132" s="7715"/>
      <c r="Y132" s="7715"/>
      <c r="Z132" s="7715"/>
      <c r="AA132" s="7715"/>
      <c r="AB132" s="7715"/>
      <c r="AC132" s="7715"/>
      <c r="AD132" s="7715"/>
      <c r="AE132" s="7715"/>
      <c r="AF132" s="7715"/>
      <c r="AG132" s="7715"/>
      <c r="AH132" s="7715"/>
      <c r="AI132" s="7715"/>
      <c r="AJ132" s="7715"/>
      <c r="AK132" s="7715"/>
      <c r="AL132" s="1421"/>
      <c r="AM132" s="1949"/>
      <c r="AN132" s="1949"/>
      <c r="AO132" s="1421"/>
      <c r="AP132" s="1421"/>
      <c r="AQ132" s="1421"/>
      <c r="AR132" s="1421"/>
      <c r="AS132" s="1949"/>
      <c r="AT132" s="1421"/>
      <c r="AU132" s="1421"/>
      <c r="AV132" s="781"/>
      <c r="AW132" s="1421"/>
      <c r="AX132" s="1421"/>
      <c r="AY132" s="1421"/>
      <c r="AZ132" s="1421"/>
      <c r="BA132" s="1421"/>
      <c r="BB132" s="1945"/>
      <c r="BC132" s="803"/>
      <c r="BD132" s="803"/>
      <c r="BE132" s="803"/>
      <c r="BF132" s="803"/>
    </row>
    <row s="10822" customFormat="1" customHeight="1" ht="11.25">
      <c r="A133" s="1243"/>
      <c r="B133" s="1949"/>
      <c r="C133" s="1949"/>
      <c r="D133" s="572"/>
      <c r="J133" s="7715"/>
      <c r="K133" s="7715"/>
      <c r="L133" s="7715"/>
      <c r="M133" s="7715"/>
      <c r="N133" s="7715"/>
      <c r="O133" s="7715"/>
      <c r="P133" s="7715"/>
      <c r="Q133" s="7715"/>
      <c r="R133" s="7715"/>
      <c r="S133" s="7715"/>
      <c r="T133" s="7715"/>
      <c r="U133" s="7715"/>
      <c r="V133" s="7715"/>
      <c r="W133" s="7715"/>
      <c r="X133" s="7715"/>
      <c r="Y133" s="7715"/>
      <c r="Z133" s="7715"/>
      <c r="AA133" s="7715"/>
      <c r="AB133" s="7715"/>
      <c r="AC133" s="7715"/>
      <c r="AD133" s="7715"/>
      <c r="AE133" s="7715"/>
      <c r="AF133" s="7715"/>
      <c r="AG133" s="7715"/>
      <c r="AH133" s="7715"/>
      <c r="AI133" s="7715"/>
      <c r="AJ133" s="7715"/>
      <c r="AK133" s="7715"/>
      <c r="AL133" s="1421"/>
      <c r="AM133" s="1949"/>
      <c r="AN133" s="1949"/>
      <c r="AO133" s="1421"/>
      <c r="AP133" s="1421"/>
      <c r="AQ133" s="1421"/>
      <c r="AR133" s="1421"/>
      <c r="AS133" s="1949"/>
      <c r="AT133" s="1421"/>
      <c r="AU133" s="1421"/>
      <c r="AV133" s="781"/>
      <c r="AW133" s="1421"/>
      <c r="AX133" s="1421"/>
      <c r="AY133" s="1421"/>
      <c r="AZ133" s="1421"/>
      <c r="BA133" s="1421"/>
      <c r="BB133" s="1945"/>
      <c r="BC133" s="803"/>
      <c r="BD133" s="803"/>
      <c r="BE133" s="803"/>
      <c r="BF133" s="803"/>
    </row>
    <row s="10822" customFormat="1" customHeight="1" ht="11.25">
      <c r="A134" s="1243"/>
      <c r="B134" s="1949"/>
      <c r="C134" s="1949"/>
      <c r="D134" s="572"/>
      <c r="J134" s="7715"/>
      <c r="K134" s="7715"/>
      <c r="L134" s="7715"/>
      <c r="M134" s="7715"/>
      <c r="N134" s="7715"/>
      <c r="O134" s="7715"/>
      <c r="P134" s="7715"/>
      <c r="Q134" s="7715"/>
      <c r="R134" s="7715"/>
      <c r="S134" s="7715"/>
      <c r="T134" s="7715"/>
      <c r="U134" s="7715"/>
      <c r="V134" s="7715"/>
      <c r="W134" s="7715"/>
      <c r="X134" s="7715"/>
      <c r="Y134" s="7715"/>
      <c r="Z134" s="7715"/>
      <c r="AA134" s="7715"/>
      <c r="AB134" s="7715"/>
      <c r="AC134" s="7715"/>
      <c r="AD134" s="7715"/>
      <c r="AE134" s="7715"/>
      <c r="AF134" s="7715"/>
      <c r="AG134" s="7715"/>
      <c r="AH134" s="7715"/>
      <c r="AI134" s="7715"/>
      <c r="AJ134" s="7715"/>
      <c r="AK134" s="7715"/>
      <c r="AL134" s="1421"/>
      <c r="AM134" s="1949"/>
      <c r="AN134" s="1949"/>
      <c r="AO134" s="1421"/>
      <c r="AP134" s="1421"/>
      <c r="AQ134" s="1421"/>
      <c r="AR134" s="1421"/>
      <c r="AS134" s="1949"/>
      <c r="AT134" s="1421"/>
      <c r="AU134" s="1421"/>
      <c r="AV134" s="781"/>
      <c r="AW134" s="1421"/>
      <c r="AX134" s="1421"/>
      <c r="AY134" s="1421"/>
      <c r="AZ134" s="1421"/>
      <c r="BA134" s="1421"/>
      <c r="BB134" s="1945"/>
      <c r="BC134" s="803"/>
      <c r="BD134" s="803"/>
      <c r="BE134" s="803"/>
      <c r="BF134" s="803"/>
    </row>
    <row s="10822" customFormat="1" customHeight="1" ht="11.25">
      <c r="A135" s="1243"/>
      <c r="B135" s="1949"/>
      <c r="C135" s="1949"/>
      <c r="D135" s="572"/>
      <c r="J135" s="7715"/>
      <c r="K135" s="7715"/>
      <c r="L135" s="7715"/>
      <c r="M135" s="7715"/>
      <c r="N135" s="7715"/>
      <c r="O135" s="7715"/>
      <c r="P135" s="7715"/>
      <c r="Q135" s="7715"/>
      <c r="R135" s="7715"/>
      <c r="S135" s="7715"/>
      <c r="T135" s="7715"/>
      <c r="U135" s="7715"/>
      <c r="V135" s="7715"/>
      <c r="W135" s="7715"/>
      <c r="X135" s="7715"/>
      <c r="Y135" s="7715"/>
      <c r="Z135" s="7715"/>
      <c r="AA135" s="7715"/>
      <c r="AB135" s="7715"/>
      <c r="AC135" s="7715"/>
      <c r="AD135" s="7715"/>
      <c r="AE135" s="7715"/>
      <c r="AF135" s="7715"/>
      <c r="AG135" s="7715"/>
      <c r="AH135" s="7715"/>
      <c r="AI135" s="7715"/>
      <c r="AJ135" s="7715"/>
      <c r="AK135" s="7715"/>
      <c r="AL135" s="1421"/>
      <c r="AM135" s="1949"/>
      <c r="AN135" s="1949"/>
      <c r="AO135" s="1421"/>
      <c r="AP135" s="1421"/>
      <c r="AQ135" s="1421"/>
      <c r="AR135" s="1421"/>
      <c r="AS135" s="1949"/>
      <c r="AT135" s="1421"/>
      <c r="AU135" s="1421"/>
      <c r="AV135" s="781"/>
      <c r="AW135" s="1421"/>
      <c r="AX135" s="1421"/>
      <c r="AY135" s="1421"/>
      <c r="AZ135" s="1421"/>
      <c r="BA135" s="1421"/>
      <c r="BB135" s="1945"/>
      <c r="BC135" s="803"/>
      <c r="BD135" s="803"/>
      <c r="BE135" s="803"/>
      <c r="BF135" s="803"/>
    </row>
    <row s="10822" customFormat="1" customHeight="1" ht="11.25">
      <c r="A136" s="1243"/>
      <c r="B136" s="1949"/>
      <c r="C136" s="1949"/>
      <c r="D136" s="572"/>
      <c r="J136" s="7715"/>
      <c r="K136" s="7715"/>
      <c r="L136" s="7715"/>
      <c r="M136" s="7715"/>
      <c r="N136" s="7715"/>
      <c r="O136" s="7715"/>
      <c r="P136" s="7715"/>
      <c r="Q136" s="7715"/>
      <c r="R136" s="7715"/>
      <c r="S136" s="7715"/>
      <c r="T136" s="7715"/>
      <c r="U136" s="7715"/>
      <c r="V136" s="7715"/>
      <c r="W136" s="7715"/>
      <c r="X136" s="7715"/>
      <c r="Y136" s="7715"/>
      <c r="Z136" s="7715"/>
      <c r="AA136" s="7715"/>
      <c r="AB136" s="7715"/>
      <c r="AC136" s="7715"/>
      <c r="AD136" s="7715"/>
      <c r="AE136" s="7715"/>
      <c r="AF136" s="7715"/>
      <c r="AG136" s="7715"/>
      <c r="AH136" s="7715"/>
      <c r="AI136" s="7715"/>
      <c r="AJ136" s="7715"/>
      <c r="AK136" s="7715"/>
      <c r="AL136" s="1421"/>
      <c r="AM136" s="1949"/>
      <c r="AN136" s="1949"/>
      <c r="AO136" s="1421"/>
      <c r="AP136" s="1421"/>
      <c r="AQ136" s="1421"/>
      <c r="AR136" s="1421"/>
      <c r="AS136" s="1949"/>
      <c r="AT136" s="1421"/>
      <c r="AU136" s="1421"/>
      <c r="AV136" s="781"/>
      <c r="AW136" s="1421"/>
      <c r="AX136" s="1421"/>
      <c r="AY136" s="1421"/>
      <c r="AZ136" s="1421"/>
      <c r="BA136" s="1421"/>
      <c r="BB136" s="1945"/>
      <c r="BC136" s="803"/>
      <c r="BD136" s="803"/>
      <c r="BE136" s="803"/>
      <c r="BF136" s="803"/>
    </row>
    <row s="10822" customFormat="1" customHeight="1" ht="11.25">
      <c r="A137" s="1243"/>
      <c r="B137" s="1949"/>
      <c r="C137" s="1949"/>
      <c r="D137" s="572"/>
      <c r="J137" s="7715"/>
      <c r="K137" s="7715"/>
      <c r="L137" s="7715"/>
      <c r="M137" s="7715"/>
      <c r="N137" s="7715"/>
      <c r="O137" s="7715"/>
      <c r="P137" s="7715"/>
      <c r="Q137" s="7715"/>
      <c r="R137" s="7715"/>
      <c r="S137" s="7715"/>
      <c r="T137" s="7715"/>
      <c r="U137" s="7715"/>
      <c r="V137" s="7715"/>
      <c r="W137" s="7715"/>
      <c r="X137" s="7715"/>
      <c r="Y137" s="7715"/>
      <c r="Z137" s="7715"/>
      <c r="AA137" s="7715"/>
      <c r="AB137" s="7715"/>
      <c r="AC137" s="7715"/>
      <c r="AD137" s="7715"/>
      <c r="AE137" s="7715"/>
      <c r="AF137" s="7715"/>
      <c r="AG137" s="7715"/>
      <c r="AH137" s="7715"/>
      <c r="AI137" s="7715"/>
      <c r="AJ137" s="7715"/>
      <c r="AK137" s="7715"/>
      <c r="AL137" s="1421"/>
      <c r="AM137" s="1949"/>
      <c r="AN137" s="1949"/>
      <c r="AO137" s="1421"/>
      <c r="AP137" s="1421"/>
      <c r="AQ137" s="1421"/>
      <c r="AR137" s="1421"/>
      <c r="AS137" s="1949"/>
      <c r="AT137" s="1421"/>
      <c r="AU137" s="1421"/>
      <c r="AV137" s="781"/>
      <c r="AW137" s="1421"/>
      <c r="AX137" s="1421"/>
      <c r="AY137" s="1421"/>
      <c r="AZ137" s="1421"/>
      <c r="BA137" s="1421"/>
      <c r="BB137" s="1945"/>
      <c r="BC137" s="803"/>
      <c r="BD137" s="803"/>
      <c r="BE137" s="803"/>
      <c r="BF137" s="803"/>
    </row>
    <row s="10822" customFormat="1" customHeight="1" ht="11.25">
      <c r="A138" s="1243"/>
      <c r="B138" s="1949"/>
      <c r="C138" s="1949"/>
      <c r="D138" s="572"/>
      <c r="J138" s="7715"/>
      <c r="K138" s="7715"/>
      <c r="L138" s="7715"/>
      <c r="M138" s="7715"/>
      <c r="N138" s="7715"/>
      <c r="O138" s="7715"/>
      <c r="P138" s="7715"/>
      <c r="Q138" s="7715"/>
      <c r="R138" s="7715"/>
      <c r="S138" s="7715"/>
      <c r="T138" s="7715"/>
      <c r="U138" s="7715"/>
      <c r="V138" s="7715"/>
      <c r="W138" s="7715"/>
      <c r="X138" s="7715"/>
      <c r="Y138" s="7715"/>
      <c r="Z138" s="7715"/>
      <c r="AA138" s="7715"/>
      <c r="AB138" s="7715"/>
      <c r="AC138" s="7715"/>
      <c r="AD138" s="7715"/>
      <c r="AE138" s="7715"/>
      <c r="AF138" s="7715"/>
      <c r="AG138" s="7715"/>
      <c r="AH138" s="7715"/>
      <c r="AI138" s="7715"/>
      <c r="AJ138" s="7715"/>
      <c r="AK138" s="7715"/>
      <c r="AL138" s="1421"/>
      <c r="AM138" s="1949"/>
      <c r="AN138" s="1949"/>
      <c r="AO138" s="1421"/>
      <c r="AP138" s="1421"/>
      <c r="AQ138" s="1421"/>
      <c r="AR138" s="1421"/>
      <c r="AS138" s="1949"/>
      <c r="AT138" s="1421"/>
      <c r="AU138" s="1421"/>
      <c r="AV138" s="781"/>
      <c r="AW138" s="1421"/>
      <c r="AX138" s="1421"/>
      <c r="AY138" s="1421"/>
      <c r="AZ138" s="1421"/>
      <c r="BA138" s="1421"/>
      <c r="BB138" s="1945"/>
      <c r="BC138" s="803"/>
      <c r="BD138" s="803"/>
      <c r="BE138" s="803"/>
      <c r="BF138" s="803"/>
    </row>
    <row s="10822" customFormat="1" customHeight="1" ht="11.25">
      <c r="A139" s="1243"/>
      <c r="B139" s="1949"/>
      <c r="C139" s="1949"/>
      <c r="D139" s="572"/>
      <c r="J139" s="7715"/>
      <c r="K139" s="7715"/>
      <c r="L139" s="7715"/>
      <c r="M139" s="7715"/>
      <c r="N139" s="7715"/>
      <c r="O139" s="7715"/>
      <c r="P139" s="7715"/>
      <c r="Q139" s="7715"/>
      <c r="R139" s="7715"/>
      <c r="S139" s="7715"/>
      <c r="T139" s="7715"/>
      <c r="U139" s="7715"/>
      <c r="V139" s="7715"/>
      <c r="W139" s="7715"/>
      <c r="X139" s="7715"/>
      <c r="Y139" s="7715"/>
      <c r="Z139" s="7715"/>
      <c r="AA139" s="7715"/>
      <c r="AB139" s="7715"/>
      <c r="AC139" s="7715"/>
      <c r="AD139" s="7715"/>
      <c r="AE139" s="7715"/>
      <c r="AF139" s="7715"/>
      <c r="AG139" s="7715"/>
      <c r="AH139" s="7715"/>
      <c r="AI139" s="7715"/>
      <c r="AJ139" s="7715"/>
      <c r="AK139" s="7715"/>
      <c r="AL139" s="1421"/>
      <c r="AM139" s="1949"/>
      <c r="AN139" s="1949"/>
      <c r="AO139" s="1421"/>
      <c r="AP139" s="1421"/>
      <c r="AQ139" s="1421"/>
      <c r="AR139" s="1421"/>
      <c r="AS139" s="1949"/>
      <c r="AT139" s="1421"/>
      <c r="AU139" s="1421"/>
      <c r="AV139" s="781"/>
      <c r="AW139" s="1421"/>
      <c r="AX139" s="1421"/>
      <c r="AY139" s="1421"/>
      <c r="AZ139" s="1421"/>
      <c r="BA139" s="1421"/>
      <c r="BB139" s="1945"/>
      <c r="BC139" s="803"/>
      <c r="BD139" s="803"/>
      <c r="BE139" s="803"/>
      <c r="BF139" s="803"/>
    </row>
    <row s="10822" customFormat="1" customHeight="1" ht="11.25">
      <c r="A140" s="1243"/>
      <c r="B140" s="1949"/>
      <c r="C140" s="1949"/>
      <c r="D140" s="572"/>
      <c r="J140" s="7715"/>
      <c r="K140" s="7715"/>
      <c r="L140" s="7715"/>
      <c r="M140" s="7715"/>
      <c r="N140" s="7715"/>
      <c r="O140" s="7715"/>
      <c r="P140" s="7715"/>
      <c r="Q140" s="7715"/>
      <c r="R140" s="7715"/>
      <c r="S140" s="7715"/>
      <c r="T140" s="7715"/>
      <c r="U140" s="7715"/>
      <c r="V140" s="7715"/>
      <c r="W140" s="7715"/>
      <c r="X140" s="7715"/>
      <c r="Y140" s="7715"/>
      <c r="Z140" s="7715"/>
      <c r="AA140" s="7715"/>
      <c r="AB140" s="7715"/>
      <c r="AC140" s="7715"/>
      <c r="AD140" s="7715"/>
      <c r="AE140" s="7715"/>
      <c r="AF140" s="7715"/>
      <c r="AG140" s="7715"/>
      <c r="AH140" s="7715"/>
      <c r="AI140" s="7715"/>
      <c r="AJ140" s="7715"/>
      <c r="AK140" s="7715"/>
      <c r="AL140" s="1421"/>
      <c r="AM140" s="1949"/>
      <c r="AN140" s="1949"/>
      <c r="AO140" s="1421"/>
      <c r="AP140" s="1421"/>
      <c r="AQ140" s="1421"/>
      <c r="AR140" s="1421"/>
      <c r="AS140" s="1949"/>
      <c r="AT140" s="1421"/>
      <c r="AU140" s="1421"/>
      <c r="AV140" s="781"/>
      <c r="AW140" s="1421"/>
      <c r="AX140" s="1421"/>
      <c r="AY140" s="1421"/>
      <c r="AZ140" s="1421"/>
      <c r="BA140" s="1421"/>
      <c r="BB140" s="1945"/>
      <c r="BC140" s="803"/>
      <c r="BD140" s="803"/>
      <c r="BE140" s="803"/>
      <c r="BF140" s="803"/>
    </row>
    <row s="10822" customFormat="1" customHeight="1" ht="11.25">
      <c r="A141" s="1243"/>
      <c r="B141" s="1949"/>
      <c r="C141" s="1949"/>
      <c r="D141" s="572"/>
      <c r="J141" s="7715"/>
      <c r="K141" s="7715"/>
      <c r="L141" s="7715"/>
      <c r="M141" s="7715"/>
      <c r="N141" s="7715"/>
      <c r="O141" s="7715"/>
      <c r="P141" s="7715"/>
      <c r="Q141" s="7715"/>
      <c r="R141" s="7715"/>
      <c r="S141" s="7715"/>
      <c r="T141" s="7715"/>
      <c r="U141" s="7715"/>
      <c r="V141" s="7715"/>
      <c r="W141" s="7715"/>
      <c r="X141" s="7715"/>
      <c r="Y141" s="7715"/>
      <c r="Z141" s="7715"/>
      <c r="AA141" s="7715"/>
      <c r="AB141" s="7715"/>
      <c r="AC141" s="7715"/>
      <c r="AD141" s="7715"/>
      <c r="AE141" s="7715"/>
      <c r="AF141" s="7715"/>
      <c r="AG141" s="7715"/>
      <c r="AH141" s="7715"/>
      <c r="AI141" s="7715"/>
      <c r="AJ141" s="7715"/>
      <c r="AK141" s="7715"/>
      <c r="AL141" s="1421"/>
      <c r="AM141" s="1949"/>
      <c r="AN141" s="1949"/>
      <c r="AO141" s="1421"/>
      <c r="AP141" s="1421"/>
      <c r="AQ141" s="1421"/>
      <c r="AR141" s="1421"/>
      <c r="AS141" s="1949"/>
      <c r="AT141" s="1421"/>
      <c r="AU141" s="1421"/>
      <c r="AV141" s="781"/>
      <c r="AW141" s="1421"/>
      <c r="AX141" s="1421"/>
      <c r="AY141" s="1421"/>
      <c r="AZ141" s="1421"/>
      <c r="BA141" s="1421"/>
      <c r="BB141" s="1945"/>
      <c r="BC141" s="803"/>
      <c r="BD141" s="803"/>
      <c r="BE141" s="803"/>
      <c r="BF141" s="803"/>
    </row>
    <row s="10822" customFormat="1" customHeight="1" ht="11.25">
      <c r="A142" s="1243"/>
      <c r="B142" s="1949"/>
      <c r="C142" s="1949"/>
      <c r="D142" s="572"/>
      <c r="J142" s="7715"/>
      <c r="K142" s="7715"/>
      <c r="L142" s="7715"/>
      <c r="M142" s="7715"/>
      <c r="N142" s="7715"/>
      <c r="O142" s="7715"/>
      <c r="P142" s="7715"/>
      <c r="Q142" s="7715"/>
      <c r="R142" s="7715"/>
      <c r="S142" s="7715"/>
      <c r="T142" s="7715"/>
      <c r="U142" s="7715"/>
      <c r="V142" s="7715"/>
      <c r="W142" s="7715"/>
      <c r="X142" s="7715"/>
      <c r="Y142" s="7715"/>
      <c r="Z142" s="7715"/>
      <c r="AA142" s="7715"/>
      <c r="AB142" s="7715"/>
      <c r="AC142" s="7715"/>
      <c r="AD142" s="7715"/>
      <c r="AE142" s="7715"/>
      <c r="AF142" s="7715"/>
      <c r="AG142" s="7715"/>
      <c r="AH142" s="7715"/>
      <c r="AI142" s="7715"/>
      <c r="AJ142" s="7715"/>
      <c r="AK142" s="7715"/>
      <c r="AL142" s="1421"/>
      <c r="AM142" s="1949"/>
      <c r="AN142" s="1949"/>
      <c r="AO142" s="1421"/>
      <c r="AP142" s="1421"/>
      <c r="AQ142" s="1421"/>
      <c r="AR142" s="1421"/>
      <c r="AS142" s="1949"/>
      <c r="AT142" s="1421"/>
      <c r="AU142" s="1421"/>
      <c r="AV142" s="781"/>
      <c r="AW142" s="1421"/>
      <c r="AX142" s="1421"/>
      <c r="AY142" s="1421"/>
      <c r="AZ142" s="1421"/>
      <c r="BA142" s="1421"/>
      <c r="BB142" s="1945"/>
      <c r="BC142" s="803"/>
      <c r="BD142" s="803"/>
      <c r="BE142" s="803"/>
      <c r="BF142" s="803"/>
    </row>
    <row s="10822" customFormat="1" customHeight="1" ht="11.25">
      <c r="A143" s="1243"/>
      <c r="B143" s="1949"/>
      <c r="C143" s="1949"/>
      <c r="D143" s="572"/>
      <c r="J143" s="7715"/>
      <c r="K143" s="7715"/>
      <c r="L143" s="7715"/>
      <c r="M143" s="7715"/>
      <c r="N143" s="7715"/>
      <c r="O143" s="7715"/>
      <c r="P143" s="7715"/>
      <c r="Q143" s="7715"/>
      <c r="R143" s="7715"/>
      <c r="S143" s="7715"/>
      <c r="T143" s="7715"/>
      <c r="U143" s="7715"/>
      <c r="V143" s="7715"/>
      <c r="W143" s="7715"/>
      <c r="X143" s="7715"/>
      <c r="Y143" s="7715"/>
      <c r="Z143" s="7715"/>
      <c r="AA143" s="7715"/>
      <c r="AB143" s="7715"/>
      <c r="AC143" s="7715"/>
      <c r="AD143" s="7715"/>
      <c r="AE143" s="7715"/>
      <c r="AF143" s="7715"/>
      <c r="AG143" s="7715"/>
      <c r="AH143" s="7715"/>
      <c r="AI143" s="7715"/>
      <c r="AJ143" s="7715"/>
      <c r="AK143" s="7715"/>
      <c r="AL143" s="1421"/>
      <c r="AM143" s="1949"/>
      <c r="AN143" s="1949"/>
      <c r="AO143" s="1421"/>
      <c r="AP143" s="1421"/>
      <c r="AQ143" s="1421"/>
      <c r="AR143" s="1421"/>
      <c r="AS143" s="1949"/>
      <c r="AT143" s="1421"/>
      <c r="AU143" s="1421"/>
      <c r="AV143" s="781"/>
      <c r="AW143" s="1421"/>
      <c r="AX143" s="1421"/>
      <c r="AY143" s="1421"/>
      <c r="AZ143" s="1421"/>
      <c r="BA143" s="1421"/>
      <c r="BB143" s="1945"/>
      <c r="BC143" s="803"/>
      <c r="BD143" s="803"/>
      <c r="BE143" s="803"/>
      <c r="BF143" s="803"/>
    </row>
    <row s="10822" customFormat="1" customHeight="1" ht="11.25">
      <c r="A144" s="1243"/>
      <c r="B144" s="1949"/>
      <c r="C144" s="1949"/>
      <c r="D144" s="572"/>
      <c r="J144" s="7715"/>
      <c r="K144" s="7715"/>
      <c r="L144" s="7715"/>
      <c r="M144" s="7715"/>
      <c r="N144" s="7715"/>
      <c r="O144" s="7715"/>
      <c r="P144" s="7715"/>
      <c r="Q144" s="7715"/>
      <c r="R144" s="7715"/>
      <c r="S144" s="7715"/>
      <c r="T144" s="7715"/>
      <c r="U144" s="7715"/>
      <c r="V144" s="7715"/>
      <c r="W144" s="7715"/>
      <c r="X144" s="7715"/>
      <c r="Y144" s="7715"/>
      <c r="Z144" s="7715"/>
      <c r="AA144" s="7715"/>
      <c r="AB144" s="7715"/>
      <c r="AC144" s="7715"/>
      <c r="AD144" s="7715"/>
      <c r="AE144" s="7715"/>
      <c r="AF144" s="7715"/>
      <c r="AG144" s="7715"/>
      <c r="AH144" s="7715"/>
      <c r="AI144" s="7715"/>
      <c r="AJ144" s="7715"/>
      <c r="AK144" s="7715"/>
      <c r="AL144" s="1421"/>
      <c r="AM144" s="1949"/>
      <c r="AN144" s="1949"/>
      <c r="AO144" s="1421"/>
      <c r="AP144" s="1421"/>
      <c r="AQ144" s="1421"/>
      <c r="AR144" s="1421"/>
      <c r="AS144" s="1949"/>
      <c r="AT144" s="1421"/>
      <c r="AU144" s="1421"/>
      <c r="AV144" s="781"/>
      <c r="AW144" s="1421"/>
      <c r="AX144" s="1421"/>
      <c r="AY144" s="1421"/>
      <c r="AZ144" s="1421"/>
      <c r="BA144" s="1421"/>
      <c r="BB144" s="1945"/>
      <c r="BC144" s="803"/>
      <c r="BD144" s="803"/>
      <c r="BE144" s="803"/>
      <c r="BF144" s="803"/>
    </row>
    <row s="10822" customFormat="1" customHeight="1" ht="11.25">
      <c r="A145" s="1243"/>
      <c r="B145" s="1949"/>
      <c r="C145" s="1949"/>
      <c r="D145" s="572"/>
      <c r="J145" s="7715"/>
      <c r="K145" s="7715"/>
      <c r="L145" s="7715"/>
      <c r="M145" s="7715"/>
      <c r="N145" s="7715"/>
      <c r="O145" s="7715"/>
      <c r="P145" s="7715"/>
      <c r="Q145" s="7715"/>
      <c r="R145" s="7715"/>
      <c r="S145" s="7715"/>
      <c r="T145" s="7715"/>
      <c r="U145" s="7715"/>
      <c r="V145" s="7715"/>
      <c r="W145" s="7715"/>
      <c r="X145" s="7715"/>
      <c r="Y145" s="7715"/>
      <c r="Z145" s="7715"/>
      <c r="AA145" s="7715"/>
      <c r="AB145" s="7715"/>
      <c r="AC145" s="7715"/>
      <c r="AD145" s="7715"/>
      <c r="AE145" s="7715"/>
      <c r="AF145" s="7715"/>
      <c r="AG145" s="7715"/>
      <c r="AH145" s="7715"/>
      <c r="AI145" s="7715"/>
      <c r="AJ145" s="7715"/>
      <c r="AK145" s="7715"/>
      <c r="AL145" s="1421"/>
      <c r="AM145" s="1949"/>
      <c r="AN145" s="1949"/>
      <c r="AO145" s="1421"/>
      <c r="AP145" s="1421"/>
      <c r="AQ145" s="1421"/>
      <c r="AR145" s="1421"/>
      <c r="AS145" s="1949"/>
      <c r="AT145" s="1421"/>
      <c r="AU145" s="1421"/>
      <c r="AV145" s="781"/>
      <c r="AW145" s="1421"/>
      <c r="AX145" s="1421"/>
      <c r="AY145" s="1421"/>
      <c r="AZ145" s="1421"/>
      <c r="BA145" s="1421"/>
      <c r="BB145" s="1945"/>
      <c r="BC145" s="803"/>
      <c r="BD145" s="803"/>
      <c r="BE145" s="803"/>
      <c r="BF145" s="803"/>
    </row>
    <row s="10822" customFormat="1" customHeight="1" ht="11.25">
      <c r="A146" s="1243"/>
      <c r="B146" s="1949"/>
      <c r="C146" s="1949"/>
      <c r="D146" s="572"/>
      <c r="J146" s="7715"/>
      <c r="K146" s="7715"/>
      <c r="L146" s="7715"/>
      <c r="M146" s="7715"/>
      <c r="N146" s="7715"/>
      <c r="O146" s="7715"/>
      <c r="P146" s="7715"/>
      <c r="Q146" s="7715"/>
      <c r="R146" s="7715"/>
      <c r="S146" s="7715"/>
      <c r="T146" s="7715"/>
      <c r="U146" s="7715"/>
      <c r="V146" s="7715"/>
      <c r="W146" s="7715"/>
      <c r="X146" s="7715"/>
      <c r="Y146" s="7715"/>
      <c r="Z146" s="7715"/>
      <c r="AA146" s="7715"/>
      <c r="AB146" s="7715"/>
      <c r="AC146" s="7715"/>
      <c r="AD146" s="7715"/>
      <c r="AE146" s="7715"/>
      <c r="AF146" s="7715"/>
      <c r="AG146" s="7715"/>
      <c r="AH146" s="7715"/>
      <c r="AI146" s="7715"/>
      <c r="AJ146" s="7715"/>
      <c r="AK146" s="7715"/>
      <c r="AL146" s="1421"/>
      <c r="AM146" s="1949"/>
      <c r="AN146" s="1949"/>
      <c r="AO146" s="1421"/>
      <c r="AP146" s="1421"/>
      <c r="AQ146" s="1421"/>
      <c r="AR146" s="1421"/>
      <c r="AS146" s="1949"/>
      <c r="AT146" s="1421"/>
      <c r="AU146" s="1421"/>
      <c r="AV146" s="781"/>
      <c r="AW146" s="1421"/>
      <c r="AX146" s="1421"/>
      <c r="AY146" s="1421"/>
      <c r="AZ146" s="1421"/>
      <c r="BA146" s="1421"/>
      <c r="BB146" s="1945"/>
      <c r="BC146" s="803"/>
      <c r="BD146" s="803"/>
      <c r="BE146" s="803"/>
      <c r="BF146" s="803"/>
    </row>
    <row s="10822" customFormat="1" customHeight="1" ht="11.25">
      <c r="A147" s="1243"/>
      <c r="B147" s="1949"/>
      <c r="C147" s="1949"/>
      <c r="D147" s="572"/>
      <c r="J147" s="7715"/>
      <c r="K147" s="7715"/>
      <c r="L147" s="7715"/>
      <c r="M147" s="7715"/>
      <c r="N147" s="7715"/>
      <c r="O147" s="7715"/>
      <c r="P147" s="7715"/>
      <c r="Q147" s="7715"/>
      <c r="R147" s="7715"/>
      <c r="S147" s="7715"/>
      <c r="T147" s="7715"/>
      <c r="U147" s="7715"/>
      <c r="V147" s="7715"/>
      <c r="W147" s="7715"/>
      <c r="X147" s="7715"/>
      <c r="Y147" s="7715"/>
      <c r="Z147" s="7715"/>
      <c r="AA147" s="7715"/>
      <c r="AB147" s="7715"/>
      <c r="AC147" s="7715"/>
      <c r="AD147" s="7715"/>
      <c r="AE147" s="7715"/>
      <c r="AF147" s="7715"/>
      <c r="AG147" s="7715"/>
      <c r="AH147" s="7715"/>
      <c r="AI147" s="7715"/>
      <c r="AJ147" s="7715"/>
      <c r="AK147" s="7715"/>
      <c r="AL147" s="1421"/>
      <c r="AM147" s="1949"/>
      <c r="AN147" s="1949"/>
      <c r="AO147" s="1421"/>
      <c r="AP147" s="1421"/>
      <c r="AQ147" s="1421"/>
      <c r="AR147" s="1421"/>
      <c r="AS147" s="1949"/>
      <c r="AT147" s="1421"/>
      <c r="AU147" s="1421"/>
      <c r="AV147" s="781"/>
      <c r="AW147" s="1421"/>
      <c r="AX147" s="1421"/>
      <c r="AY147" s="1421"/>
      <c r="AZ147" s="1421"/>
      <c r="BA147" s="1421"/>
      <c r="BB147" s="1945"/>
      <c r="BC147" s="803"/>
      <c r="BD147" s="803"/>
      <c r="BE147" s="803"/>
      <c r="BF147" s="803"/>
    </row>
    <row s="10822" customFormat="1" customHeight="1" ht="11.25">
      <c r="A148" s="1243"/>
      <c r="B148" s="1949"/>
      <c r="C148" s="1949"/>
      <c r="D148" s="572"/>
      <c r="J148" s="7715"/>
      <c r="K148" s="7715"/>
      <c r="L148" s="7715"/>
      <c r="M148" s="7715"/>
      <c r="N148" s="7715"/>
      <c r="O148" s="7715"/>
      <c r="P148" s="7715"/>
      <c r="Q148" s="7715"/>
      <c r="R148" s="7715"/>
      <c r="S148" s="7715"/>
      <c r="T148" s="7715"/>
      <c r="U148" s="7715"/>
      <c r="V148" s="7715"/>
      <c r="W148" s="7715"/>
      <c r="X148" s="7715"/>
      <c r="Y148" s="7715"/>
      <c r="Z148" s="7715"/>
      <c r="AA148" s="7715"/>
      <c r="AB148" s="7715"/>
      <c r="AC148" s="7715"/>
      <c r="AD148" s="7715"/>
      <c r="AE148" s="7715"/>
      <c r="AF148" s="7715"/>
      <c r="AG148" s="7715"/>
      <c r="AH148" s="7715"/>
      <c r="AI148" s="7715"/>
      <c r="AJ148" s="7715"/>
      <c r="AK148" s="7715"/>
      <c r="AL148" s="1421"/>
      <c r="AM148" s="1949"/>
      <c r="AN148" s="1949"/>
      <c r="AO148" s="1421"/>
      <c r="AP148" s="1421"/>
      <c r="AQ148" s="1421"/>
      <c r="AR148" s="1421"/>
      <c r="AS148" s="1949"/>
      <c r="AT148" s="1421"/>
      <c r="AU148" s="1421"/>
      <c r="AV148" s="781"/>
      <c r="AW148" s="1421"/>
      <c r="AX148" s="1421"/>
      <c r="AY148" s="1421"/>
      <c r="AZ148" s="1421"/>
      <c r="BA148" s="1421"/>
      <c r="BB148" s="1945"/>
      <c r="BC148" s="803"/>
      <c r="BD148" s="803"/>
      <c r="BE148" s="803"/>
      <c r="BF148" s="803"/>
    </row>
    <row s="10822" customFormat="1" customHeight="1" ht="11.25">
      <c r="A149" s="1243"/>
      <c r="B149" s="1949"/>
      <c r="C149" s="1949"/>
      <c r="D149" s="572"/>
      <c r="J149" s="7715"/>
      <c r="K149" s="7715"/>
      <c r="L149" s="7715"/>
      <c r="M149" s="7715"/>
      <c r="N149" s="7715"/>
      <c r="O149" s="7715"/>
      <c r="P149" s="7715"/>
      <c r="Q149" s="7715"/>
      <c r="R149" s="7715"/>
      <c r="S149" s="7715"/>
      <c r="T149" s="7715"/>
      <c r="U149" s="7715"/>
      <c r="V149" s="7715"/>
      <c r="W149" s="7715"/>
      <c r="X149" s="7715"/>
      <c r="Y149" s="7715"/>
      <c r="Z149" s="7715"/>
      <c r="AA149" s="7715"/>
      <c r="AB149" s="7715"/>
      <c r="AC149" s="7715"/>
      <c r="AD149" s="7715"/>
      <c r="AE149" s="7715"/>
      <c r="AF149" s="7715"/>
      <c r="AG149" s="7715"/>
      <c r="AH149" s="7715"/>
      <c r="AI149" s="7715"/>
      <c r="AJ149" s="7715"/>
      <c r="AK149" s="7715"/>
      <c r="AL149" s="1421"/>
      <c r="AM149" s="1949"/>
      <c r="AN149" s="1949"/>
      <c r="AO149" s="1421"/>
      <c r="AP149" s="1421"/>
      <c r="AQ149" s="1421"/>
      <c r="AR149" s="1421"/>
      <c r="AS149" s="1949"/>
      <c r="AT149" s="1421"/>
      <c r="AU149" s="1421"/>
      <c r="AV149" s="781"/>
      <c r="AW149" s="1421"/>
      <c r="AX149" s="1421"/>
      <c r="AY149" s="1421"/>
      <c r="AZ149" s="1421"/>
      <c r="BA149" s="1421"/>
      <c r="BB149" s="1945"/>
      <c r="BC149" s="803"/>
      <c r="BD149" s="803"/>
      <c r="BE149" s="803"/>
      <c r="BF149" s="803"/>
    </row>
    <row s="10822" customFormat="1" customHeight="1" ht="11.25">
      <c r="A150" s="1243"/>
      <c r="B150" s="1949"/>
      <c r="C150" s="1949"/>
      <c r="D150" s="572"/>
      <c r="J150" s="7715"/>
      <c r="K150" s="7715"/>
      <c r="L150" s="7715"/>
      <c r="M150" s="7715"/>
      <c r="N150" s="7715"/>
      <c r="O150" s="7715"/>
      <c r="P150" s="7715"/>
      <c r="Q150" s="7715"/>
      <c r="R150" s="7715"/>
      <c r="S150" s="7715"/>
      <c r="T150" s="7715"/>
      <c r="U150" s="7715"/>
      <c r="V150" s="7715"/>
      <c r="W150" s="7715"/>
      <c r="X150" s="7715"/>
      <c r="Y150" s="7715"/>
      <c r="Z150" s="7715"/>
      <c r="AA150" s="7715"/>
      <c r="AB150" s="7715"/>
      <c r="AC150" s="7715"/>
      <c r="AD150" s="7715"/>
      <c r="AE150" s="7715"/>
      <c r="AF150" s="7715"/>
      <c r="AG150" s="7715"/>
      <c r="AH150" s="7715"/>
      <c r="AI150" s="7715"/>
      <c r="AJ150" s="7715"/>
      <c r="AK150" s="7715"/>
      <c r="AL150" s="1421"/>
      <c r="AM150" s="1949"/>
      <c r="AN150" s="1949"/>
      <c r="AO150" s="1421"/>
      <c r="AP150" s="1421"/>
      <c r="AQ150" s="1421"/>
      <c r="AR150" s="1421"/>
      <c r="AS150" s="1949"/>
      <c r="AT150" s="1421"/>
      <c r="AU150" s="1421"/>
      <c r="AV150" s="781"/>
      <c r="AW150" s="1421"/>
      <c r="AX150" s="1421"/>
      <c r="AY150" s="1421"/>
      <c r="AZ150" s="1421"/>
      <c r="BA150" s="1421"/>
      <c r="BB150" s="1945"/>
      <c r="BC150" s="803"/>
      <c r="BD150" s="803"/>
      <c r="BE150" s="803"/>
      <c r="BF150" s="803"/>
    </row>
    <row s="10822" customFormat="1" customHeight="1" ht="11.25">
      <c r="A151" s="1243"/>
      <c r="B151" s="1949"/>
      <c r="C151" s="1949"/>
      <c r="D151" s="572"/>
      <c r="J151" s="7715"/>
      <c r="K151" s="7715"/>
      <c r="L151" s="7715"/>
      <c r="M151" s="7715"/>
      <c r="N151" s="7715"/>
      <c r="O151" s="7715"/>
      <c r="P151" s="7715"/>
      <c r="Q151" s="7715"/>
      <c r="R151" s="7715"/>
      <c r="S151" s="7715"/>
      <c r="T151" s="7715"/>
      <c r="U151" s="7715"/>
      <c r="V151" s="7715"/>
      <c r="W151" s="7715"/>
      <c r="X151" s="7715"/>
      <c r="Y151" s="7715"/>
      <c r="Z151" s="7715"/>
      <c r="AA151" s="7715"/>
      <c r="AB151" s="7715"/>
      <c r="AC151" s="7715"/>
      <c r="AD151" s="7715"/>
      <c r="AE151" s="7715"/>
      <c r="AF151" s="7715"/>
      <c r="AG151" s="7715"/>
      <c r="AH151" s="7715"/>
      <c r="AI151" s="7715"/>
      <c r="AJ151" s="7715"/>
      <c r="AK151" s="7715"/>
      <c r="AL151" s="1421"/>
      <c r="AM151" s="1949"/>
      <c r="AN151" s="1949"/>
      <c r="AO151" s="1421"/>
      <c r="AP151" s="1421"/>
      <c r="AQ151" s="1421"/>
      <c r="AR151" s="1421"/>
      <c r="AS151" s="1949"/>
      <c r="AT151" s="1421"/>
      <c r="AU151" s="1421"/>
      <c r="AV151" s="781"/>
      <c r="AW151" s="1421"/>
      <c r="AX151" s="1421"/>
      <c r="AY151" s="1421"/>
      <c r="AZ151" s="1421"/>
      <c r="BA151" s="1421"/>
      <c r="BB151" s="1945"/>
      <c r="BC151" s="803"/>
      <c r="BD151" s="803"/>
      <c r="BE151" s="803"/>
      <c r="BF151" s="803"/>
    </row>
    <row s="10822" customFormat="1" customHeight="1" ht="11.25">
      <c r="A152" s="1243"/>
      <c r="B152" s="1949"/>
      <c r="C152" s="1949"/>
      <c r="D152" s="572"/>
      <c r="J152" s="7715"/>
      <c r="K152" s="7715"/>
      <c r="L152" s="7715"/>
      <c r="M152" s="7715"/>
      <c r="N152" s="7715"/>
      <c r="O152" s="7715"/>
      <c r="P152" s="7715"/>
      <c r="Q152" s="7715"/>
      <c r="R152" s="7715"/>
      <c r="S152" s="7715"/>
      <c r="T152" s="7715"/>
      <c r="U152" s="7715"/>
      <c r="V152" s="7715"/>
      <c r="W152" s="7715"/>
      <c r="X152" s="7715"/>
      <c r="Y152" s="7715"/>
      <c r="Z152" s="7715"/>
      <c r="AA152" s="7715"/>
      <c r="AB152" s="7715"/>
      <c r="AC152" s="7715"/>
      <c r="AD152" s="7715"/>
      <c r="AE152" s="7715"/>
      <c r="AF152" s="7715"/>
      <c r="AG152" s="7715"/>
      <c r="AH152" s="7715"/>
      <c r="AI152" s="7715"/>
      <c r="AJ152" s="7715"/>
      <c r="AK152" s="7715"/>
      <c r="AL152" s="1421"/>
      <c r="AM152" s="1949"/>
      <c r="AN152" s="1949"/>
      <c r="AO152" s="1421"/>
      <c r="AP152" s="1421"/>
      <c r="AQ152" s="1421"/>
      <c r="AR152" s="1421"/>
      <c r="AS152" s="1949"/>
      <c r="AT152" s="1421"/>
      <c r="AU152" s="1421"/>
      <c r="AV152" s="781"/>
      <c r="AW152" s="1421"/>
      <c r="AX152" s="1421"/>
      <c r="AY152" s="1421"/>
      <c r="AZ152" s="1421"/>
      <c r="BA152" s="1421"/>
      <c r="BB152" s="1945"/>
      <c r="BC152" s="803"/>
      <c r="BD152" s="803"/>
      <c r="BE152" s="803"/>
      <c r="BF152" s="803"/>
    </row>
    <row s="10822" customFormat="1" customHeight="1" ht="11.25">
      <c r="A153" s="1243"/>
      <c r="B153" s="1949"/>
      <c r="C153" s="1949"/>
      <c r="D153" s="572"/>
      <c r="J153" s="7715"/>
      <c r="K153" s="7715"/>
      <c r="L153" s="7715"/>
      <c r="M153" s="7715"/>
      <c r="N153" s="7715"/>
      <c r="O153" s="7715"/>
      <c r="P153" s="7715"/>
      <c r="Q153" s="7715"/>
      <c r="R153" s="7715"/>
      <c r="S153" s="7715"/>
      <c r="T153" s="7715"/>
      <c r="U153" s="7715"/>
      <c r="V153" s="7715"/>
      <c r="W153" s="7715"/>
      <c r="X153" s="7715"/>
      <c r="Y153" s="7715"/>
      <c r="Z153" s="7715"/>
      <c r="AA153" s="7715"/>
      <c r="AB153" s="7715"/>
      <c r="AC153" s="7715"/>
      <c r="AD153" s="7715"/>
      <c r="AE153" s="7715"/>
      <c r="AF153" s="7715"/>
      <c r="AG153" s="7715"/>
      <c r="AH153" s="7715"/>
      <c r="AI153" s="7715"/>
      <c r="AJ153" s="7715"/>
      <c r="AK153" s="7715"/>
      <c r="AL153" s="1421"/>
      <c r="AM153" s="1949"/>
      <c r="AN153" s="1949"/>
      <c r="AO153" s="1421"/>
      <c r="AP153" s="1421"/>
      <c r="AQ153" s="1421"/>
      <c r="AR153" s="1421"/>
      <c r="AS153" s="1949"/>
      <c r="AT153" s="1421"/>
      <c r="AU153" s="1421"/>
      <c r="AV153" s="781"/>
      <c r="AW153" s="1421"/>
      <c r="AX153" s="1421"/>
      <c r="AY153" s="1421"/>
      <c r="AZ153" s="1421"/>
      <c r="BA153" s="1421"/>
      <c r="BB153" s="1945"/>
      <c r="BC153" s="803"/>
      <c r="BD153" s="803"/>
      <c r="BE153" s="803"/>
      <c r="BF153" s="803"/>
    </row>
    <row s="10822" customFormat="1" customHeight="1" ht="11.25">
      <c r="A154" s="1243"/>
      <c r="B154" s="1949"/>
      <c r="C154" s="1949"/>
      <c r="D154" s="572"/>
      <c r="J154" s="7715"/>
      <c r="K154" s="7715"/>
      <c r="L154" s="7715"/>
      <c r="M154" s="7715"/>
      <c r="N154" s="7715"/>
      <c r="O154" s="7715"/>
      <c r="P154" s="7715"/>
      <c r="Q154" s="7715"/>
      <c r="R154" s="7715"/>
      <c r="S154" s="7715"/>
      <c r="T154" s="7715"/>
      <c r="U154" s="7715"/>
      <c r="V154" s="7715"/>
      <c r="W154" s="7715"/>
      <c r="X154" s="7715"/>
      <c r="Y154" s="7715"/>
      <c r="Z154" s="7715"/>
      <c r="AA154" s="7715"/>
      <c r="AB154" s="7715"/>
      <c r="AC154" s="7715"/>
      <c r="AD154" s="7715"/>
      <c r="AE154" s="7715"/>
      <c r="AF154" s="7715"/>
      <c r="AG154" s="7715"/>
      <c r="AH154" s="7715"/>
      <c r="AI154" s="7715"/>
      <c r="AJ154" s="7715"/>
      <c r="AK154" s="7715"/>
      <c r="AL154" s="1421"/>
      <c r="AM154" s="1949"/>
      <c r="AN154" s="1949"/>
      <c r="AO154" s="1421"/>
      <c r="AP154" s="1421"/>
      <c r="AQ154" s="1421"/>
      <c r="AR154" s="1421"/>
      <c r="AS154" s="1949"/>
      <c r="AT154" s="1421"/>
      <c r="AU154" s="1421"/>
      <c r="AV154" s="781"/>
      <c r="AW154" s="1421"/>
      <c r="AX154" s="1421"/>
      <c r="AY154" s="1421"/>
      <c r="AZ154" s="1421"/>
      <c r="BA154" s="1421"/>
      <c r="BB154" s="1945"/>
      <c r="BC154" s="803"/>
      <c r="BD154" s="803"/>
      <c r="BE154" s="803"/>
      <c r="BF154" s="803"/>
    </row>
    <row s="10822" customFormat="1" customHeight="1" ht="11.25">
      <c r="A155" s="1243"/>
      <c r="B155" s="1949"/>
      <c r="C155" s="1949"/>
      <c r="D155" s="572"/>
      <c r="J155" s="7715"/>
      <c r="K155" s="7715"/>
      <c r="L155" s="7715"/>
      <c r="M155" s="7715"/>
      <c r="N155" s="7715"/>
      <c r="O155" s="7715"/>
      <c r="P155" s="7715"/>
      <c r="Q155" s="7715"/>
      <c r="R155" s="7715"/>
      <c r="S155" s="7715"/>
      <c r="T155" s="7715"/>
      <c r="U155" s="7715"/>
      <c r="V155" s="7715"/>
      <c r="W155" s="7715"/>
      <c r="X155" s="7715"/>
      <c r="Y155" s="7715"/>
      <c r="Z155" s="7715"/>
      <c r="AA155" s="7715"/>
      <c r="AB155" s="7715"/>
      <c r="AC155" s="7715"/>
      <c r="AD155" s="7715"/>
      <c r="AE155" s="7715"/>
      <c r="AF155" s="7715"/>
      <c r="AG155" s="7715"/>
      <c r="AH155" s="7715"/>
      <c r="AI155" s="7715"/>
      <c r="AJ155" s="7715"/>
      <c r="AK155" s="7715"/>
      <c r="AL155" s="1421"/>
      <c r="AM155" s="1949"/>
      <c r="AN155" s="1949"/>
      <c r="AO155" s="1421"/>
      <c r="AP155" s="1421"/>
      <c r="AQ155" s="1421"/>
      <c r="AR155" s="1421"/>
      <c r="AS155" s="1949"/>
      <c r="AT155" s="1421"/>
      <c r="AU155" s="1421"/>
      <c r="AV155" s="781"/>
      <c r="AW155" s="1421"/>
      <c r="AX155" s="1421"/>
      <c r="AY155" s="1421"/>
      <c r="AZ155" s="1421"/>
      <c r="BA155" s="1421"/>
      <c r="BB155" s="1945"/>
      <c r="BC155" s="803"/>
      <c r="BD155" s="803"/>
      <c r="BE155" s="803"/>
      <c r="BF155" s="803"/>
    </row>
    <row s="10822" customFormat="1" customHeight="1" ht="11.25">
      <c r="A156" s="1243"/>
      <c r="B156" s="1949"/>
      <c r="C156" s="1949"/>
      <c r="D156" s="572"/>
      <c r="J156" s="7715"/>
      <c r="K156" s="7715"/>
      <c r="L156" s="7715"/>
      <c r="M156" s="7715"/>
      <c r="N156" s="7715"/>
      <c r="O156" s="7715"/>
      <c r="P156" s="7715"/>
      <c r="Q156" s="7715"/>
      <c r="R156" s="7715"/>
      <c r="S156" s="7715"/>
      <c r="T156" s="7715"/>
      <c r="U156" s="7715"/>
      <c r="V156" s="7715"/>
      <c r="W156" s="7715"/>
      <c r="X156" s="7715"/>
      <c r="Y156" s="7715"/>
      <c r="Z156" s="7715"/>
      <c r="AA156" s="7715"/>
      <c r="AB156" s="7715"/>
      <c r="AC156" s="7715"/>
      <c r="AD156" s="7715"/>
      <c r="AE156" s="7715"/>
      <c r="AF156" s="7715"/>
      <c r="AG156" s="7715"/>
      <c r="AH156" s="7715"/>
      <c r="AI156" s="7715"/>
      <c r="AJ156" s="7715"/>
      <c r="AK156" s="7715"/>
      <c r="AL156" s="1421"/>
      <c r="AM156" s="1949"/>
      <c r="AN156" s="1949"/>
      <c r="AO156" s="1421"/>
      <c r="AP156" s="1421"/>
      <c r="AQ156" s="1421"/>
      <c r="AR156" s="1421"/>
      <c r="AS156" s="1949"/>
      <c r="AT156" s="1421"/>
      <c r="AU156" s="1421"/>
      <c r="AV156" s="781"/>
      <c r="AW156" s="1421"/>
      <c r="AX156" s="1421"/>
      <c r="AY156" s="1421"/>
      <c r="AZ156" s="1421"/>
      <c r="BA156" s="1421"/>
      <c r="BB156" s="1945"/>
      <c r="BC156" s="803"/>
      <c r="BD156" s="803"/>
      <c r="BE156" s="803"/>
      <c r="BF156" s="803"/>
    </row>
    <row s="10822" customFormat="1" customHeight="1" ht="11.25">
      <c r="A157" s="1243"/>
      <c r="B157" s="1949"/>
      <c r="C157" s="1949"/>
      <c r="D157" s="572"/>
      <c r="J157" s="7715"/>
      <c r="K157" s="7715"/>
      <c r="L157" s="7715"/>
      <c r="M157" s="7715"/>
      <c r="N157" s="7715"/>
      <c r="O157" s="7715"/>
      <c r="P157" s="7715"/>
      <c r="Q157" s="7715"/>
      <c r="R157" s="7715"/>
      <c r="S157" s="7715"/>
      <c r="T157" s="7715"/>
      <c r="U157" s="7715"/>
      <c r="V157" s="7715"/>
      <c r="W157" s="7715"/>
      <c r="X157" s="7715"/>
      <c r="Y157" s="7715"/>
      <c r="Z157" s="7715"/>
      <c r="AA157" s="7715"/>
      <c r="AB157" s="7715"/>
      <c r="AC157" s="7715"/>
      <c r="AD157" s="7715"/>
      <c r="AE157" s="7715"/>
      <c r="AF157" s="7715"/>
      <c r="AG157" s="7715"/>
      <c r="AH157" s="7715"/>
      <c r="AI157" s="7715"/>
      <c r="AJ157" s="7715"/>
      <c r="AK157" s="7715"/>
      <c r="AL157" s="1421"/>
      <c r="AM157" s="1949"/>
      <c r="AN157" s="1949"/>
      <c r="AO157" s="1421"/>
      <c r="AP157" s="1421"/>
      <c r="AQ157" s="1421"/>
      <c r="AR157" s="1421"/>
      <c r="AS157" s="1949"/>
      <c r="AT157" s="1421"/>
      <c r="AU157" s="1421"/>
      <c r="AV157" s="781"/>
      <c r="AW157" s="1421"/>
      <c r="AX157" s="1421"/>
      <c r="AY157" s="1421"/>
      <c r="AZ157" s="1421"/>
      <c r="BA157" s="1421"/>
      <c r="BB157" s="1945"/>
      <c r="BC157" s="803"/>
      <c r="BD157" s="803"/>
      <c r="BE157" s="803"/>
      <c r="BF157" s="803"/>
    </row>
    <row s="10822" customFormat="1" customHeight="1" ht="11.25">
      <c r="A158" s="1243"/>
      <c r="B158" s="1949"/>
      <c r="C158" s="1949"/>
      <c r="D158" s="572"/>
      <c r="J158" s="7715"/>
      <c r="K158" s="7715"/>
      <c r="L158" s="7715"/>
      <c r="M158" s="7715"/>
      <c r="N158" s="7715"/>
      <c r="O158" s="7715"/>
      <c r="P158" s="7715"/>
      <c r="Q158" s="7715"/>
      <c r="R158" s="7715"/>
      <c r="S158" s="7715"/>
      <c r="T158" s="7715"/>
      <c r="U158" s="7715"/>
      <c r="V158" s="7715"/>
      <c r="W158" s="7715"/>
      <c r="X158" s="7715"/>
      <c r="Y158" s="7715"/>
      <c r="Z158" s="7715"/>
      <c r="AA158" s="7715"/>
      <c r="AB158" s="7715"/>
      <c r="AC158" s="7715"/>
      <c r="AD158" s="7715"/>
      <c r="AE158" s="7715"/>
      <c r="AF158" s="7715"/>
      <c r="AG158" s="7715"/>
      <c r="AH158" s="7715"/>
      <c r="AI158" s="7715"/>
      <c r="AJ158" s="7715"/>
      <c r="AK158" s="7715"/>
      <c r="AL158" s="1421"/>
      <c r="AM158" s="1949"/>
      <c r="AN158" s="1949"/>
      <c r="AO158" s="1421"/>
      <c r="AP158" s="1421"/>
      <c r="AQ158" s="1421"/>
      <c r="AR158" s="1421"/>
      <c r="AS158" s="1949"/>
      <c r="AT158" s="1421"/>
      <c r="AU158" s="1421"/>
      <c r="AV158" s="781"/>
      <c r="AW158" s="1421"/>
      <c r="AX158" s="1421"/>
      <c r="AY158" s="1421"/>
      <c r="AZ158" s="1421"/>
      <c r="BA158" s="1421"/>
      <c r="BB158" s="1945"/>
      <c r="BC158" s="803"/>
      <c r="BD158" s="803"/>
      <c r="BE158" s="803"/>
      <c r="BF158" s="803"/>
    </row>
    <row s="10822" customFormat="1" customHeight="1" ht="11.25">
      <c r="A159" s="1243"/>
      <c r="B159" s="1949"/>
      <c r="C159" s="1949"/>
      <c r="D159" s="572"/>
      <c r="J159" s="7715"/>
      <c r="K159" s="7715"/>
      <c r="L159" s="7715"/>
      <c r="M159" s="7715"/>
      <c r="N159" s="7715"/>
      <c r="O159" s="7715"/>
      <c r="P159" s="7715"/>
      <c r="Q159" s="7715"/>
      <c r="R159" s="7715"/>
      <c r="S159" s="7715"/>
      <c r="T159" s="7715"/>
      <c r="U159" s="7715"/>
      <c r="V159" s="7715"/>
      <c r="W159" s="7715"/>
      <c r="X159" s="7715"/>
      <c r="Y159" s="7715"/>
      <c r="Z159" s="7715"/>
      <c r="AA159" s="7715"/>
      <c r="AB159" s="7715"/>
      <c r="AC159" s="7715"/>
      <c r="AD159" s="7715"/>
      <c r="AE159" s="7715"/>
      <c r="AF159" s="7715"/>
      <c r="AG159" s="7715"/>
      <c r="AH159" s="7715"/>
      <c r="AI159" s="7715"/>
      <c r="AJ159" s="7715"/>
      <c r="AK159" s="7715"/>
      <c r="AL159" s="1421"/>
      <c r="AM159" s="1949"/>
      <c r="AN159" s="1949"/>
      <c r="AO159" s="1421"/>
      <c r="AP159" s="1421"/>
      <c r="AQ159" s="1421"/>
      <c r="AR159" s="1421"/>
      <c r="AS159" s="1949"/>
      <c r="AT159" s="1421"/>
      <c r="AU159" s="1421"/>
      <c r="AV159" s="781"/>
      <c r="AW159" s="1421"/>
      <c r="AX159" s="1421"/>
      <c r="AY159" s="1421"/>
      <c r="AZ159" s="1421"/>
      <c r="BA159" s="1421"/>
      <c r="BB159" s="1945"/>
      <c r="BC159" s="803"/>
      <c r="BD159" s="803"/>
      <c r="BE159" s="803"/>
      <c r="BF159" s="803"/>
    </row>
    <row s="10822" customFormat="1" customHeight="1" ht="11.25">
      <c r="A160" s="1243"/>
      <c r="B160" s="1949"/>
      <c r="C160" s="1949"/>
      <c r="D160" s="572"/>
      <c r="J160" s="7715"/>
      <c r="K160" s="7715"/>
      <c r="L160" s="7715"/>
      <c r="M160" s="7715"/>
      <c r="N160" s="7715"/>
      <c r="O160" s="7715"/>
      <c r="P160" s="7715"/>
      <c r="Q160" s="7715"/>
      <c r="R160" s="7715"/>
      <c r="S160" s="7715"/>
      <c r="T160" s="7715"/>
      <c r="U160" s="7715"/>
      <c r="V160" s="7715"/>
      <c r="W160" s="7715"/>
      <c r="X160" s="7715"/>
      <c r="Y160" s="7715"/>
      <c r="Z160" s="7715"/>
      <c r="AA160" s="7715"/>
      <c r="AB160" s="7715"/>
      <c r="AC160" s="7715"/>
      <c r="AD160" s="7715"/>
      <c r="AE160" s="7715"/>
      <c r="AF160" s="7715"/>
      <c r="AG160" s="7715"/>
      <c r="AH160" s="7715"/>
      <c r="AI160" s="7715"/>
      <c r="AJ160" s="7715"/>
      <c r="AK160" s="7715"/>
      <c r="AL160" s="1421"/>
      <c r="AM160" s="1949"/>
      <c r="AN160" s="1949"/>
      <c r="AO160" s="1421"/>
      <c r="AP160" s="1421"/>
      <c r="AQ160" s="1421"/>
      <c r="AR160" s="1421"/>
      <c r="AS160" s="1949"/>
      <c r="AT160" s="1421"/>
      <c r="AU160" s="1421"/>
      <c r="AV160" s="781"/>
      <c r="AW160" s="1421"/>
      <c r="AX160" s="1421"/>
      <c r="AY160" s="1421"/>
      <c r="AZ160" s="1421"/>
      <c r="BA160" s="1421"/>
      <c r="BB160" s="1945"/>
      <c r="BC160" s="803"/>
      <c r="BD160" s="803"/>
      <c r="BE160" s="803"/>
      <c r="BF160" s="803"/>
    </row>
    <row s="10822" customFormat="1" customHeight="1" ht="11.25">
      <c r="A161" s="1243"/>
      <c r="B161" s="1949"/>
      <c r="C161" s="1949"/>
      <c r="D161" s="572"/>
      <c r="J161" s="7715"/>
      <c r="K161" s="7715"/>
      <c r="L161" s="7715"/>
      <c r="M161" s="7715"/>
      <c r="N161" s="7715"/>
      <c r="O161" s="7715"/>
      <c r="P161" s="7715"/>
      <c r="Q161" s="7715"/>
      <c r="R161" s="7715"/>
      <c r="S161" s="7715"/>
      <c r="T161" s="7715"/>
      <c r="U161" s="7715"/>
      <c r="V161" s="7715"/>
      <c r="W161" s="7715"/>
      <c r="X161" s="7715"/>
      <c r="Y161" s="7715"/>
      <c r="Z161" s="7715"/>
      <c r="AA161" s="7715"/>
      <c r="AB161" s="7715"/>
      <c r="AC161" s="7715"/>
      <c r="AD161" s="7715"/>
      <c r="AE161" s="7715"/>
      <c r="AF161" s="7715"/>
      <c r="AG161" s="7715"/>
      <c r="AH161" s="7715"/>
      <c r="AI161" s="7715"/>
      <c r="AJ161" s="7715"/>
      <c r="AK161" s="7715"/>
      <c r="AL161" s="1421"/>
      <c r="AM161" s="1949"/>
      <c r="AN161" s="1949"/>
      <c r="AO161" s="1421"/>
      <c r="AP161" s="1421"/>
      <c r="AQ161" s="1421"/>
      <c r="AR161" s="1421"/>
      <c r="AS161" s="1949"/>
      <c r="AT161" s="1421"/>
      <c r="AU161" s="1421"/>
      <c r="AV161" s="781"/>
      <c r="AW161" s="1421"/>
      <c r="AX161" s="1421"/>
      <c r="AY161" s="1421"/>
      <c r="AZ161" s="1421"/>
      <c r="BA161" s="1421"/>
      <c r="BB161" s="1945"/>
      <c r="BC161" s="803"/>
      <c r="BD161" s="803"/>
      <c r="BE161" s="803"/>
      <c r="BF161" s="803"/>
    </row>
    <row s="10822" customFormat="1" customHeight="1" ht="11.25">
      <c r="A162" s="1243"/>
      <c r="B162" s="1949"/>
      <c r="C162" s="1949"/>
      <c r="D162" s="572"/>
      <c r="J162" s="7715"/>
      <c r="K162" s="7715"/>
      <c r="L162" s="7715"/>
      <c r="M162" s="7715"/>
      <c r="N162" s="7715"/>
      <c r="O162" s="7715"/>
      <c r="P162" s="7715"/>
      <c r="Q162" s="7715"/>
      <c r="R162" s="7715"/>
      <c r="S162" s="7715"/>
      <c r="T162" s="7715"/>
      <c r="U162" s="7715"/>
      <c r="V162" s="7715"/>
      <c r="W162" s="7715"/>
      <c r="X162" s="7715"/>
      <c r="Y162" s="7715"/>
      <c r="Z162" s="7715"/>
      <c r="AA162" s="7715"/>
      <c r="AB162" s="7715"/>
      <c r="AC162" s="7715"/>
      <c r="AD162" s="7715"/>
      <c r="AE162" s="7715"/>
      <c r="AF162" s="7715"/>
      <c r="AG162" s="7715"/>
      <c r="AH162" s="7715"/>
      <c r="AI162" s="7715"/>
      <c r="AJ162" s="7715"/>
      <c r="AK162" s="7715"/>
      <c r="AL162" s="1421"/>
      <c r="AM162" s="1949"/>
      <c r="AN162" s="1949"/>
      <c r="AO162" s="1421"/>
      <c r="AP162" s="1421"/>
      <c r="AQ162" s="1421"/>
      <c r="AR162" s="1421"/>
      <c r="AS162" s="1949"/>
      <c r="AT162" s="1421"/>
      <c r="AU162" s="1421"/>
      <c r="AV162" s="781"/>
      <c r="AW162" s="1421"/>
      <c r="AX162" s="1421"/>
      <c r="AY162" s="1421"/>
      <c r="AZ162" s="1421"/>
      <c r="BA162" s="1421"/>
      <c r="BB162" s="1945"/>
      <c r="BC162" s="803"/>
      <c r="BD162" s="803"/>
      <c r="BE162" s="803"/>
      <c r="BF162" s="803"/>
    </row>
    <row s="10822" customFormat="1" customHeight="1" ht="11.25">
      <c r="A163" s="1243"/>
      <c r="B163" s="1949"/>
      <c r="C163" s="1949"/>
      <c r="D163" s="572"/>
      <c r="J163" s="7715"/>
      <c r="K163" s="7715"/>
      <c r="L163" s="7715"/>
      <c r="M163" s="7715"/>
      <c r="N163" s="7715"/>
      <c r="O163" s="7715"/>
      <c r="P163" s="7715"/>
      <c r="Q163" s="7715"/>
      <c r="R163" s="7715"/>
      <c r="S163" s="7715"/>
      <c r="T163" s="7715"/>
      <c r="U163" s="7715"/>
      <c r="V163" s="7715"/>
      <c r="W163" s="7715"/>
      <c r="X163" s="7715"/>
      <c r="Y163" s="7715"/>
      <c r="Z163" s="7715"/>
      <c r="AA163" s="7715"/>
      <c r="AB163" s="7715"/>
      <c r="AC163" s="7715"/>
      <c r="AD163" s="7715"/>
      <c r="AE163" s="7715"/>
      <c r="AF163" s="7715"/>
      <c r="AG163" s="7715"/>
      <c r="AH163" s="7715"/>
      <c r="AI163" s="7715"/>
      <c r="AJ163" s="7715"/>
      <c r="AK163" s="7715"/>
      <c r="AL163" s="1421"/>
      <c r="AM163" s="1949"/>
      <c r="AN163" s="1949"/>
      <c r="AO163" s="1421"/>
      <c r="AP163" s="1421"/>
      <c r="AQ163" s="1421"/>
      <c r="AR163" s="1421"/>
      <c r="AS163" s="1949"/>
      <c r="AT163" s="1421"/>
      <c r="AU163" s="1421"/>
      <c r="AV163" s="781"/>
      <c r="AW163" s="1421"/>
      <c r="AX163" s="1421"/>
      <c r="AY163" s="1421"/>
      <c r="AZ163" s="1421"/>
      <c r="BA163" s="1421"/>
      <c r="BB163" s="1945"/>
      <c r="BC163" s="803"/>
      <c r="BD163" s="803"/>
      <c r="BE163" s="803"/>
      <c r="BF163" s="803"/>
    </row>
    <row s="10822" customFormat="1" customHeight="1" ht="11.25">
      <c r="A164" s="1243"/>
      <c r="B164" s="1949"/>
      <c r="C164" s="1949"/>
      <c r="D164" s="572"/>
      <c r="J164" s="7715"/>
      <c r="K164" s="7715"/>
      <c r="L164" s="7715"/>
      <c r="M164" s="7715"/>
      <c r="N164" s="7715"/>
      <c r="O164" s="7715"/>
      <c r="P164" s="7715"/>
      <c r="Q164" s="7715"/>
      <c r="R164" s="7715"/>
      <c r="S164" s="7715"/>
      <c r="T164" s="7715"/>
      <c r="U164" s="7715"/>
      <c r="V164" s="7715"/>
      <c r="W164" s="7715"/>
      <c r="X164" s="7715"/>
      <c r="Y164" s="7715"/>
      <c r="Z164" s="7715"/>
      <c r="AA164" s="7715"/>
      <c r="AB164" s="7715"/>
      <c r="AC164" s="7715"/>
      <c r="AD164" s="7715"/>
      <c r="AE164" s="7715"/>
      <c r="AF164" s="7715"/>
      <c r="AG164" s="7715"/>
      <c r="AH164" s="7715"/>
      <c r="AI164" s="7715"/>
      <c r="AJ164" s="7715"/>
      <c r="AK164" s="7715"/>
      <c r="AL164" s="1421"/>
      <c r="AM164" s="1949"/>
      <c r="AN164" s="1949"/>
      <c r="AO164" s="1421"/>
      <c r="AP164" s="1421"/>
      <c r="AQ164" s="1421"/>
      <c r="AR164" s="1421"/>
      <c r="AS164" s="1949"/>
      <c r="AT164" s="1421"/>
      <c r="AU164" s="1421"/>
      <c r="AV164" s="781"/>
      <c r="AW164" s="1421"/>
      <c r="AX164" s="1421"/>
      <c r="AY164" s="1421"/>
      <c r="AZ164" s="1421"/>
      <c r="BA164" s="1421"/>
      <c r="BB164" s="1945"/>
      <c r="BC164" s="803"/>
      <c r="BD164" s="803"/>
      <c r="BE164" s="803"/>
      <c r="BF164" s="803"/>
    </row>
    <row s="10822" customFormat="1" customHeight="1" ht="11.25">
      <c r="A165" s="1243"/>
      <c r="B165" s="1949"/>
      <c r="C165" s="1949"/>
      <c r="D165" s="572"/>
      <c r="J165" s="7715"/>
      <c r="K165" s="7715"/>
      <c r="L165" s="7715"/>
      <c r="M165" s="7715"/>
      <c r="N165" s="7715"/>
      <c r="O165" s="7715"/>
      <c r="P165" s="7715"/>
      <c r="Q165" s="7715"/>
      <c r="R165" s="7715"/>
      <c r="S165" s="7715"/>
      <c r="T165" s="7715"/>
      <c r="U165" s="7715"/>
      <c r="V165" s="7715"/>
      <c r="W165" s="7715"/>
      <c r="X165" s="7715"/>
      <c r="Y165" s="7715"/>
      <c r="Z165" s="7715"/>
      <c r="AA165" s="7715"/>
      <c r="AB165" s="7715"/>
      <c r="AC165" s="7715"/>
      <c r="AD165" s="7715"/>
      <c r="AE165" s="7715"/>
      <c r="AF165" s="7715"/>
      <c r="AG165" s="7715"/>
      <c r="AH165" s="7715"/>
      <c r="AI165" s="7715"/>
      <c r="AJ165" s="7715"/>
      <c r="AK165" s="7715"/>
      <c r="AL165" s="1421"/>
      <c r="AM165" s="1949"/>
      <c r="AN165" s="1949"/>
      <c r="AO165" s="1421"/>
      <c r="AP165" s="1421"/>
      <c r="AQ165" s="1421"/>
      <c r="AR165" s="1421"/>
      <c r="AS165" s="1949"/>
      <c r="AT165" s="1421"/>
      <c r="AU165" s="1421"/>
      <c r="AV165" s="781"/>
      <c r="AW165" s="1421"/>
      <c r="AX165" s="1421"/>
      <c r="AY165" s="1421"/>
      <c r="AZ165" s="1421"/>
      <c r="BA165" s="1421"/>
      <c r="BB165" s="1945"/>
      <c r="BC165" s="803"/>
      <c r="BD165" s="803"/>
      <c r="BE165" s="803"/>
      <c r="BF165" s="803"/>
    </row>
    <row s="10822" customFormat="1" customHeight="1" ht="11.25">
      <c r="A166" s="1243"/>
      <c r="B166" s="1949"/>
      <c r="C166" s="1949"/>
      <c r="D166" s="572"/>
      <c r="J166" s="7715"/>
      <c r="K166" s="7715"/>
      <c r="L166" s="7715"/>
      <c r="M166" s="7715"/>
      <c r="N166" s="7715"/>
      <c r="O166" s="7715"/>
      <c r="P166" s="7715"/>
      <c r="Q166" s="7715"/>
      <c r="R166" s="7715"/>
      <c r="S166" s="7715"/>
      <c r="T166" s="7715"/>
      <c r="U166" s="7715"/>
      <c r="V166" s="7715"/>
      <c r="W166" s="7715"/>
      <c r="X166" s="7715"/>
      <c r="Y166" s="7715"/>
      <c r="Z166" s="7715"/>
      <c r="AA166" s="7715"/>
      <c r="AB166" s="7715"/>
      <c r="AC166" s="7715"/>
      <c r="AD166" s="7715"/>
      <c r="AE166" s="7715"/>
      <c r="AF166" s="7715"/>
      <c r="AG166" s="7715"/>
      <c r="AH166" s="7715"/>
      <c r="AI166" s="7715"/>
      <c r="AJ166" s="7715"/>
      <c r="AK166" s="7715"/>
      <c r="AL166" s="1421"/>
      <c r="AM166" s="1949"/>
      <c r="AN166" s="1949"/>
      <c r="AO166" s="1421"/>
      <c r="AP166" s="1421"/>
      <c r="AQ166" s="1421"/>
      <c r="AR166" s="1421"/>
      <c r="AS166" s="1949"/>
      <c r="AT166" s="1421"/>
      <c r="AU166" s="1421"/>
      <c r="AV166" s="781"/>
      <c r="AW166" s="1421"/>
      <c r="AX166" s="1421"/>
      <c r="AY166" s="1421"/>
      <c r="AZ166" s="1421"/>
      <c r="BA166" s="1421"/>
      <c r="BB166" s="1945"/>
      <c r="BC166" s="803"/>
      <c r="BD166" s="803"/>
      <c r="BE166" s="803"/>
      <c r="BF166" s="803"/>
    </row>
    <row s="10822" customFormat="1" customHeight="1" ht="11.25">
      <c r="A167" s="1243"/>
      <c r="B167" s="1949"/>
      <c r="C167" s="1949"/>
      <c r="D167" s="572"/>
      <c r="J167" s="7715"/>
      <c r="K167" s="7715"/>
      <c r="L167" s="7715"/>
      <c r="M167" s="7715"/>
      <c r="N167" s="7715"/>
      <c r="O167" s="7715"/>
      <c r="P167" s="7715"/>
      <c r="Q167" s="7715"/>
      <c r="R167" s="7715"/>
      <c r="S167" s="7715"/>
      <c r="T167" s="7715"/>
      <c r="U167" s="7715"/>
      <c r="V167" s="7715"/>
      <c r="W167" s="7715"/>
      <c r="X167" s="7715"/>
      <c r="Y167" s="7715"/>
      <c r="Z167" s="7715"/>
      <c r="AA167" s="7715"/>
      <c r="AB167" s="7715"/>
      <c r="AC167" s="7715"/>
      <c r="AD167" s="7715"/>
      <c r="AE167" s="7715"/>
      <c r="AF167" s="7715"/>
      <c r="AG167" s="7715"/>
      <c r="AH167" s="7715"/>
      <c r="AI167" s="7715"/>
      <c r="AJ167" s="7715"/>
      <c r="AK167" s="7715"/>
      <c r="AL167" s="1421"/>
      <c r="AM167" s="1949"/>
      <c r="AN167" s="1949"/>
      <c r="AO167" s="1421"/>
      <c r="AP167" s="1421"/>
      <c r="AQ167" s="1421"/>
      <c r="AR167" s="1421"/>
      <c r="AS167" s="1949"/>
      <c r="AT167" s="1421"/>
      <c r="AU167" s="1421"/>
      <c r="AV167" s="781"/>
      <c r="AW167" s="1421"/>
      <c r="AX167" s="1421"/>
      <c r="AY167" s="1421"/>
      <c r="AZ167" s="1421"/>
      <c r="BA167" s="1421"/>
      <c r="BB167" s="1945"/>
      <c r="BC167" s="803"/>
      <c r="BD167" s="803"/>
      <c r="BE167" s="803"/>
      <c r="BF167" s="803"/>
    </row>
    <row s="10822" customFormat="1" customHeight="1" ht="11.25">
      <c r="A168" s="1243"/>
      <c r="B168" s="1949"/>
      <c r="C168" s="1949"/>
      <c r="D168" s="572"/>
      <c r="J168" s="7715"/>
      <c r="K168" s="7715"/>
      <c r="L168" s="7715"/>
      <c r="M168" s="7715"/>
      <c r="N168" s="7715"/>
      <c r="O168" s="7715"/>
      <c r="P168" s="7715"/>
      <c r="Q168" s="7715"/>
      <c r="R168" s="7715"/>
      <c r="S168" s="7715"/>
      <c r="T168" s="7715"/>
      <c r="U168" s="7715"/>
      <c r="V168" s="7715"/>
      <c r="W168" s="7715"/>
      <c r="X168" s="7715"/>
      <c r="Y168" s="7715"/>
      <c r="Z168" s="7715"/>
      <c r="AA168" s="7715"/>
      <c r="AB168" s="7715"/>
      <c r="AC168" s="7715"/>
      <c r="AD168" s="7715"/>
      <c r="AE168" s="7715"/>
      <c r="AF168" s="7715"/>
      <c r="AG168" s="7715"/>
      <c r="AH168" s="7715"/>
      <c r="AI168" s="7715"/>
      <c r="AJ168" s="7715"/>
      <c r="AK168" s="7715"/>
      <c r="AL168" s="1421"/>
      <c r="AM168" s="1949"/>
      <c r="AN168" s="1949"/>
      <c r="AO168" s="1421"/>
      <c r="AP168" s="1421"/>
      <c r="AQ168" s="1421"/>
      <c r="AR168" s="1421"/>
      <c r="AS168" s="1949"/>
      <c r="AT168" s="1421"/>
      <c r="AU168" s="1421"/>
      <c r="AV168" s="781"/>
      <c r="AW168" s="1421"/>
      <c r="AX168" s="1421"/>
      <c r="AY168" s="1421"/>
      <c r="AZ168" s="1421"/>
      <c r="BA168" s="1421"/>
      <c r="BB168" s="1945"/>
      <c r="BC168" s="803"/>
      <c r="BD168" s="803"/>
      <c r="BE168" s="803"/>
      <c r="BF168" s="803"/>
    </row>
    <row s="10822" customFormat="1" customHeight="1" ht="11.25">
      <c r="A169" s="1243"/>
      <c r="B169" s="1949"/>
      <c r="C169" s="1949"/>
      <c r="D169" s="572"/>
      <c r="J169" s="7715"/>
      <c r="K169" s="7715"/>
      <c r="L169" s="7715"/>
      <c r="M169" s="7715"/>
      <c r="N169" s="7715"/>
      <c r="O169" s="7715"/>
      <c r="P169" s="7715"/>
      <c r="Q169" s="7715"/>
      <c r="R169" s="7715"/>
      <c r="S169" s="7715"/>
      <c r="T169" s="7715"/>
      <c r="U169" s="7715"/>
      <c r="V169" s="7715"/>
      <c r="W169" s="7715"/>
      <c r="X169" s="7715"/>
      <c r="Y169" s="7715"/>
      <c r="Z169" s="7715"/>
      <c r="AA169" s="7715"/>
      <c r="AB169" s="7715"/>
      <c r="AC169" s="7715"/>
      <c r="AD169" s="7715"/>
      <c r="AE169" s="7715"/>
      <c r="AF169" s="7715"/>
      <c r="AG169" s="7715"/>
      <c r="AH169" s="7715"/>
      <c r="AI169" s="7715"/>
      <c r="AJ169" s="7715"/>
      <c r="AK169" s="7715"/>
      <c r="AL169" s="1421"/>
      <c r="AM169" s="1949"/>
      <c r="AN169" s="1949"/>
      <c r="AO169" s="1421"/>
      <c r="AP169" s="1421"/>
      <c r="AQ169" s="1421"/>
      <c r="AR169" s="1421"/>
      <c r="AS169" s="1949"/>
      <c r="AT169" s="1421"/>
      <c r="AU169" s="1421"/>
      <c r="AV169" s="781"/>
      <c r="AW169" s="1421"/>
      <c r="AX169" s="1421"/>
      <c r="AY169" s="1421"/>
      <c r="AZ169" s="1421"/>
      <c r="BA169" s="1421"/>
      <c r="BB169" s="1945"/>
      <c r="BC169" s="803"/>
      <c r="BD169" s="803"/>
      <c r="BE169" s="803"/>
      <c r="BF169" s="803"/>
    </row>
    <row s="10822" customFormat="1" customHeight="1" ht="11.25">
      <c r="A170" s="1243"/>
      <c r="B170" s="1949"/>
      <c r="C170" s="1949"/>
      <c r="D170" s="572"/>
      <c r="J170" s="7715"/>
      <c r="K170" s="7715"/>
      <c r="L170" s="7715"/>
      <c r="M170" s="7715"/>
      <c r="N170" s="7715"/>
      <c r="O170" s="7715"/>
      <c r="P170" s="7715"/>
      <c r="Q170" s="7715"/>
      <c r="R170" s="7715"/>
      <c r="S170" s="7715"/>
      <c r="T170" s="7715"/>
      <c r="U170" s="7715"/>
      <c r="V170" s="7715"/>
      <c r="W170" s="7715"/>
      <c r="X170" s="7715"/>
      <c r="Y170" s="7715"/>
      <c r="Z170" s="7715"/>
      <c r="AA170" s="7715"/>
      <c r="AB170" s="7715"/>
      <c r="AC170" s="7715"/>
      <c r="AD170" s="7715"/>
      <c r="AE170" s="7715"/>
      <c r="AF170" s="7715"/>
      <c r="AG170" s="7715"/>
      <c r="AH170" s="7715"/>
      <c r="AI170" s="7715"/>
      <c r="AJ170" s="7715"/>
      <c r="AK170" s="7715"/>
      <c r="AL170" s="1421"/>
      <c r="AM170" s="1949"/>
      <c r="AN170" s="1949"/>
      <c r="AO170" s="1421"/>
      <c r="AP170" s="1421"/>
      <c r="AQ170" s="1421"/>
      <c r="AR170" s="1421"/>
      <c r="AS170" s="1949"/>
      <c r="AT170" s="1421"/>
      <c r="AU170" s="1421"/>
      <c r="AV170" s="781"/>
      <c r="AW170" s="1421"/>
      <c r="AX170" s="1421"/>
      <c r="AY170" s="1421"/>
      <c r="AZ170" s="1421"/>
      <c r="BA170" s="1421"/>
      <c r="BB170" s="1945"/>
      <c r="BC170" s="803"/>
      <c r="BD170" s="803"/>
      <c r="BE170" s="803"/>
      <c r="BF170" s="803"/>
    </row>
    <row s="10822" customFormat="1" customHeight="1" ht="11.25">
      <c r="A171" s="1243"/>
      <c r="B171" s="1949"/>
      <c r="C171" s="1949"/>
      <c r="D171" s="572"/>
      <c r="J171" s="7715"/>
      <c r="K171" s="7715"/>
      <c r="L171" s="7715"/>
      <c r="M171" s="7715"/>
      <c r="N171" s="7715"/>
      <c r="O171" s="7715"/>
      <c r="P171" s="7715"/>
      <c r="Q171" s="7715"/>
      <c r="R171" s="7715"/>
      <c r="S171" s="7715"/>
      <c r="T171" s="7715"/>
      <c r="U171" s="7715"/>
      <c r="V171" s="7715"/>
      <c r="W171" s="7715"/>
      <c r="X171" s="7715"/>
      <c r="Y171" s="7715"/>
      <c r="Z171" s="7715"/>
      <c r="AA171" s="7715"/>
      <c r="AB171" s="7715"/>
      <c r="AC171" s="7715"/>
      <c r="AD171" s="7715"/>
      <c r="AE171" s="7715"/>
      <c r="AF171" s="7715"/>
      <c r="AG171" s="7715"/>
      <c r="AH171" s="7715"/>
      <c r="AI171" s="7715"/>
      <c r="AJ171" s="7715"/>
      <c r="AK171" s="7715"/>
      <c r="AL171" s="1421"/>
      <c r="AM171" s="1949"/>
      <c r="AN171" s="1949"/>
      <c r="AO171" s="1421"/>
      <c r="AP171" s="1421"/>
      <c r="AQ171" s="1421"/>
      <c r="AR171" s="1421"/>
      <c r="AS171" s="1949"/>
      <c r="AT171" s="1421"/>
      <c r="AU171" s="1421"/>
      <c r="AV171" s="781"/>
      <c r="AW171" s="1421"/>
      <c r="AX171" s="1421"/>
      <c r="AY171" s="1421"/>
      <c r="AZ171" s="1421"/>
      <c r="BA171" s="1421"/>
      <c r="BB171" s="1945"/>
      <c r="BC171" s="803"/>
      <c r="BD171" s="803"/>
      <c r="BE171" s="803"/>
      <c r="BF171" s="803"/>
    </row>
    <row s="10822" customFormat="1" customHeight="1" ht="11.25">
      <c r="A172" s="1243"/>
      <c r="B172" s="1949"/>
      <c r="C172" s="1949"/>
      <c r="D172" s="572"/>
      <c r="J172" s="7715"/>
      <c r="K172" s="7715"/>
      <c r="L172" s="7715"/>
      <c r="M172" s="7715"/>
      <c r="N172" s="7715"/>
      <c r="O172" s="7715"/>
      <c r="P172" s="7715"/>
      <c r="Q172" s="7715"/>
      <c r="R172" s="7715"/>
      <c r="S172" s="7715"/>
      <c r="T172" s="7715"/>
      <c r="U172" s="7715"/>
      <c r="V172" s="7715"/>
      <c r="W172" s="7715"/>
      <c r="X172" s="7715"/>
      <c r="Y172" s="7715"/>
      <c r="Z172" s="7715"/>
      <c r="AA172" s="7715"/>
      <c r="AB172" s="7715"/>
      <c r="AC172" s="7715"/>
      <c r="AD172" s="7715"/>
      <c r="AE172" s="7715"/>
      <c r="AF172" s="7715"/>
      <c r="AG172" s="7715"/>
      <c r="AH172" s="7715"/>
      <c r="AI172" s="7715"/>
      <c r="AJ172" s="7715"/>
      <c r="AK172" s="7715"/>
      <c r="AL172" s="1421"/>
      <c r="AM172" s="1949"/>
      <c r="AN172" s="1949"/>
      <c r="AO172" s="1421"/>
      <c r="AP172" s="1421"/>
      <c r="AQ172" s="1421"/>
      <c r="AR172" s="1421"/>
      <c r="AS172" s="1949"/>
      <c r="AT172" s="1421"/>
      <c r="AU172" s="1421"/>
      <c r="AV172" s="781"/>
      <c r="AW172" s="1421"/>
      <c r="AX172" s="1421"/>
      <c r="AY172" s="1421"/>
      <c r="AZ172" s="1421"/>
      <c r="BA172" s="1421"/>
      <c r="BB172" s="1945"/>
      <c r="BC172" s="803"/>
      <c r="BD172" s="803"/>
      <c r="BE172" s="803"/>
      <c r="BF172" s="803"/>
    </row>
    <row s="10822" customFormat="1" customHeight="1" ht="11.25">
      <c r="A173" s="1243"/>
      <c r="B173" s="1949"/>
      <c r="C173" s="1949"/>
      <c r="D173" s="572"/>
      <c r="J173" s="7715"/>
      <c r="K173" s="7715"/>
      <c r="L173" s="7715"/>
      <c r="M173" s="7715"/>
      <c r="N173" s="7715"/>
      <c r="O173" s="7715"/>
      <c r="P173" s="7715"/>
      <c r="Q173" s="7715"/>
      <c r="R173" s="7715"/>
      <c r="S173" s="7715"/>
      <c r="T173" s="7715"/>
      <c r="U173" s="7715"/>
      <c r="V173" s="7715"/>
      <c r="W173" s="7715"/>
      <c r="X173" s="7715"/>
      <c r="Y173" s="7715"/>
      <c r="Z173" s="7715"/>
      <c r="AA173" s="7715"/>
      <c r="AB173" s="7715"/>
      <c r="AC173" s="7715"/>
      <c r="AD173" s="7715"/>
      <c r="AE173" s="7715"/>
      <c r="AF173" s="7715"/>
      <c r="AG173" s="7715"/>
      <c r="AH173" s="7715"/>
      <c r="AI173" s="7715"/>
      <c r="AJ173" s="7715"/>
      <c r="AK173" s="7715"/>
      <c r="AL173" s="1421"/>
      <c r="AM173" s="1949"/>
      <c r="AN173" s="1949"/>
      <c r="AO173" s="1421"/>
      <c r="AP173" s="1421"/>
      <c r="AQ173" s="1421"/>
      <c r="AR173" s="1421"/>
      <c r="AS173" s="1949"/>
      <c r="AT173" s="1421"/>
      <c r="AU173" s="1421"/>
      <c r="AV173" s="781"/>
      <c r="AW173" s="1421"/>
      <c r="AX173" s="1421"/>
      <c r="AY173" s="1421"/>
      <c r="AZ173" s="1421"/>
      <c r="BA173" s="1421"/>
      <c r="BB173" s="1945"/>
      <c r="BC173" s="803"/>
      <c r="BD173" s="803"/>
      <c r="BE173" s="803"/>
      <c r="BF173" s="803"/>
    </row>
    <row s="10822" customFormat="1" customHeight="1" ht="11.25">
      <c r="A174" s="1243"/>
      <c r="B174" s="1949"/>
      <c r="C174" s="1949"/>
      <c r="D174" s="572"/>
      <c r="J174" s="7715"/>
      <c r="K174" s="7715"/>
      <c r="L174" s="7715"/>
      <c r="M174" s="7715"/>
      <c r="N174" s="7715"/>
      <c r="O174" s="7715"/>
      <c r="P174" s="7715"/>
      <c r="Q174" s="7715"/>
      <c r="R174" s="7715"/>
      <c r="S174" s="7715"/>
      <c r="T174" s="7715"/>
      <c r="U174" s="7715"/>
      <c r="V174" s="7715"/>
      <c r="W174" s="7715"/>
      <c r="X174" s="7715"/>
      <c r="Y174" s="7715"/>
      <c r="Z174" s="7715"/>
      <c r="AA174" s="7715"/>
      <c r="AB174" s="7715"/>
      <c r="AC174" s="7715"/>
      <c r="AD174" s="7715"/>
      <c r="AE174" s="7715"/>
      <c r="AF174" s="7715"/>
      <c r="AG174" s="7715"/>
      <c r="AH174" s="7715"/>
      <c r="AI174" s="7715"/>
      <c r="AJ174" s="7715"/>
      <c r="AK174" s="7715"/>
      <c r="AL174" s="1421"/>
      <c r="AM174" s="1949"/>
      <c r="AN174" s="1949"/>
      <c r="AO174" s="1421"/>
      <c r="AP174" s="1421"/>
      <c r="AQ174" s="1421"/>
      <c r="AR174" s="1421"/>
      <c r="AS174" s="1949"/>
      <c r="AT174" s="1421"/>
      <c r="AU174" s="1421"/>
      <c r="AV174" s="781"/>
      <c r="AW174" s="1421"/>
      <c r="AX174" s="1421"/>
      <c r="AY174" s="1421"/>
      <c r="AZ174" s="1421"/>
      <c r="BA174" s="1421"/>
      <c r="BB174" s="1945"/>
      <c r="BC174" s="803"/>
      <c r="BD174" s="803"/>
      <c r="BE174" s="803"/>
      <c r="BF174" s="803"/>
    </row>
    <row s="10822" customFormat="1" customHeight="1" ht="11.25">
      <c r="A175" s="1243"/>
      <c r="B175" s="1949"/>
      <c r="C175" s="1949"/>
      <c r="D175" s="572"/>
      <c r="J175" s="7715"/>
      <c r="K175" s="7715"/>
      <c r="L175" s="7715"/>
      <c r="M175" s="7715"/>
      <c r="N175" s="7715"/>
      <c r="O175" s="7715"/>
      <c r="P175" s="7715"/>
      <c r="Q175" s="7715"/>
      <c r="R175" s="7715"/>
      <c r="S175" s="7715"/>
      <c r="T175" s="7715"/>
      <c r="U175" s="7715"/>
      <c r="V175" s="7715"/>
      <c r="W175" s="7715"/>
      <c r="X175" s="7715"/>
      <c r="Y175" s="7715"/>
      <c r="Z175" s="7715"/>
      <c r="AA175" s="7715"/>
      <c r="AB175" s="7715"/>
      <c r="AC175" s="7715"/>
      <c r="AD175" s="7715"/>
      <c r="AE175" s="7715"/>
      <c r="AF175" s="7715"/>
      <c r="AG175" s="7715"/>
      <c r="AH175" s="7715"/>
      <c r="AI175" s="7715"/>
      <c r="AJ175" s="7715"/>
      <c r="AK175" s="7715"/>
      <c r="AL175" s="1421"/>
      <c r="AM175" s="1949"/>
      <c r="AN175" s="1949"/>
      <c r="AO175" s="1421"/>
      <c r="AP175" s="1421"/>
      <c r="AQ175" s="1421"/>
      <c r="AR175" s="1421"/>
      <c r="AS175" s="1949"/>
      <c r="AT175" s="1421"/>
      <c r="AU175" s="1421"/>
      <c r="AV175" s="781"/>
      <c r="AW175" s="1421"/>
      <c r="AX175" s="1421"/>
      <c r="AY175" s="1421"/>
      <c r="AZ175" s="1421"/>
      <c r="BA175" s="1421"/>
      <c r="BB175" s="1945"/>
      <c r="BC175" s="803"/>
      <c r="BD175" s="803"/>
      <c r="BE175" s="803"/>
      <c r="BF175" s="803"/>
    </row>
    <row s="10822" customFormat="1" customHeight="1" ht="11.25">
      <c r="A176" s="1243"/>
      <c r="B176" s="1949"/>
      <c r="C176" s="1949"/>
      <c r="D176" s="572"/>
      <c r="J176" s="7715"/>
      <c r="K176" s="7715"/>
      <c r="L176" s="7715"/>
      <c r="M176" s="7715"/>
      <c r="N176" s="7715"/>
      <c r="O176" s="7715"/>
      <c r="P176" s="7715"/>
      <c r="Q176" s="7715"/>
      <c r="R176" s="7715"/>
      <c r="S176" s="7715"/>
      <c r="T176" s="7715"/>
      <c r="U176" s="7715"/>
      <c r="V176" s="7715"/>
      <c r="W176" s="7715"/>
      <c r="X176" s="7715"/>
      <c r="Y176" s="7715"/>
      <c r="Z176" s="7715"/>
      <c r="AA176" s="7715"/>
      <c r="AB176" s="7715"/>
      <c r="AC176" s="7715"/>
      <c r="AD176" s="7715"/>
      <c r="AE176" s="7715"/>
      <c r="AF176" s="7715"/>
      <c r="AG176" s="7715"/>
      <c r="AH176" s="7715"/>
      <c r="AI176" s="7715"/>
      <c r="AJ176" s="7715"/>
      <c r="AK176" s="7715"/>
      <c r="AL176" s="1421"/>
      <c r="AM176" s="1949"/>
      <c r="AN176" s="1949"/>
      <c r="AO176" s="1421"/>
      <c r="AP176" s="1421"/>
      <c r="AQ176" s="1421"/>
      <c r="AR176" s="1421"/>
      <c r="AS176" s="1949"/>
      <c r="AT176" s="1421"/>
      <c r="AU176" s="1421"/>
      <c r="AV176" s="781"/>
      <c r="AW176" s="1421"/>
      <c r="AX176" s="1421"/>
      <c r="AY176" s="1421"/>
      <c r="AZ176" s="1421"/>
      <c r="BA176" s="1421"/>
      <c r="BB176" s="1945"/>
      <c r="BC176" s="803"/>
      <c r="BD176" s="803"/>
      <c r="BE176" s="803"/>
      <c r="BF176" s="803"/>
    </row>
    <row s="10822" customFormat="1" customHeight="1" ht="11.25">
      <c r="A177" s="1243"/>
      <c r="B177" s="1949"/>
      <c r="C177" s="1949"/>
      <c r="D177" s="572"/>
      <c r="J177" s="7715"/>
      <c r="K177" s="7715"/>
      <c r="L177" s="7715"/>
      <c r="M177" s="7715"/>
      <c r="N177" s="7715"/>
      <c r="O177" s="7715"/>
      <c r="P177" s="7715"/>
      <c r="Q177" s="7715"/>
      <c r="R177" s="7715"/>
      <c r="S177" s="7715"/>
      <c r="T177" s="7715"/>
      <c r="U177" s="7715"/>
      <c r="V177" s="7715"/>
      <c r="W177" s="7715"/>
      <c r="X177" s="7715"/>
      <c r="Y177" s="7715"/>
      <c r="Z177" s="7715"/>
      <c r="AA177" s="7715"/>
      <c r="AB177" s="7715"/>
      <c r="AC177" s="7715"/>
      <c r="AD177" s="7715"/>
      <c r="AE177" s="7715"/>
      <c r="AF177" s="7715"/>
      <c r="AG177" s="7715"/>
      <c r="AH177" s="7715"/>
      <c r="AI177" s="7715"/>
      <c r="AJ177" s="7715"/>
      <c r="AK177" s="7715"/>
      <c r="AL177" s="1421"/>
      <c r="AM177" s="1949"/>
      <c r="AN177" s="1949"/>
      <c r="AO177" s="1421"/>
      <c r="AP177" s="1421"/>
      <c r="AQ177" s="1421"/>
      <c r="AR177" s="1421"/>
      <c r="AS177" s="1949"/>
      <c r="AT177" s="1421"/>
      <c r="AU177" s="1421"/>
      <c r="AV177" s="781"/>
      <c r="AW177" s="1421"/>
      <c r="AX177" s="1421"/>
      <c r="AY177" s="1421"/>
      <c r="AZ177" s="1421"/>
      <c r="BA177" s="1421"/>
      <c r="BB177" s="1945"/>
      <c r="BC177" s="803"/>
      <c r="BD177" s="803"/>
      <c r="BE177" s="803"/>
      <c r="BF177" s="803"/>
    </row>
    <row s="10822" customFormat="1" customHeight="1" ht="11.25">
      <c r="A178" s="1243"/>
      <c r="B178" s="1949"/>
      <c r="C178" s="1949"/>
      <c r="D178" s="572"/>
      <c r="J178" s="7715"/>
      <c r="K178" s="7715"/>
      <c r="L178" s="7715"/>
      <c r="M178" s="7715"/>
      <c r="N178" s="7715"/>
      <c r="O178" s="7715"/>
      <c r="P178" s="7715"/>
      <c r="Q178" s="7715"/>
      <c r="R178" s="7715"/>
      <c r="S178" s="7715"/>
      <c r="T178" s="7715"/>
      <c r="U178" s="7715"/>
      <c r="V178" s="7715"/>
      <c r="W178" s="7715"/>
      <c r="X178" s="7715"/>
      <c r="Y178" s="7715"/>
      <c r="Z178" s="7715"/>
      <c r="AA178" s="7715"/>
      <c r="AB178" s="7715"/>
      <c r="AC178" s="7715"/>
      <c r="AD178" s="7715"/>
      <c r="AE178" s="7715"/>
      <c r="AF178" s="7715"/>
      <c r="AG178" s="7715"/>
      <c r="AH178" s="7715"/>
      <c r="AI178" s="7715"/>
      <c r="AJ178" s="7715"/>
      <c r="AK178" s="7715"/>
      <c r="AL178" s="1421"/>
      <c r="AM178" s="1949"/>
      <c r="AN178" s="1949"/>
      <c r="AO178" s="1421"/>
      <c r="AP178" s="1421"/>
      <c r="AQ178" s="1421"/>
      <c r="AR178" s="1421"/>
      <c r="AS178" s="1949"/>
      <c r="AT178" s="1421"/>
      <c r="AU178" s="1421"/>
      <c r="AV178" s="781"/>
      <c r="AW178" s="1421"/>
      <c r="AX178" s="1421"/>
      <c r="AY178" s="1421"/>
      <c r="AZ178" s="1421"/>
      <c r="BA178" s="1421"/>
      <c r="BB178" s="1945"/>
      <c r="BC178" s="803"/>
      <c r="BD178" s="803"/>
      <c r="BE178" s="803"/>
      <c r="BF178" s="803"/>
    </row>
    <row s="10822" customFormat="1" customHeight="1" ht="11.25">
      <c r="A179" s="1243"/>
      <c r="B179" s="1949"/>
      <c r="C179" s="1949"/>
      <c r="D179" s="572"/>
      <c r="J179" s="7715"/>
      <c r="K179" s="7715"/>
      <c r="L179" s="7715"/>
      <c r="M179" s="7715"/>
      <c r="N179" s="7715"/>
      <c r="O179" s="7715"/>
      <c r="P179" s="7715"/>
      <c r="Q179" s="7715"/>
      <c r="R179" s="7715"/>
      <c r="S179" s="7715"/>
      <c r="T179" s="7715"/>
      <c r="U179" s="7715"/>
      <c r="V179" s="7715"/>
      <c r="W179" s="7715"/>
      <c r="X179" s="7715"/>
      <c r="Y179" s="7715"/>
      <c r="Z179" s="7715"/>
      <c r="AA179" s="7715"/>
      <c r="AB179" s="7715"/>
      <c r="AC179" s="7715"/>
      <c r="AD179" s="7715"/>
      <c r="AE179" s="7715"/>
      <c r="AF179" s="7715"/>
      <c r="AG179" s="7715"/>
      <c r="AH179" s="7715"/>
      <c r="AI179" s="7715"/>
      <c r="AJ179" s="7715"/>
      <c r="AK179" s="7715"/>
      <c r="AL179" s="1421"/>
      <c r="AM179" s="1949"/>
      <c r="AN179" s="1949"/>
      <c r="AO179" s="1421"/>
      <c r="AP179" s="1421"/>
      <c r="AQ179" s="1421"/>
      <c r="AR179" s="1421"/>
      <c r="AS179" s="1949"/>
      <c r="AT179" s="1421"/>
      <c r="AU179" s="1421"/>
      <c r="AV179" s="781"/>
      <c r="AW179" s="1421"/>
      <c r="AX179" s="1421"/>
      <c r="AY179" s="1421"/>
      <c r="AZ179" s="1421"/>
      <c r="BA179" s="1421"/>
      <c r="BB179" s="1945"/>
      <c r="BC179" s="803"/>
      <c r="BD179" s="803"/>
      <c r="BE179" s="803"/>
      <c r="BF179" s="803"/>
    </row>
    <row s="10822" customFormat="1" customHeight="1" ht="11.25">
      <c r="A180" s="1243"/>
      <c r="B180" s="1949"/>
      <c r="C180" s="1949"/>
      <c r="D180" s="572"/>
      <c r="J180" s="7715"/>
      <c r="K180" s="7715"/>
      <c r="L180" s="7715"/>
      <c r="M180" s="7715"/>
      <c r="N180" s="7715"/>
      <c r="O180" s="7715"/>
      <c r="P180" s="7715"/>
      <c r="Q180" s="7715"/>
      <c r="R180" s="7715"/>
      <c r="S180" s="7715"/>
      <c r="T180" s="7715"/>
      <c r="U180" s="7715"/>
      <c r="V180" s="7715"/>
      <c r="W180" s="7715"/>
      <c r="X180" s="7715"/>
      <c r="Y180" s="7715"/>
      <c r="Z180" s="7715"/>
      <c r="AA180" s="7715"/>
      <c r="AB180" s="7715"/>
      <c r="AC180" s="7715"/>
      <c r="AD180" s="7715"/>
      <c r="AE180" s="7715"/>
      <c r="AF180" s="7715"/>
      <c r="AG180" s="7715"/>
      <c r="AH180" s="7715"/>
      <c r="AI180" s="7715"/>
      <c r="AJ180" s="7715"/>
      <c r="AK180" s="7715"/>
      <c r="AL180" s="1421"/>
      <c r="AM180" s="1949"/>
      <c r="AN180" s="1949"/>
      <c r="AO180" s="1421"/>
      <c r="AP180" s="1421"/>
      <c r="AQ180" s="1421"/>
      <c r="AR180" s="1421"/>
      <c r="AS180" s="1949"/>
      <c r="AT180" s="1421"/>
      <c r="AU180" s="1421"/>
      <c r="AV180" s="781"/>
      <c r="AW180" s="1421"/>
      <c r="AX180" s="1421"/>
      <c r="AY180" s="1421"/>
      <c r="AZ180" s="1421"/>
      <c r="BA180" s="1421"/>
      <c r="BB180" s="1945"/>
      <c r="BC180" s="803"/>
      <c r="BD180" s="803"/>
      <c r="BE180" s="803"/>
      <c r="BF180" s="803"/>
    </row>
    <row s="10822" customFormat="1" customHeight="1" ht="11.25">
      <c r="A181" s="1243"/>
      <c r="B181" s="1949"/>
      <c r="C181" s="1949"/>
      <c r="D181" s="572"/>
      <c r="J181" s="7715"/>
      <c r="K181" s="7715"/>
      <c r="L181" s="7715"/>
      <c r="M181" s="7715"/>
      <c r="N181" s="7715"/>
      <c r="O181" s="7715"/>
      <c r="P181" s="7715"/>
      <c r="Q181" s="7715"/>
      <c r="R181" s="7715"/>
      <c r="S181" s="7715"/>
      <c r="T181" s="7715"/>
      <c r="U181" s="7715"/>
      <c r="V181" s="7715"/>
      <c r="W181" s="7715"/>
      <c r="X181" s="7715"/>
      <c r="Y181" s="7715"/>
      <c r="Z181" s="7715"/>
      <c r="AA181" s="7715"/>
      <c r="AB181" s="7715"/>
      <c r="AC181" s="7715"/>
      <c r="AD181" s="7715"/>
      <c r="AE181" s="7715"/>
      <c r="AF181" s="7715"/>
      <c r="AG181" s="7715"/>
      <c r="AH181" s="7715"/>
      <c r="AI181" s="7715"/>
      <c r="AJ181" s="7715"/>
      <c r="AK181" s="7715"/>
      <c r="AL181" s="1421"/>
      <c r="AM181" s="1949"/>
      <c r="AN181" s="1949"/>
      <c r="AO181" s="1421"/>
      <c r="AP181" s="1421"/>
      <c r="AQ181" s="1421"/>
      <c r="AR181" s="1421"/>
      <c r="AS181" s="1949"/>
      <c r="AT181" s="1421"/>
      <c r="AU181" s="1421"/>
      <c r="AV181" s="781"/>
      <c r="AW181" s="1421"/>
      <c r="AX181" s="1421"/>
      <c r="AY181" s="1421"/>
      <c r="AZ181" s="1421"/>
      <c r="BA181" s="1421"/>
      <c r="BB181" s="1945"/>
      <c r="BC181" s="803"/>
      <c r="BD181" s="803"/>
      <c r="BE181" s="803"/>
      <c r="BF181" s="803"/>
    </row>
    <row s="10822" customFormat="1" customHeight="1" ht="11.25">
      <c r="A182" s="1243"/>
      <c r="B182" s="1949"/>
      <c r="C182" s="1949"/>
      <c r="D182" s="572"/>
      <c r="J182" s="7715"/>
      <c r="K182" s="7715"/>
      <c r="L182" s="7715"/>
      <c r="M182" s="7715"/>
      <c r="N182" s="7715"/>
      <c r="O182" s="7715"/>
      <c r="P182" s="7715"/>
      <c r="Q182" s="7715"/>
      <c r="R182" s="7715"/>
      <c r="S182" s="7715"/>
      <c r="T182" s="7715"/>
      <c r="U182" s="7715"/>
      <c r="V182" s="7715"/>
      <c r="W182" s="7715"/>
      <c r="X182" s="7715"/>
      <c r="Y182" s="7715"/>
      <c r="Z182" s="7715"/>
      <c r="AA182" s="7715"/>
      <c r="AB182" s="7715"/>
      <c r="AC182" s="7715"/>
      <c r="AD182" s="7715"/>
      <c r="AE182" s="7715"/>
      <c r="AF182" s="7715"/>
      <c r="AG182" s="7715"/>
      <c r="AH182" s="7715"/>
      <c r="AI182" s="7715"/>
      <c r="AJ182" s="7715"/>
      <c r="AK182" s="7715"/>
      <c r="AL182" s="1421"/>
      <c r="AM182" s="1949"/>
      <c r="AN182" s="1949"/>
      <c r="AO182" s="1421"/>
      <c r="AP182" s="1421"/>
      <c r="AQ182" s="1421"/>
      <c r="AR182" s="1421"/>
      <c r="AS182" s="1949"/>
      <c r="AT182" s="1421"/>
      <c r="AU182" s="1421"/>
      <c r="AV182" s="781"/>
      <c r="AW182" s="1421"/>
      <c r="AX182" s="1421"/>
      <c r="AY182" s="1421"/>
      <c r="AZ182" s="1421"/>
      <c r="BA182" s="1421"/>
      <c r="BB182" s="1945"/>
      <c r="BC182" s="803"/>
      <c r="BD182" s="803"/>
      <c r="BE182" s="803"/>
      <c r="BF182" s="803"/>
    </row>
    <row s="10822" customFormat="1" customHeight="1" ht="11.25">
      <c r="A183" s="1243"/>
      <c r="B183" s="1949"/>
      <c r="C183" s="1949"/>
      <c r="D183" s="572"/>
      <c r="J183" s="7715"/>
      <c r="K183" s="7715"/>
      <c r="L183" s="7715"/>
      <c r="M183" s="7715"/>
      <c r="N183" s="7715"/>
      <c r="O183" s="7715"/>
      <c r="P183" s="7715"/>
      <c r="Q183" s="7715"/>
      <c r="R183" s="7715"/>
      <c r="S183" s="7715"/>
      <c r="T183" s="7715"/>
      <c r="U183" s="7715"/>
      <c r="V183" s="7715"/>
      <c r="W183" s="7715"/>
      <c r="X183" s="7715"/>
      <c r="Y183" s="7715"/>
      <c r="Z183" s="7715"/>
      <c r="AA183" s="7715"/>
      <c r="AB183" s="7715"/>
      <c r="AC183" s="7715"/>
      <c r="AD183" s="7715"/>
      <c r="AE183" s="7715"/>
      <c r="AF183" s="7715"/>
      <c r="AG183" s="7715"/>
      <c r="AH183" s="7715"/>
      <c r="AI183" s="7715"/>
      <c r="AJ183" s="7715"/>
      <c r="AK183" s="7715"/>
      <c r="AL183" s="1421"/>
      <c r="AM183" s="1949"/>
      <c r="AN183" s="1949"/>
      <c r="AO183" s="1421"/>
      <c r="AP183" s="1421"/>
      <c r="AQ183" s="1421"/>
      <c r="AR183" s="1421"/>
      <c r="AS183" s="1949"/>
      <c r="AT183" s="1421"/>
      <c r="AU183" s="1421"/>
      <c r="AV183" s="781"/>
      <c r="AW183" s="1421"/>
      <c r="AX183" s="1421"/>
      <c r="AY183" s="1421"/>
      <c r="AZ183" s="1421"/>
      <c r="BA183" s="1421"/>
      <c r="BB183" s="1945"/>
      <c r="BC183" s="803"/>
      <c r="BD183" s="803"/>
      <c r="BE183" s="803"/>
      <c r="BF183" s="803"/>
    </row>
    <row s="10822" customFormat="1" customHeight="1" ht="11.25">
      <c r="A184" s="1243"/>
      <c r="B184" s="1949"/>
      <c r="C184" s="1949"/>
      <c r="D184" s="572"/>
      <c r="J184" s="7715"/>
      <c r="K184" s="7715"/>
      <c r="L184" s="7715"/>
      <c r="M184" s="7715"/>
      <c r="N184" s="7715"/>
      <c r="O184" s="7715"/>
      <c r="P184" s="7715"/>
      <c r="Q184" s="7715"/>
      <c r="R184" s="7715"/>
      <c r="S184" s="7715"/>
      <c r="T184" s="7715"/>
      <c r="U184" s="7715"/>
      <c r="V184" s="7715"/>
      <c r="W184" s="7715"/>
      <c r="X184" s="7715"/>
      <c r="Y184" s="7715"/>
      <c r="Z184" s="7715"/>
      <c r="AA184" s="7715"/>
      <c r="AB184" s="7715"/>
      <c r="AC184" s="7715"/>
      <c r="AD184" s="7715"/>
      <c r="AE184" s="7715"/>
      <c r="AF184" s="7715"/>
      <c r="AG184" s="7715"/>
      <c r="AH184" s="7715"/>
      <c r="AI184" s="7715"/>
      <c r="AJ184" s="7715"/>
      <c r="AK184" s="7715"/>
      <c r="AL184" s="1421"/>
      <c r="AM184" s="1949"/>
      <c r="AN184" s="1949"/>
      <c r="AO184" s="1421"/>
      <c r="AP184" s="1421"/>
      <c r="AQ184" s="1421"/>
      <c r="AR184" s="1421"/>
      <c r="AS184" s="1949"/>
      <c r="AT184" s="1421"/>
      <c r="AU184" s="1421"/>
      <c r="AV184" s="781"/>
      <c r="AW184" s="1421"/>
      <c r="AX184" s="1421"/>
      <c r="AY184" s="1421"/>
      <c r="AZ184" s="1421"/>
      <c r="BA184" s="1421"/>
      <c r="BB184" s="1945"/>
      <c r="BC184" s="803"/>
      <c r="BD184" s="803"/>
      <c r="BE184" s="803"/>
      <c r="BF184" s="803"/>
    </row>
    <row s="10822" customFormat="1" customHeight="1" ht="11.25">
      <c r="A185" s="1243"/>
      <c r="B185" s="1949"/>
      <c r="C185" s="1949"/>
      <c r="D185" s="572"/>
      <c r="J185" s="7715"/>
      <c r="K185" s="7715"/>
      <c r="L185" s="7715"/>
      <c r="M185" s="7715"/>
      <c r="N185" s="7715"/>
      <c r="O185" s="7715"/>
      <c r="P185" s="7715"/>
      <c r="Q185" s="7715"/>
      <c r="R185" s="7715"/>
      <c r="S185" s="7715"/>
      <c r="T185" s="7715"/>
      <c r="U185" s="7715"/>
      <c r="V185" s="7715"/>
      <c r="W185" s="7715"/>
      <c r="X185" s="7715"/>
      <c r="Y185" s="7715"/>
      <c r="Z185" s="7715"/>
      <c r="AA185" s="7715"/>
      <c r="AB185" s="7715"/>
      <c r="AC185" s="7715"/>
      <c r="AD185" s="7715"/>
      <c r="AE185" s="7715"/>
      <c r="AF185" s="7715"/>
      <c r="AG185" s="7715"/>
      <c r="AH185" s="7715"/>
      <c r="AI185" s="7715"/>
      <c r="AJ185" s="7715"/>
      <c r="AK185" s="7715"/>
      <c r="AL185" s="1421"/>
      <c r="AM185" s="1949"/>
      <c r="AN185" s="1949"/>
      <c r="AO185" s="1421"/>
      <c r="AP185" s="1421"/>
      <c r="AQ185" s="1421"/>
      <c r="AR185" s="1421"/>
      <c r="AS185" s="1949"/>
      <c r="AT185" s="1421"/>
      <c r="AU185" s="1421"/>
      <c r="AV185" s="781"/>
      <c r="AW185" s="1421"/>
      <c r="AX185" s="1421"/>
      <c r="AY185" s="1421"/>
      <c r="AZ185" s="1421"/>
      <c r="BA185" s="1421"/>
      <c r="BB185" s="1945"/>
      <c r="BC185" s="803"/>
      <c r="BD185" s="803"/>
      <c r="BE185" s="803"/>
      <c r="BF185" s="803"/>
    </row>
    <row s="10822" customFormat="1" customHeight="1" ht="11.25">
      <c r="A186" s="1243"/>
      <c r="B186" s="1949"/>
      <c r="C186" s="1949"/>
      <c r="D186" s="572"/>
      <c r="J186" s="7715"/>
      <c r="K186" s="7715"/>
      <c r="L186" s="7715"/>
      <c r="M186" s="7715"/>
      <c r="N186" s="7715"/>
      <c r="O186" s="7715"/>
      <c r="P186" s="7715"/>
      <c r="Q186" s="7715"/>
      <c r="R186" s="7715"/>
      <c r="S186" s="7715"/>
      <c r="T186" s="7715"/>
      <c r="U186" s="7715"/>
      <c r="V186" s="7715"/>
      <c r="W186" s="7715"/>
      <c r="X186" s="7715"/>
      <c r="Y186" s="7715"/>
      <c r="Z186" s="7715"/>
      <c r="AA186" s="7715"/>
      <c r="AB186" s="7715"/>
      <c r="AC186" s="7715"/>
      <c r="AD186" s="7715"/>
      <c r="AE186" s="7715"/>
      <c r="AF186" s="7715"/>
      <c r="AG186" s="7715"/>
      <c r="AH186" s="7715"/>
      <c r="AI186" s="7715"/>
      <c r="AJ186" s="7715"/>
      <c r="AK186" s="7715"/>
      <c r="AL186" s="1421"/>
      <c r="AM186" s="1949"/>
      <c r="AN186" s="1949"/>
      <c r="AO186" s="1421"/>
      <c r="AP186" s="1421"/>
      <c r="AQ186" s="1421"/>
      <c r="AR186" s="1421"/>
      <c r="AS186" s="1949"/>
      <c r="AT186" s="1421"/>
      <c r="AU186" s="1421"/>
      <c r="AV186" s="781"/>
      <c r="AW186" s="1421"/>
      <c r="AX186" s="1421"/>
      <c r="AY186" s="1421"/>
      <c r="AZ186" s="1421"/>
      <c r="BA186" s="1421"/>
      <c r="BB186" s="1945"/>
      <c r="BC186" s="803"/>
      <c r="BD186" s="803"/>
      <c r="BE186" s="803"/>
      <c r="BF186" s="803"/>
    </row>
    <row s="10822" customFormat="1" customHeight="1" ht="11.25">
      <c r="A187" s="1243"/>
      <c r="B187" s="1949"/>
      <c r="C187" s="1949"/>
      <c r="D187" s="572"/>
      <c r="J187" s="7715"/>
      <c r="K187" s="7715"/>
      <c r="L187" s="7715"/>
      <c r="M187" s="7715"/>
      <c r="N187" s="7715"/>
      <c r="O187" s="7715"/>
      <c r="P187" s="7715"/>
      <c r="Q187" s="7715"/>
      <c r="R187" s="7715"/>
      <c r="S187" s="7715"/>
      <c r="T187" s="7715"/>
      <c r="U187" s="7715"/>
      <c r="V187" s="7715"/>
      <c r="W187" s="7715"/>
      <c r="X187" s="7715"/>
      <c r="Y187" s="7715"/>
      <c r="Z187" s="7715"/>
      <c r="AA187" s="7715"/>
      <c r="AB187" s="7715"/>
      <c r="AC187" s="7715"/>
      <c r="AD187" s="7715"/>
      <c r="AE187" s="7715"/>
      <c r="AF187" s="7715"/>
      <c r="AG187" s="7715"/>
      <c r="AH187" s="7715"/>
      <c r="AI187" s="7715"/>
      <c r="AJ187" s="7715"/>
      <c r="AK187" s="7715"/>
      <c r="AL187" s="1421"/>
      <c r="AM187" s="1949"/>
      <c r="AN187" s="1949"/>
      <c r="AO187" s="1421"/>
      <c r="AP187" s="1421"/>
      <c r="AQ187" s="1421"/>
      <c r="AR187" s="1421"/>
      <c r="AS187" s="1949"/>
      <c r="AT187" s="1421"/>
      <c r="AU187" s="1421"/>
      <c r="AV187" s="781"/>
      <c r="AW187" s="1421"/>
      <c r="AX187" s="1421"/>
      <c r="AY187" s="1421"/>
      <c r="AZ187" s="1421"/>
      <c r="BA187" s="1421"/>
      <c r="BB187" s="1945"/>
      <c r="BC187" s="803"/>
      <c r="BD187" s="803"/>
      <c r="BE187" s="803"/>
      <c r="BF187" s="803"/>
    </row>
    <row s="10822" customFormat="1" customHeight="1" ht="11.25">
      <c r="A188" s="1243"/>
      <c r="B188" s="1949"/>
      <c r="C188" s="1949"/>
      <c r="D188" s="572"/>
      <c r="J188" s="7715"/>
      <c r="K188" s="7715"/>
      <c r="L188" s="7715"/>
      <c r="M188" s="7715"/>
      <c r="N188" s="7715"/>
      <c r="O188" s="7715"/>
      <c r="P188" s="7715"/>
      <c r="Q188" s="7715"/>
      <c r="R188" s="7715"/>
      <c r="S188" s="7715"/>
      <c r="T188" s="7715"/>
      <c r="U188" s="7715"/>
      <c r="V188" s="7715"/>
      <c r="W188" s="7715"/>
      <c r="X188" s="7715"/>
      <c r="Y188" s="7715"/>
      <c r="Z188" s="7715"/>
      <c r="AA188" s="7715"/>
      <c r="AB188" s="7715"/>
      <c r="AC188" s="7715"/>
      <c r="AD188" s="7715"/>
      <c r="AE188" s="7715"/>
      <c r="AF188" s="7715"/>
      <c r="AG188" s="7715"/>
      <c r="AH188" s="7715"/>
      <c r="AI188" s="7715"/>
      <c r="AJ188" s="7715"/>
      <c r="AK188" s="7715"/>
      <c r="AL188" s="1421"/>
      <c r="AM188" s="1949"/>
      <c r="AN188" s="1949"/>
      <c r="AO188" s="1421"/>
      <c r="AP188" s="1421"/>
      <c r="AQ188" s="1421"/>
      <c r="AR188" s="1421"/>
      <c r="AS188" s="1949"/>
      <c r="AT188" s="1421"/>
      <c r="AU188" s="1421"/>
      <c r="AV188" s="781"/>
      <c r="AW188" s="1421"/>
      <c r="AX188" s="1421"/>
      <c r="AY188" s="1421"/>
      <c r="AZ188" s="1421"/>
      <c r="BA188" s="1421"/>
      <c r="BB188" s="1945"/>
      <c r="BC188" s="803"/>
      <c r="BD188" s="803"/>
      <c r="BE188" s="803"/>
      <c r="BF188" s="803"/>
    </row>
    <row s="10822" customFormat="1" customHeight="1" ht="11.25">
      <c r="A189" s="1243"/>
      <c r="B189" s="1949"/>
      <c r="C189" s="1949"/>
      <c r="D189" s="572"/>
      <c r="J189" s="7715"/>
      <c r="K189" s="7715"/>
      <c r="L189" s="7715"/>
      <c r="M189" s="7715"/>
      <c r="N189" s="7715"/>
      <c r="O189" s="7715"/>
      <c r="P189" s="7715"/>
      <c r="Q189" s="7715"/>
      <c r="R189" s="7715"/>
      <c r="S189" s="7715"/>
      <c r="T189" s="7715"/>
      <c r="U189" s="7715"/>
      <c r="V189" s="7715"/>
      <c r="W189" s="7715"/>
      <c r="X189" s="7715"/>
      <c r="Y189" s="7715"/>
      <c r="Z189" s="7715"/>
      <c r="AA189" s="7715"/>
      <c r="AB189" s="7715"/>
      <c r="AC189" s="7715"/>
      <c r="AD189" s="7715"/>
      <c r="AE189" s="7715"/>
      <c r="AF189" s="7715"/>
      <c r="AG189" s="7715"/>
      <c r="AH189" s="7715"/>
      <c r="AI189" s="7715"/>
      <c r="AJ189" s="7715"/>
      <c r="AK189" s="7715"/>
      <c r="AL189" s="1421"/>
      <c r="AM189" s="1949"/>
      <c r="AN189" s="1949"/>
      <c r="AO189" s="1421"/>
      <c r="AP189" s="1421"/>
      <c r="AQ189" s="1421"/>
      <c r="AR189" s="1421"/>
      <c r="AS189" s="1949"/>
      <c r="AT189" s="1421"/>
      <c r="AU189" s="1421"/>
      <c r="AV189" s="781"/>
      <c r="AW189" s="1421"/>
      <c r="AX189" s="1421"/>
      <c r="AY189" s="1421"/>
      <c r="AZ189" s="1421"/>
      <c r="BA189" s="1421"/>
      <c r="BB189" s="1945"/>
      <c r="BC189" s="803"/>
      <c r="BD189" s="803"/>
      <c r="BE189" s="803"/>
      <c r="BF189" s="803"/>
    </row>
    <row s="10822" customFormat="1" customHeight="1" ht="11.25">
      <c r="A190" s="1243"/>
      <c r="B190" s="1949"/>
      <c r="C190" s="1949"/>
      <c r="D190" s="572"/>
      <c r="J190" s="7715"/>
      <c r="K190" s="7715"/>
      <c r="L190" s="7715"/>
      <c r="M190" s="7715"/>
      <c r="N190" s="7715"/>
      <c r="O190" s="7715"/>
      <c r="P190" s="7715"/>
      <c r="Q190" s="7715"/>
      <c r="R190" s="7715"/>
      <c r="S190" s="7715"/>
      <c r="T190" s="7715"/>
      <c r="U190" s="7715"/>
      <c r="V190" s="7715"/>
      <c r="W190" s="7715"/>
      <c r="X190" s="7715"/>
      <c r="Y190" s="7715"/>
      <c r="Z190" s="7715"/>
      <c r="AA190" s="7715"/>
      <c r="AB190" s="7715"/>
      <c r="AC190" s="7715"/>
      <c r="AD190" s="7715"/>
      <c r="AE190" s="7715"/>
      <c r="AF190" s="7715"/>
      <c r="AG190" s="7715"/>
      <c r="AH190" s="7715"/>
      <c r="AI190" s="7715"/>
      <c r="AJ190" s="7715"/>
      <c r="AK190" s="7715"/>
      <c r="AL190" s="1421"/>
      <c r="AM190" s="1949"/>
      <c r="AN190" s="1949"/>
      <c r="AO190" s="1421"/>
      <c r="AP190" s="1421"/>
      <c r="AQ190" s="1421"/>
      <c r="AR190" s="1421"/>
      <c r="AS190" s="1949"/>
      <c r="AT190" s="1421"/>
      <c r="AU190" s="1421"/>
      <c r="AV190" s="781"/>
      <c r="AW190" s="1421"/>
      <c r="AX190" s="1421"/>
      <c r="AY190" s="1421"/>
      <c r="AZ190" s="1421"/>
      <c r="BA190" s="1421"/>
      <c r="BB190" s="1945"/>
      <c r="BC190" s="803"/>
      <c r="BD190" s="803"/>
      <c r="BE190" s="803"/>
      <c r="BF190" s="803"/>
    </row>
    <row s="10822" customFormat="1" customHeight="1" ht="11.25">
      <c r="A191" s="1243"/>
      <c r="B191" s="1949"/>
      <c r="C191" s="1949"/>
      <c r="D191" s="572"/>
      <c r="J191" s="7715"/>
      <c r="K191" s="7715"/>
      <c r="L191" s="7715"/>
      <c r="M191" s="7715"/>
      <c r="N191" s="7715"/>
      <c r="O191" s="7715"/>
      <c r="P191" s="7715"/>
      <c r="Q191" s="7715"/>
      <c r="R191" s="7715"/>
      <c r="S191" s="7715"/>
      <c r="T191" s="7715"/>
      <c r="U191" s="7715"/>
      <c r="V191" s="7715"/>
      <c r="W191" s="7715"/>
      <c r="X191" s="7715"/>
      <c r="Y191" s="7715"/>
      <c r="Z191" s="7715"/>
      <c r="AA191" s="7715"/>
      <c r="AB191" s="7715"/>
      <c r="AC191" s="7715"/>
      <c r="AD191" s="7715"/>
      <c r="AE191" s="7715"/>
      <c r="AF191" s="7715"/>
      <c r="AG191" s="7715"/>
      <c r="AH191" s="7715"/>
      <c r="AI191" s="7715"/>
      <c r="AJ191" s="7715"/>
      <c r="AK191" s="7715"/>
      <c r="AL191" s="1421"/>
      <c r="AM191" s="1949"/>
      <c r="AN191" s="1949"/>
      <c r="AO191" s="1421"/>
      <c r="AP191" s="1421"/>
      <c r="AQ191" s="1421"/>
      <c r="AR191" s="1421"/>
      <c r="AS191" s="1949"/>
      <c r="AT191" s="1421"/>
      <c r="AU191" s="1421"/>
      <c r="AV191" s="781"/>
      <c r="AW191" s="1421"/>
      <c r="AX191" s="1421"/>
      <c r="AY191" s="1421"/>
      <c r="AZ191" s="1421"/>
      <c r="BA191" s="1421"/>
      <c r="BB191" s="1945"/>
      <c r="BC191" s="803"/>
      <c r="BD191" s="803"/>
      <c r="BE191" s="803"/>
      <c r="BF191" s="803"/>
    </row>
    <row s="10822" customFormat="1" customHeight="1" ht="11.25">
      <c r="A192" s="1243"/>
      <c r="B192" s="1949"/>
      <c r="C192" s="1949"/>
      <c r="D192" s="572"/>
      <c r="J192" s="7715"/>
      <c r="K192" s="7715"/>
      <c r="L192" s="7715"/>
      <c r="M192" s="7715"/>
      <c r="N192" s="7715"/>
      <c r="O192" s="7715"/>
      <c r="P192" s="7715"/>
      <c r="Q192" s="7715"/>
      <c r="R192" s="7715"/>
      <c r="S192" s="7715"/>
      <c r="T192" s="7715"/>
      <c r="U192" s="7715"/>
      <c r="V192" s="7715"/>
      <c r="W192" s="7715"/>
      <c r="X192" s="7715"/>
      <c r="Y192" s="7715"/>
      <c r="Z192" s="7715"/>
      <c r="AA192" s="7715"/>
      <c r="AB192" s="7715"/>
      <c r="AC192" s="7715"/>
      <c r="AD192" s="7715"/>
      <c r="AE192" s="7715"/>
      <c r="AF192" s="7715"/>
      <c r="AG192" s="7715"/>
      <c r="AH192" s="7715"/>
      <c r="AI192" s="7715"/>
      <c r="AJ192" s="7715"/>
      <c r="AK192" s="7715"/>
      <c r="AL192" s="1421"/>
      <c r="AM192" s="1949"/>
      <c r="AN192" s="1949"/>
      <c r="AO192" s="1421"/>
      <c r="AP192" s="1421"/>
      <c r="AQ192" s="1421"/>
      <c r="AR192" s="1421"/>
      <c r="AS192" s="1949"/>
      <c r="AT192" s="1421"/>
      <c r="AU192" s="1421"/>
      <c r="AV192" s="781"/>
      <c r="AW192" s="1421"/>
      <c r="AX192" s="1421"/>
      <c r="AY192" s="1421"/>
      <c r="AZ192" s="1421"/>
      <c r="BA192" s="1421"/>
      <c r="BB192" s="1945"/>
      <c r="BC192" s="803"/>
      <c r="BD192" s="803"/>
      <c r="BE192" s="803"/>
      <c r="BF192" s="803"/>
    </row>
    <row s="10822" customFormat="1" customHeight="1" ht="11.25">
      <c r="A193" s="1243"/>
      <c r="B193" s="1949"/>
      <c r="C193" s="1949"/>
      <c r="D193" s="572"/>
      <c r="J193" s="7715"/>
      <c r="K193" s="7715"/>
      <c r="L193" s="7715"/>
      <c r="M193" s="7715"/>
      <c r="N193" s="7715"/>
      <c r="O193" s="7715"/>
      <c r="P193" s="7715"/>
      <c r="Q193" s="7715"/>
      <c r="R193" s="7715"/>
      <c r="S193" s="7715"/>
      <c r="T193" s="7715"/>
      <c r="U193" s="7715"/>
      <c r="V193" s="7715"/>
      <c r="W193" s="7715"/>
      <c r="X193" s="7715"/>
      <c r="Y193" s="7715"/>
      <c r="Z193" s="7715"/>
      <c r="AA193" s="7715"/>
      <c r="AB193" s="7715"/>
      <c r="AC193" s="7715"/>
      <c r="AD193" s="7715"/>
      <c r="AE193" s="7715"/>
      <c r="AF193" s="7715"/>
      <c r="AG193" s="7715"/>
      <c r="AH193" s="7715"/>
      <c r="AI193" s="7715"/>
      <c r="AJ193" s="7715"/>
      <c r="AK193" s="7715"/>
      <c r="AL193" s="1421"/>
      <c r="AM193" s="1949"/>
      <c r="AN193" s="1949"/>
      <c r="AO193" s="1421"/>
      <c r="AP193" s="1421"/>
      <c r="AQ193" s="1421"/>
      <c r="AR193" s="1421"/>
      <c r="AS193" s="1949"/>
      <c r="AT193" s="1421"/>
      <c r="AU193" s="1421"/>
      <c r="AV193" s="781"/>
      <c r="AW193" s="1421"/>
      <c r="AX193" s="1421"/>
      <c r="AY193" s="1421"/>
      <c r="AZ193" s="1421"/>
      <c r="BA193" s="1421"/>
      <c r="BB193" s="1945"/>
      <c r="BC193" s="803"/>
      <c r="BD193" s="803"/>
      <c r="BE193" s="803"/>
      <c r="BF193" s="803"/>
    </row>
    <row s="10822" customFormat="1" customHeight="1" ht="11.25">
      <c r="A194" s="1243"/>
      <c r="B194" s="1949"/>
      <c r="C194" s="1949"/>
      <c r="D194" s="572"/>
      <c r="J194" s="7715"/>
      <c r="K194" s="7715"/>
      <c r="L194" s="7715"/>
      <c r="M194" s="7715"/>
      <c r="N194" s="7715"/>
      <c r="O194" s="7715"/>
      <c r="P194" s="7715"/>
      <c r="Q194" s="7715"/>
      <c r="R194" s="7715"/>
      <c r="S194" s="7715"/>
      <c r="T194" s="7715"/>
      <c r="U194" s="7715"/>
      <c r="V194" s="7715"/>
      <c r="W194" s="7715"/>
      <c r="X194" s="7715"/>
      <c r="Y194" s="7715"/>
      <c r="Z194" s="7715"/>
      <c r="AA194" s="7715"/>
      <c r="AB194" s="7715"/>
      <c r="AC194" s="7715"/>
      <c r="AD194" s="7715"/>
      <c r="AE194" s="7715"/>
      <c r="AF194" s="7715"/>
      <c r="AG194" s="7715"/>
      <c r="AH194" s="7715"/>
      <c r="AI194" s="7715"/>
      <c r="AJ194" s="7715"/>
      <c r="AK194" s="7715"/>
      <c r="AL194" s="1421"/>
      <c r="AM194" s="1949"/>
      <c r="AN194" s="1949"/>
      <c r="AO194" s="1421"/>
      <c r="AP194" s="1421"/>
      <c r="AQ194" s="1421"/>
      <c r="AR194" s="1421"/>
      <c r="AS194" s="1949"/>
      <c r="AT194" s="1421"/>
      <c r="AU194" s="1421"/>
      <c r="AV194" s="781"/>
      <c r="AW194" s="1421"/>
      <c r="AX194" s="1421"/>
      <c r="AY194" s="1421"/>
      <c r="AZ194" s="1421"/>
      <c r="BA194" s="1421"/>
      <c r="BB194" s="1945"/>
      <c r="BC194" s="803"/>
      <c r="BD194" s="803"/>
      <c r="BE194" s="803"/>
      <c r="BF194" s="803"/>
    </row>
    <row s="10822" customFormat="1" customHeight="1" ht="11.25">
      <c r="A195" s="1243"/>
      <c r="B195" s="1949"/>
      <c r="C195" s="1949"/>
      <c r="D195" s="572"/>
      <c r="J195" s="7715"/>
      <c r="K195" s="7715"/>
      <c r="L195" s="7715"/>
      <c r="M195" s="7715"/>
      <c r="N195" s="7715"/>
      <c r="O195" s="7715"/>
      <c r="P195" s="7715"/>
      <c r="Q195" s="7715"/>
      <c r="R195" s="7715"/>
      <c r="S195" s="7715"/>
      <c r="T195" s="7715"/>
      <c r="U195" s="7715"/>
      <c r="V195" s="7715"/>
      <c r="W195" s="7715"/>
      <c r="X195" s="7715"/>
      <c r="Y195" s="7715"/>
      <c r="Z195" s="7715"/>
      <c r="AA195" s="7715"/>
      <c r="AB195" s="7715"/>
      <c r="AC195" s="7715"/>
      <c r="AD195" s="7715"/>
      <c r="AE195" s="7715"/>
      <c r="AF195" s="7715"/>
      <c r="AG195" s="7715"/>
      <c r="AH195" s="7715"/>
      <c r="AI195" s="7715"/>
      <c r="AJ195" s="7715"/>
      <c r="AK195" s="7715"/>
      <c r="AL195" s="1421"/>
      <c r="AM195" s="1949"/>
      <c r="AN195" s="1949"/>
      <c r="AO195" s="1421"/>
      <c r="AP195" s="1421"/>
      <c r="AQ195" s="1421"/>
      <c r="AR195" s="1421"/>
      <c r="AS195" s="1949"/>
      <c r="AT195" s="1421"/>
      <c r="AU195" s="1421"/>
      <c r="AV195" s="781"/>
      <c r="AW195" s="1421"/>
      <c r="AX195" s="1421"/>
      <c r="AY195" s="1421"/>
      <c r="AZ195" s="1421"/>
      <c r="BA195" s="1421"/>
      <c r="BB195" s="1945"/>
      <c r="BC195" s="803"/>
      <c r="BD195" s="803"/>
      <c r="BE195" s="803"/>
      <c r="BF195" s="803"/>
    </row>
    <row s="10822" customFormat="1" customHeight="1" ht="11.25">
      <c r="A196" s="1243"/>
      <c r="B196" s="1949"/>
      <c r="C196" s="1949"/>
      <c r="D196" s="572"/>
      <c r="J196" s="7715"/>
      <c r="K196" s="7715"/>
      <c r="L196" s="7715"/>
      <c r="M196" s="7715"/>
      <c r="N196" s="7715"/>
      <c r="O196" s="7715"/>
      <c r="P196" s="7715"/>
      <c r="Q196" s="7715"/>
      <c r="R196" s="7715"/>
      <c r="S196" s="7715"/>
      <c r="T196" s="7715"/>
      <c r="U196" s="7715"/>
      <c r="V196" s="7715"/>
      <c r="W196" s="7715"/>
      <c r="X196" s="7715"/>
      <c r="Y196" s="7715"/>
      <c r="Z196" s="7715"/>
      <c r="AA196" s="7715"/>
      <c r="AB196" s="7715"/>
      <c r="AC196" s="7715"/>
      <c r="AD196" s="7715"/>
      <c r="AE196" s="7715"/>
      <c r="AF196" s="7715"/>
      <c r="AG196" s="7715"/>
      <c r="AH196" s="7715"/>
      <c r="AI196" s="7715"/>
      <c r="AJ196" s="7715"/>
      <c r="AK196" s="7715"/>
      <c r="AL196" s="1421"/>
      <c r="AM196" s="1949"/>
      <c r="AN196" s="1949"/>
      <c r="AO196" s="1421"/>
      <c r="AP196" s="1421"/>
      <c r="AQ196" s="1421"/>
      <c r="AR196" s="1421"/>
      <c r="AS196" s="1949"/>
      <c r="AT196" s="1421"/>
      <c r="AU196" s="1421"/>
      <c r="AV196" s="781"/>
      <c r="AW196" s="1421"/>
      <c r="AX196" s="1421"/>
      <c r="AY196" s="1421"/>
      <c r="AZ196" s="1421"/>
      <c r="BA196" s="1421"/>
      <c r="BB196" s="1945"/>
      <c r="BC196" s="803"/>
      <c r="BD196" s="803"/>
      <c r="BE196" s="803"/>
      <c r="BF196" s="803"/>
    </row>
    <row s="10822" customFormat="1" customHeight="1" ht="11.25">
      <c r="A197" s="1243"/>
      <c r="B197" s="1949"/>
      <c r="C197" s="1949"/>
      <c r="D197" s="572"/>
      <c r="J197" s="7715"/>
      <c r="K197" s="7715"/>
      <c r="L197" s="7715"/>
      <c r="M197" s="7715"/>
      <c r="N197" s="7715"/>
      <c r="O197" s="7715"/>
      <c r="P197" s="7715"/>
      <c r="Q197" s="7715"/>
      <c r="R197" s="7715"/>
      <c r="S197" s="7715"/>
      <c r="T197" s="7715"/>
      <c r="U197" s="7715"/>
      <c r="V197" s="7715"/>
      <c r="W197" s="7715"/>
      <c r="X197" s="7715"/>
      <c r="Y197" s="7715"/>
      <c r="Z197" s="7715"/>
      <c r="AA197" s="7715"/>
      <c r="AB197" s="7715"/>
      <c r="AC197" s="7715"/>
      <c r="AD197" s="7715"/>
      <c r="AE197" s="7715"/>
      <c r="AF197" s="7715"/>
      <c r="AG197" s="7715"/>
      <c r="AH197" s="7715"/>
      <c r="AI197" s="7715"/>
      <c r="AJ197" s="7715"/>
      <c r="AK197" s="7715"/>
      <c r="AL197" s="1421"/>
      <c r="AM197" s="1949"/>
      <c r="AN197" s="1949"/>
      <c r="AO197" s="1421"/>
      <c r="AP197" s="1421"/>
      <c r="AQ197" s="1421"/>
      <c r="AR197" s="1421"/>
      <c r="AS197" s="1949"/>
      <c r="AT197" s="1421"/>
      <c r="AU197" s="1421"/>
      <c r="AV197" s="781"/>
      <c r="AW197" s="1421"/>
      <c r="AX197" s="1421"/>
      <c r="AY197" s="1421"/>
      <c r="AZ197" s="1421"/>
      <c r="BA197" s="1421"/>
      <c r="BB197" s="1945"/>
      <c r="BC197" s="803"/>
      <c r="BD197" s="803"/>
      <c r="BE197" s="803"/>
      <c r="BF197" s="803"/>
    </row>
    <row s="10822" customFormat="1" customHeight="1" ht="11.25">
      <c r="A198" s="1243"/>
      <c r="B198" s="1949"/>
      <c r="C198" s="1949"/>
      <c r="D198" s="572"/>
      <c r="J198" s="7715"/>
      <c r="K198" s="7715"/>
      <c r="L198" s="7715"/>
      <c r="M198" s="7715"/>
      <c r="N198" s="7715"/>
      <c r="O198" s="7715"/>
      <c r="P198" s="7715"/>
      <c r="Q198" s="7715"/>
      <c r="R198" s="7715"/>
      <c r="S198" s="7715"/>
      <c r="T198" s="7715"/>
      <c r="U198" s="7715"/>
      <c r="V198" s="7715"/>
      <c r="W198" s="7715"/>
      <c r="X198" s="7715"/>
      <c r="Y198" s="7715"/>
      <c r="Z198" s="7715"/>
      <c r="AA198" s="7715"/>
      <c r="AB198" s="7715"/>
      <c r="AC198" s="7715"/>
      <c r="AD198" s="7715"/>
      <c r="AE198" s="7715"/>
      <c r="AF198" s="7715"/>
      <c r="AG198" s="7715"/>
      <c r="AH198" s="7715"/>
      <c r="AI198" s="7715"/>
      <c r="AJ198" s="7715"/>
      <c r="AK198" s="7715"/>
      <c r="AL198" s="1421"/>
      <c r="AM198" s="1949"/>
      <c r="AN198" s="1949"/>
      <c r="AO198" s="1421"/>
      <c r="AP198" s="1421"/>
      <c r="AQ198" s="1421"/>
      <c r="AR198" s="1421"/>
      <c r="AS198" s="1949"/>
      <c r="AT198" s="1421"/>
      <c r="AU198" s="1421"/>
      <c r="AV198" s="781"/>
      <c r="AW198" s="1421"/>
      <c r="AX198" s="1421"/>
      <c r="AY198" s="1421"/>
      <c r="AZ198" s="1421"/>
      <c r="BA198" s="1421"/>
      <c r="BB198" s="1945"/>
      <c r="BC198" s="803"/>
      <c r="BD198" s="803"/>
      <c r="BE198" s="803"/>
      <c r="BF198" s="803"/>
    </row>
    <row s="10822" customFormat="1" customHeight="1" ht="11.25">
      <c r="A199" s="1243"/>
      <c r="B199" s="1949"/>
      <c r="C199" s="1949"/>
      <c r="D199" s="572"/>
      <c r="J199" s="7715"/>
      <c r="K199" s="7715"/>
      <c r="L199" s="7715"/>
      <c r="M199" s="7715"/>
      <c r="N199" s="7715"/>
      <c r="O199" s="7715"/>
      <c r="P199" s="7715"/>
      <c r="Q199" s="7715"/>
      <c r="R199" s="7715"/>
      <c r="S199" s="7715"/>
      <c r="T199" s="7715"/>
      <c r="U199" s="7715"/>
      <c r="V199" s="7715"/>
      <c r="W199" s="7715"/>
      <c r="X199" s="7715"/>
      <c r="Y199" s="7715"/>
      <c r="Z199" s="7715"/>
      <c r="AA199" s="7715"/>
      <c r="AB199" s="7715"/>
      <c r="AC199" s="7715"/>
      <c r="AD199" s="7715"/>
      <c r="AE199" s="7715"/>
      <c r="AF199" s="7715"/>
      <c r="AG199" s="7715"/>
      <c r="AH199" s="7715"/>
      <c r="AI199" s="7715"/>
      <c r="AJ199" s="7715"/>
      <c r="AK199" s="7715"/>
      <c r="AL199" s="1421"/>
      <c r="AM199" s="1949"/>
      <c r="AN199" s="1949"/>
      <c r="AO199" s="1421"/>
      <c r="AP199" s="1421"/>
      <c r="AQ199" s="1421"/>
      <c r="AR199" s="1421"/>
      <c r="AS199" s="1949"/>
      <c r="AT199" s="1421"/>
      <c r="AU199" s="1421"/>
      <c r="AV199" s="781"/>
      <c r="AW199" s="1421"/>
      <c r="AX199" s="1421"/>
      <c r="AY199" s="1421"/>
      <c r="AZ199" s="1421"/>
      <c r="BA199" s="1421"/>
      <c r="BB199" s="1945"/>
      <c r="BC199" s="803"/>
      <c r="BD199" s="803"/>
      <c r="BE199" s="803"/>
      <c r="BF199" s="803"/>
    </row>
    <row s="10822" customFormat="1" customHeight="1" ht="11.25">
      <c r="A200" s="1243"/>
      <c r="B200" s="1949"/>
      <c r="C200" s="1949"/>
      <c r="D200" s="572"/>
      <c r="J200" s="7715"/>
      <c r="K200" s="7715"/>
      <c r="L200" s="7715"/>
      <c r="M200" s="7715"/>
      <c r="N200" s="7715"/>
      <c r="O200" s="7715"/>
      <c r="P200" s="7715"/>
      <c r="Q200" s="7715"/>
      <c r="R200" s="7715"/>
      <c r="S200" s="7715"/>
      <c r="T200" s="7715"/>
      <c r="U200" s="7715"/>
      <c r="V200" s="7715"/>
      <c r="W200" s="7715"/>
      <c r="X200" s="7715"/>
      <c r="Y200" s="7715"/>
      <c r="Z200" s="7715"/>
      <c r="AA200" s="7715"/>
      <c r="AB200" s="7715"/>
      <c r="AC200" s="7715"/>
      <c r="AD200" s="7715"/>
      <c r="AE200" s="7715"/>
      <c r="AF200" s="7715"/>
      <c r="AG200" s="7715"/>
      <c r="AH200" s="7715"/>
      <c r="AI200" s="7715"/>
      <c r="AJ200" s="7715"/>
      <c r="AK200" s="7715"/>
      <c r="AL200" s="1421"/>
      <c r="AM200" s="1949"/>
      <c r="AN200" s="1949"/>
      <c r="AO200" s="1421"/>
      <c r="AP200" s="1421"/>
      <c r="AQ200" s="1421"/>
      <c r="AR200" s="1421"/>
      <c r="AS200" s="1949"/>
      <c r="AT200" s="1421"/>
      <c r="AU200" s="1421"/>
      <c r="AV200" s="781"/>
      <c r="AW200" s="1421"/>
      <c r="AX200" s="1421"/>
      <c r="AY200" s="1421"/>
      <c r="AZ200" s="1421"/>
      <c r="BA200" s="1421"/>
      <c r="BB200" s="1945"/>
      <c r="BC200" s="803"/>
      <c r="BD200" s="803"/>
      <c r="BE200" s="803"/>
      <c r="BF200" s="803"/>
    </row>
    <row s="10822" customFormat="1" customHeight="1" ht="11.25">
      <c r="A201" s="1243"/>
      <c r="B201" s="1949"/>
      <c r="C201" s="1949"/>
      <c r="D201" s="572"/>
      <c r="J201" s="7715"/>
      <c r="K201" s="7715"/>
      <c r="L201" s="7715"/>
      <c r="M201" s="7715"/>
      <c r="N201" s="7715"/>
      <c r="O201" s="7715"/>
      <c r="P201" s="7715"/>
      <c r="Q201" s="7715"/>
      <c r="R201" s="7715"/>
      <c r="S201" s="7715"/>
      <c r="T201" s="7715"/>
      <c r="U201" s="7715"/>
      <c r="V201" s="7715"/>
      <c r="W201" s="7715"/>
      <c r="X201" s="7715"/>
      <c r="Y201" s="7715"/>
      <c r="Z201" s="7715"/>
      <c r="AA201" s="7715"/>
      <c r="AB201" s="7715"/>
      <c r="AC201" s="7715"/>
      <c r="AD201" s="7715"/>
      <c r="AE201" s="7715"/>
      <c r="AF201" s="7715"/>
      <c r="AG201" s="7715"/>
      <c r="AH201" s="7715"/>
      <c r="AI201" s="7715"/>
      <c r="AJ201" s="7715"/>
      <c r="AK201" s="7715"/>
      <c r="AL201" s="1421"/>
      <c r="AM201" s="1949"/>
      <c r="AN201" s="1949"/>
      <c r="AO201" s="1421"/>
      <c r="AP201" s="1421"/>
      <c r="AQ201" s="1421"/>
      <c r="AR201" s="1421"/>
      <c r="AS201" s="1949"/>
      <c r="AT201" s="1421"/>
      <c r="AU201" s="1421"/>
      <c r="AV201" s="781"/>
      <c r="AW201" s="1421"/>
      <c r="AX201" s="1421"/>
      <c r="AY201" s="1421"/>
      <c r="AZ201" s="1421"/>
      <c r="BA201" s="1421"/>
      <c r="BB201" s="1945"/>
      <c r="BC201" s="803"/>
      <c r="BD201" s="803"/>
      <c r="BE201" s="803"/>
      <c r="BF201" s="803"/>
    </row>
    <row s="10822" customFormat="1" customHeight="1" ht="11.25">
      <c r="A202" s="1243"/>
      <c r="B202" s="1949"/>
      <c r="C202" s="1949"/>
      <c r="D202" s="572"/>
      <c r="J202" s="7715"/>
      <c r="K202" s="7715"/>
      <c r="L202" s="7715"/>
      <c r="M202" s="7715"/>
      <c r="N202" s="7715"/>
      <c r="O202" s="7715"/>
      <c r="P202" s="7715"/>
      <c r="Q202" s="7715"/>
      <c r="R202" s="7715"/>
      <c r="S202" s="7715"/>
      <c r="T202" s="7715"/>
      <c r="U202" s="7715"/>
      <c r="V202" s="7715"/>
      <c r="W202" s="7715"/>
      <c r="X202" s="7715"/>
      <c r="Y202" s="7715"/>
      <c r="Z202" s="7715"/>
      <c r="AA202" s="7715"/>
      <c r="AB202" s="7715"/>
      <c r="AC202" s="7715"/>
      <c r="AD202" s="7715"/>
      <c r="AE202" s="7715"/>
      <c r="AF202" s="7715"/>
      <c r="AG202" s="7715"/>
      <c r="AH202" s="7715"/>
      <c r="AI202" s="7715"/>
      <c r="AJ202" s="7715"/>
      <c r="AK202" s="7715"/>
      <c r="AL202" s="1421"/>
      <c r="AM202" s="1949"/>
      <c r="AN202" s="1949"/>
      <c r="AO202" s="1421"/>
      <c r="AP202" s="1421"/>
      <c r="AQ202" s="1421"/>
      <c r="AR202" s="1421"/>
      <c r="AS202" s="1949"/>
      <c r="AT202" s="1421"/>
      <c r="AU202" s="1421"/>
      <c r="AV202" s="781"/>
      <c r="AW202" s="1421"/>
      <c r="AX202" s="1421"/>
      <c r="AY202" s="1421"/>
      <c r="AZ202" s="1421"/>
      <c r="BA202" s="1421"/>
      <c r="BB202" s="1945"/>
      <c r="BC202" s="803"/>
      <c r="BD202" s="803"/>
      <c r="BE202" s="803"/>
      <c r="BF202" s="803"/>
    </row>
    <row s="10822" customFormat="1" customHeight="1" ht="11.25">
      <c r="A203" s="1243"/>
      <c r="B203" s="1949"/>
      <c r="C203" s="1949"/>
      <c r="D203" s="572"/>
      <c r="J203" s="7715"/>
      <c r="K203" s="7715"/>
      <c r="L203" s="7715"/>
      <c r="M203" s="7715"/>
      <c r="N203" s="7715"/>
      <c r="O203" s="7715"/>
      <c r="P203" s="7715"/>
      <c r="Q203" s="7715"/>
      <c r="R203" s="7715"/>
      <c r="S203" s="7715"/>
      <c r="T203" s="7715"/>
      <c r="U203" s="7715"/>
      <c r="V203" s="7715"/>
      <c r="W203" s="7715"/>
      <c r="X203" s="7715"/>
      <c r="Y203" s="7715"/>
      <c r="Z203" s="7715"/>
      <c r="AA203" s="7715"/>
      <c r="AB203" s="7715"/>
      <c r="AC203" s="7715"/>
      <c r="AD203" s="7715"/>
      <c r="AE203" s="7715"/>
      <c r="AF203" s="7715"/>
      <c r="AG203" s="7715"/>
      <c r="AH203" s="7715"/>
      <c r="AI203" s="7715"/>
      <c r="AJ203" s="7715"/>
      <c r="AK203" s="7715"/>
      <c r="AL203" s="1421"/>
      <c r="AM203" s="1949"/>
      <c r="AN203" s="1949"/>
      <c r="AO203" s="1421"/>
      <c r="AP203" s="1421"/>
      <c r="AQ203" s="1421"/>
      <c r="AR203" s="1421"/>
      <c r="AS203" s="1949"/>
      <c r="AT203" s="1421"/>
      <c r="AU203" s="1421"/>
      <c r="AV203" s="781"/>
      <c r="AW203" s="1421"/>
      <c r="AX203" s="1421"/>
      <c r="AY203" s="1421"/>
      <c r="AZ203" s="1421"/>
      <c r="BA203" s="1421"/>
      <c r="BB203" s="1945"/>
      <c r="BC203" s="803"/>
      <c r="BD203" s="803"/>
      <c r="BE203" s="803"/>
      <c r="BF203" s="803"/>
    </row>
    <row s="10822" customFormat="1" customHeight="1" ht="11.25">
      <c r="A204" s="1243"/>
      <c r="B204" s="1949"/>
      <c r="C204" s="1949"/>
      <c r="D204" s="572"/>
      <c r="J204" s="7715"/>
      <c r="K204" s="7715"/>
      <c r="L204" s="7715"/>
      <c r="M204" s="7715"/>
      <c r="N204" s="7715"/>
      <c r="O204" s="7715"/>
      <c r="P204" s="7715"/>
      <c r="Q204" s="7715"/>
      <c r="R204" s="7715"/>
      <c r="S204" s="7715"/>
      <c r="T204" s="7715"/>
      <c r="U204" s="7715"/>
      <c r="V204" s="7715"/>
      <c r="W204" s="7715"/>
      <c r="X204" s="7715"/>
      <c r="Y204" s="7715"/>
      <c r="Z204" s="7715"/>
      <c r="AA204" s="7715"/>
      <c r="AB204" s="7715"/>
      <c r="AC204" s="7715"/>
      <c r="AD204" s="7715"/>
      <c r="AE204" s="7715"/>
      <c r="AF204" s="7715"/>
      <c r="AG204" s="7715"/>
      <c r="AH204" s="7715"/>
      <c r="AI204" s="7715"/>
      <c r="AJ204" s="7715"/>
      <c r="AK204" s="7715"/>
      <c r="AL204" s="1421"/>
      <c r="AM204" s="1949"/>
      <c r="AN204" s="1949"/>
      <c r="AO204" s="1421"/>
      <c r="AP204" s="1421"/>
      <c r="AQ204" s="1421"/>
      <c r="AR204" s="1421"/>
      <c r="AS204" s="1949"/>
      <c r="AT204" s="1421"/>
      <c r="AU204" s="1421"/>
      <c r="AV204" s="781"/>
      <c r="AW204" s="1421"/>
      <c r="AX204" s="1421"/>
      <c r="AY204" s="1421"/>
      <c r="AZ204" s="1421"/>
      <c r="BA204" s="1421"/>
      <c r="BB204" s="1945"/>
      <c r="BC204" s="803"/>
      <c r="BD204" s="803"/>
      <c r="BE204" s="803"/>
      <c r="BF204" s="803"/>
    </row>
    <row customHeight="1" ht="11.25">
      <c r="J205" s="6985"/>
      <c r="K205" s="6985"/>
      <c r="L205" s="6985"/>
      <c r="M205" s="6985"/>
      <c r="N205" s="6985"/>
      <c r="O205" s="6985"/>
      <c r="P205" s="6985"/>
      <c r="Q205" s="6985"/>
      <c r="R205" s="6985"/>
      <c r="S205" s="6985"/>
      <c r="T205" s="6985"/>
      <c r="U205" s="6985"/>
      <c r="V205" s="6985"/>
      <c r="W205" s="6985"/>
      <c r="X205" s="6985"/>
      <c r="Y205" s="6985"/>
      <c r="Z205" s="6985"/>
      <c r="AA205" s="6985"/>
      <c r="AB205" s="6985"/>
      <c r="AC205" s="6985"/>
      <c r="AD205" s="6985"/>
      <c r="AE205" s="6985"/>
      <c r="AF205" s="6985"/>
      <c r="AG205" s="6985"/>
      <c r="AH205" s="6985"/>
      <c r="AI205" s="6985"/>
      <c r="AJ205" s="6985"/>
      <c r="AK205" s="6985"/>
    </row>
    <row customHeight="1" ht="11.25">
      <c r="J206" s="6985"/>
      <c r="K206" s="6985"/>
      <c r="L206" s="6985"/>
      <c r="M206" s="6985"/>
      <c r="N206" s="6985"/>
      <c r="O206" s="6985"/>
      <c r="P206" s="6985"/>
      <c r="Q206" s="6985"/>
      <c r="R206" s="6985"/>
      <c r="S206" s="6985"/>
      <c r="T206" s="6985"/>
      <c r="U206" s="6985"/>
      <c r="V206" s="6985"/>
      <c r="W206" s="6985"/>
      <c r="X206" s="6985"/>
      <c r="Y206" s="6985"/>
      <c r="Z206" s="6985"/>
      <c r="AA206" s="6985"/>
      <c r="AB206" s="6985"/>
      <c r="AC206" s="6985"/>
      <c r="AD206" s="6985"/>
      <c r="AE206" s="6985"/>
      <c r="AF206" s="6985"/>
      <c r="AG206" s="6985"/>
      <c r="AH206" s="6985"/>
      <c r="AI206" s="6985"/>
      <c r="AJ206" s="6985"/>
      <c r="AK206" s="6985"/>
    </row>
    <row customHeight="1" ht="11.25">
      <c r="J207" s="6985"/>
      <c r="K207" s="6985"/>
      <c r="L207" s="6985"/>
      <c r="M207" s="6985"/>
      <c r="N207" s="6985"/>
      <c r="O207" s="6985"/>
      <c r="P207" s="6985"/>
      <c r="Q207" s="6985"/>
      <c r="R207" s="6985"/>
      <c r="S207" s="6985"/>
      <c r="T207" s="6985"/>
      <c r="U207" s="6985"/>
      <c r="V207" s="6985"/>
      <c r="W207" s="6985"/>
      <c r="X207" s="6985"/>
      <c r="Y207" s="6985"/>
      <c r="Z207" s="6985"/>
      <c r="AA207" s="6985"/>
      <c r="AB207" s="6985"/>
      <c r="AC207" s="6985"/>
      <c r="AD207" s="6985"/>
      <c r="AE207" s="6985"/>
      <c r="AF207" s="6985"/>
      <c r="AG207" s="6985"/>
      <c r="AH207" s="6985"/>
      <c r="AI207" s="6985"/>
      <c r="AJ207" s="6985"/>
      <c r="AK207" s="6985"/>
    </row>
    <row customHeight="1" ht="11.25">
      <c r="A208" s="1246"/>
      <c r="B208" s="1944"/>
      <c r="D208" s="1944"/>
      <c r="J208" s="6985"/>
      <c r="K208" s="6985"/>
      <c r="L208" s="6985"/>
      <c r="M208" s="6985"/>
      <c r="N208" s="6985"/>
      <c r="O208" s="6985"/>
      <c r="P208" s="6985"/>
      <c r="Q208" s="6985"/>
      <c r="R208" s="6985"/>
      <c r="S208" s="6985"/>
      <c r="T208" s="6985"/>
      <c r="U208" s="6985"/>
      <c r="V208" s="6985"/>
      <c r="W208" s="6985"/>
      <c r="X208" s="6985"/>
      <c r="Y208" s="6985"/>
      <c r="Z208" s="6985"/>
      <c r="AA208" s="6985"/>
      <c r="AB208" s="6985"/>
      <c r="AC208" s="6985"/>
      <c r="AD208" s="6985"/>
      <c r="AE208" s="6985"/>
      <c r="AF208" s="6985"/>
      <c r="AG208" s="6985"/>
      <c r="AH208" s="6985"/>
      <c r="AI208" s="6985"/>
      <c r="AJ208" s="6985"/>
      <c r="AK208" s="6985"/>
      <c r="AL208" s="1944"/>
      <c r="AO208" s="1944"/>
      <c r="AP208" s="1944"/>
      <c r="AQ208" s="1944"/>
      <c r="AR208" s="1944"/>
      <c r="AT208" s="1944"/>
      <c r="AU208" s="1944"/>
      <c r="AV208" s="1944"/>
      <c r="AW208" s="1944"/>
      <c r="AX208" s="1944"/>
      <c r="AY208" s="1944"/>
      <c r="AZ208" s="1944"/>
      <c r="BA208" s="1944"/>
      <c r="BB208" s="1944"/>
      <c r="BC208" s="1944"/>
      <c r="BD208" s="1944"/>
      <c r="BE208" s="1944"/>
      <c r="BF208" s="1944"/>
    </row>
    <row customHeight="1" ht="11.25">
      <c r="A209" s="1246"/>
      <c r="B209" s="1944"/>
      <c r="D209" s="1944"/>
      <c r="J209" s="6985"/>
      <c r="K209" s="6985"/>
      <c r="L209" s="6985"/>
      <c r="M209" s="6985"/>
      <c r="N209" s="6985"/>
      <c r="O209" s="6985"/>
      <c r="P209" s="6985"/>
      <c r="Q209" s="6985"/>
      <c r="R209" s="6985"/>
      <c r="S209" s="6985"/>
      <c r="T209" s="6985"/>
      <c r="U209" s="6985"/>
      <c r="V209" s="6985"/>
      <c r="W209" s="6985"/>
      <c r="X209" s="6985"/>
      <c r="Y209" s="6985"/>
      <c r="Z209" s="6985"/>
      <c r="AA209" s="6985"/>
      <c r="AB209" s="6985"/>
      <c r="AC209" s="6985"/>
      <c r="AD209" s="6985"/>
      <c r="AE209" s="6985"/>
      <c r="AF209" s="6985"/>
      <c r="AG209" s="6985"/>
      <c r="AH209" s="6985"/>
      <c r="AI209" s="6985"/>
      <c r="AJ209" s="6985"/>
      <c r="AK209" s="6985"/>
      <c r="AL209" s="1944"/>
      <c r="AO209" s="1944"/>
      <c r="AP209" s="1944"/>
      <c r="AQ209" s="1944"/>
      <c r="AR209" s="1944"/>
      <c r="AT209" s="1944"/>
      <c r="AU209" s="1944"/>
      <c r="AV209" s="1944"/>
      <c r="AW209" s="1944"/>
      <c r="AX209" s="1944"/>
      <c r="AY209" s="1944"/>
      <c r="AZ209" s="1944"/>
      <c r="BA209" s="1944"/>
      <c r="BB209" s="1944"/>
      <c r="BC209" s="1944"/>
      <c r="BD209" s="1944"/>
      <c r="BE209" s="1944"/>
      <c r="BF209" s="1944"/>
    </row>
    <row customHeight="1" ht="11.25">
      <c r="A210" s="1246"/>
      <c r="B210" s="1944"/>
      <c r="D210" s="1944"/>
      <c r="J210" s="6985"/>
      <c r="K210" s="6985"/>
      <c r="L210" s="6985"/>
      <c r="M210" s="6985"/>
      <c r="N210" s="6985"/>
      <c r="O210" s="6985"/>
      <c r="P210" s="6985"/>
      <c r="Q210" s="6985"/>
      <c r="R210" s="6985"/>
      <c r="S210" s="6985"/>
      <c r="T210" s="6985"/>
      <c r="U210" s="6985"/>
      <c r="V210" s="6985"/>
      <c r="W210" s="6985"/>
      <c r="X210" s="6985"/>
      <c r="Y210" s="6985"/>
      <c r="Z210" s="6985"/>
      <c r="AA210" s="6985"/>
      <c r="AB210" s="6985"/>
      <c r="AC210" s="6985"/>
      <c r="AD210" s="6985"/>
      <c r="AE210" s="6985"/>
      <c r="AF210" s="6985"/>
      <c r="AG210" s="6985"/>
      <c r="AH210" s="6985"/>
      <c r="AI210" s="6985"/>
      <c r="AJ210" s="6985"/>
      <c r="AK210" s="6985"/>
      <c r="AL210" s="1944"/>
      <c r="AO210" s="1944"/>
      <c r="AP210" s="1944"/>
      <c r="AQ210" s="1944"/>
      <c r="AR210" s="1944"/>
      <c r="AT210" s="1944"/>
      <c r="AU210" s="1944"/>
      <c r="AV210" s="1944"/>
      <c r="AW210" s="1944"/>
      <c r="AX210" s="1944"/>
      <c r="AY210" s="1944"/>
      <c r="AZ210" s="1944"/>
      <c r="BA210" s="1944"/>
      <c r="BB210" s="1944"/>
      <c r="BC210" s="1944"/>
      <c r="BD210" s="1944"/>
      <c r="BE210" s="1944"/>
      <c r="BF210" s="1944"/>
    </row>
    <row customHeight="1" ht="11.25">
      <c r="A211" s="1246"/>
      <c r="B211" s="1944"/>
      <c r="D211" s="1944"/>
      <c r="J211" s="6985"/>
      <c r="K211" s="6985"/>
      <c r="L211" s="6985"/>
      <c r="M211" s="6985"/>
      <c r="N211" s="6985"/>
      <c r="O211" s="6985"/>
      <c r="P211" s="6985"/>
      <c r="Q211" s="6985"/>
      <c r="R211" s="6985"/>
      <c r="S211" s="6985"/>
      <c r="T211" s="6985"/>
      <c r="U211" s="6985"/>
      <c r="V211" s="6985"/>
      <c r="W211" s="6985"/>
      <c r="X211" s="6985"/>
      <c r="Y211" s="6985"/>
      <c r="Z211" s="6985"/>
      <c r="AA211" s="6985"/>
      <c r="AB211" s="6985"/>
      <c r="AC211" s="6985"/>
      <c r="AD211" s="6985"/>
      <c r="AE211" s="6985"/>
      <c r="AF211" s="6985"/>
      <c r="AG211" s="6985"/>
      <c r="AH211" s="6985"/>
      <c r="AI211" s="6985"/>
      <c r="AJ211" s="6985"/>
      <c r="AK211" s="6985"/>
      <c r="AL211" s="1944"/>
      <c r="AO211" s="1944"/>
      <c r="AP211" s="1944"/>
      <c r="AQ211" s="1944"/>
      <c r="AR211" s="1944"/>
      <c r="AT211" s="1944"/>
      <c r="AU211" s="1944"/>
      <c r="AV211" s="1944"/>
      <c r="AW211" s="1944"/>
      <c r="AX211" s="1944"/>
      <c r="AY211" s="1944"/>
      <c r="AZ211" s="1944"/>
      <c r="BA211" s="1944"/>
      <c r="BB211" s="1944"/>
      <c r="BC211" s="1944"/>
      <c r="BD211" s="1944"/>
      <c r="BE211" s="1944"/>
      <c r="BF211" s="1944"/>
    </row>
    <row customHeight="1" ht="11.25">
      <c r="A212" s="1246"/>
      <c r="B212" s="1944"/>
      <c r="D212" s="1944"/>
      <c r="J212" s="6985"/>
      <c r="K212" s="6985"/>
      <c r="L212" s="6985"/>
      <c r="M212" s="6985"/>
      <c r="N212" s="6985"/>
      <c r="O212" s="6985"/>
      <c r="P212" s="6985"/>
      <c r="Q212" s="6985"/>
      <c r="R212" s="6985"/>
      <c r="S212" s="6985"/>
      <c r="T212" s="6985"/>
      <c r="U212" s="6985"/>
      <c r="V212" s="6985"/>
      <c r="W212" s="6985"/>
      <c r="X212" s="6985"/>
      <c r="Y212" s="6985"/>
      <c r="Z212" s="6985"/>
      <c r="AA212" s="6985"/>
      <c r="AB212" s="6985"/>
      <c r="AC212" s="6985"/>
      <c r="AD212" s="6985"/>
      <c r="AE212" s="6985"/>
      <c r="AF212" s="6985"/>
      <c r="AG212" s="6985"/>
      <c r="AH212" s="6985"/>
      <c r="AI212" s="6985"/>
      <c r="AJ212" s="6985"/>
      <c r="AK212" s="6985"/>
      <c r="AL212" s="1944"/>
      <c r="AO212" s="1944"/>
      <c r="AP212" s="1944"/>
      <c r="AQ212" s="1944"/>
      <c r="AR212" s="1944"/>
      <c r="AT212" s="1944"/>
      <c r="AU212" s="1944"/>
      <c r="AV212" s="1944"/>
      <c r="AW212" s="1944"/>
      <c r="AX212" s="1944"/>
      <c r="AY212" s="1944"/>
      <c r="AZ212" s="1944"/>
      <c r="BA212" s="1944"/>
      <c r="BB212" s="1944"/>
      <c r="BC212" s="1944"/>
      <c r="BD212" s="1944"/>
      <c r="BE212" s="1944"/>
      <c r="BF212" s="1944"/>
    </row>
    <row customHeight="1" ht="11.25">
      <c r="A213" s="1246"/>
      <c r="B213" s="1944"/>
      <c r="D213" s="1944"/>
      <c r="J213" s="6985"/>
      <c r="K213" s="6985"/>
      <c r="L213" s="6985"/>
      <c r="M213" s="6985"/>
      <c r="N213" s="6985"/>
      <c r="O213" s="6985"/>
      <c r="P213" s="6985"/>
      <c r="Q213" s="6985"/>
      <c r="R213" s="6985"/>
      <c r="S213" s="6985"/>
      <c r="T213" s="6985"/>
      <c r="U213" s="6985"/>
      <c r="V213" s="6985"/>
      <c r="W213" s="6985"/>
      <c r="X213" s="6985"/>
      <c r="Y213" s="6985"/>
      <c r="Z213" s="6985"/>
      <c r="AA213" s="6985"/>
      <c r="AB213" s="6985"/>
      <c r="AC213" s="6985"/>
      <c r="AD213" s="6985"/>
      <c r="AE213" s="6985"/>
      <c r="AF213" s="6985"/>
      <c r="AG213" s="6985"/>
      <c r="AH213" s="6985"/>
      <c r="AI213" s="6985"/>
      <c r="AJ213" s="6985"/>
      <c r="AK213" s="6985"/>
      <c r="AL213" s="1944"/>
      <c r="AO213" s="1944"/>
      <c r="AP213" s="1944"/>
      <c r="AQ213" s="1944"/>
      <c r="AR213" s="1944"/>
      <c r="AT213" s="1944"/>
      <c r="AU213" s="1944"/>
      <c r="AV213" s="1944"/>
      <c r="AW213" s="1944"/>
      <c r="AX213" s="1944"/>
      <c r="AY213" s="1944"/>
      <c r="AZ213" s="1944"/>
      <c r="BA213" s="1944"/>
      <c r="BB213" s="1944"/>
      <c r="BC213" s="1944"/>
      <c r="BD213" s="1944"/>
      <c r="BE213" s="1944"/>
      <c r="BF213" s="1944"/>
    </row>
    <row customHeight="1" ht="11.25">
      <c r="A214" s="1246"/>
      <c r="B214" s="1944"/>
      <c r="D214" s="1944"/>
      <c r="J214" s="6985"/>
      <c r="K214" s="6985"/>
      <c r="L214" s="6985"/>
      <c r="M214" s="6985"/>
      <c r="N214" s="6985"/>
      <c r="O214" s="6985"/>
      <c r="P214" s="6985"/>
      <c r="Q214" s="6985"/>
      <c r="R214" s="6985"/>
      <c r="S214" s="6985"/>
      <c r="T214" s="6985"/>
      <c r="U214" s="6985"/>
      <c r="V214" s="6985"/>
      <c r="W214" s="6985"/>
      <c r="X214" s="6985"/>
      <c r="Y214" s="6985"/>
      <c r="Z214" s="6985"/>
      <c r="AA214" s="6985"/>
      <c r="AB214" s="6985"/>
      <c r="AC214" s="6985"/>
      <c r="AD214" s="6985"/>
      <c r="AE214" s="6985"/>
      <c r="AF214" s="6985"/>
      <c r="AG214" s="6985"/>
      <c r="AH214" s="6985"/>
      <c r="AI214" s="6985"/>
      <c r="AJ214" s="6985"/>
      <c r="AK214" s="6985"/>
      <c r="AL214" s="1944"/>
      <c r="AO214" s="1944"/>
      <c r="AP214" s="1944"/>
      <c r="AQ214" s="1944"/>
      <c r="AR214" s="1944"/>
      <c r="AT214" s="1944"/>
      <c r="AU214" s="1944"/>
      <c r="AV214" s="1944"/>
      <c r="AW214" s="1944"/>
      <c r="AX214" s="1944"/>
      <c r="AY214" s="1944"/>
      <c r="AZ214" s="1944"/>
      <c r="BA214" s="1944"/>
      <c r="BB214" s="1944"/>
      <c r="BC214" s="1944"/>
      <c r="BD214" s="1944"/>
      <c r="BE214" s="1944"/>
      <c r="BF214" s="1944"/>
    </row>
    <row customHeight="1" ht="11.25">
      <c r="A215" s="1246"/>
      <c r="B215" s="1944"/>
      <c r="D215" s="1944"/>
      <c r="J215" s="6985"/>
      <c r="K215" s="6985"/>
      <c r="L215" s="6985"/>
      <c r="M215" s="6985"/>
      <c r="N215" s="6985"/>
      <c r="O215" s="6985"/>
      <c r="P215" s="6985"/>
      <c r="Q215" s="6985"/>
      <c r="R215" s="6985"/>
      <c r="S215" s="6985"/>
      <c r="T215" s="6985"/>
      <c r="U215" s="6985"/>
      <c r="V215" s="6985"/>
      <c r="W215" s="6985"/>
      <c r="X215" s="6985"/>
      <c r="Y215" s="6985"/>
      <c r="Z215" s="6985"/>
      <c r="AA215" s="6985"/>
      <c r="AB215" s="6985"/>
      <c r="AC215" s="6985"/>
      <c r="AD215" s="6985"/>
      <c r="AE215" s="6985"/>
      <c r="AF215" s="6985"/>
      <c r="AG215" s="6985"/>
      <c r="AH215" s="6985"/>
      <c r="AI215" s="6985"/>
      <c r="AJ215" s="6985"/>
      <c r="AK215" s="6985"/>
      <c r="AL215" s="1944"/>
      <c r="AO215" s="1944"/>
      <c r="AP215" s="1944"/>
      <c r="AQ215" s="1944"/>
      <c r="AR215" s="1944"/>
      <c r="AT215" s="1944"/>
      <c r="AU215" s="1944"/>
      <c r="AV215" s="1944"/>
      <c r="AW215" s="1944"/>
      <c r="AX215" s="1944"/>
      <c r="AY215" s="1944"/>
      <c r="AZ215" s="1944"/>
      <c r="BA215" s="1944"/>
      <c r="BB215" s="1944"/>
      <c r="BC215" s="1944"/>
      <c r="BD215" s="1944"/>
      <c r="BE215" s="1944"/>
      <c r="BF215" s="1944"/>
    </row>
    <row customHeight="1" ht="11.25">
      <c r="A216" s="1246"/>
      <c r="B216" s="1944"/>
      <c r="D216" s="1944"/>
      <c r="J216" s="6985"/>
      <c r="K216" s="6985"/>
      <c r="L216" s="6985"/>
      <c r="M216" s="6985"/>
      <c r="N216" s="6985"/>
      <c r="O216" s="6985"/>
      <c r="P216" s="6985"/>
      <c r="Q216" s="6985"/>
      <c r="R216" s="6985"/>
      <c r="S216" s="6985"/>
      <c r="T216" s="6985"/>
      <c r="U216" s="6985"/>
      <c r="V216" s="6985"/>
      <c r="W216" s="6985"/>
      <c r="X216" s="6985"/>
      <c r="Y216" s="6985"/>
      <c r="Z216" s="6985"/>
      <c r="AA216" s="6985"/>
      <c r="AB216" s="6985"/>
      <c r="AC216" s="6985"/>
      <c r="AD216" s="6985"/>
      <c r="AE216" s="6985"/>
      <c r="AF216" s="6985"/>
      <c r="AG216" s="6985"/>
      <c r="AH216" s="6985"/>
      <c r="AI216" s="6985"/>
      <c r="AJ216" s="6985"/>
      <c r="AK216" s="6985"/>
      <c r="AL216" s="1944"/>
      <c r="AO216" s="1944"/>
      <c r="AP216" s="1944"/>
      <c r="AQ216" s="1944"/>
      <c r="AR216" s="1944"/>
      <c r="AT216" s="1944"/>
      <c r="AU216" s="1944"/>
      <c r="AV216" s="1944"/>
      <c r="AW216" s="1944"/>
      <c r="AX216" s="1944"/>
      <c r="AY216" s="1944"/>
      <c r="AZ216" s="1944"/>
      <c r="BA216" s="1944"/>
      <c r="BB216" s="1944"/>
      <c r="BC216" s="1944"/>
      <c r="BD216" s="1944"/>
      <c r="BE216" s="1944"/>
      <c r="BF216" s="1944"/>
    </row>
    <row customHeight="1" ht="11.25">
      <c r="A217" s="1246"/>
      <c r="B217" s="1944"/>
      <c r="D217" s="1944"/>
      <c r="J217" s="6985"/>
      <c r="K217" s="6985"/>
      <c r="L217" s="6985"/>
      <c r="M217" s="6985"/>
      <c r="N217" s="6985"/>
      <c r="O217" s="6985"/>
      <c r="P217" s="6985"/>
      <c r="Q217" s="6985"/>
      <c r="R217" s="6985"/>
      <c r="S217" s="6985"/>
      <c r="T217" s="6985"/>
      <c r="U217" s="6985"/>
      <c r="V217" s="6985"/>
      <c r="W217" s="6985"/>
      <c r="X217" s="6985"/>
      <c r="Y217" s="6985"/>
      <c r="Z217" s="6985"/>
      <c r="AA217" s="6985"/>
      <c r="AB217" s="6985"/>
      <c r="AC217" s="6985"/>
      <c r="AD217" s="6985"/>
      <c r="AE217" s="6985"/>
      <c r="AF217" s="6985"/>
      <c r="AG217" s="6985"/>
      <c r="AH217" s="6985"/>
      <c r="AI217" s="6985"/>
      <c r="AJ217" s="6985"/>
      <c r="AK217" s="6985"/>
      <c r="AL217" s="1944"/>
      <c r="AO217" s="1944"/>
      <c r="AP217" s="1944"/>
      <c r="AQ217" s="1944"/>
      <c r="AR217" s="1944"/>
      <c r="AT217" s="1944"/>
      <c r="AU217" s="1944"/>
      <c r="AV217" s="1944"/>
      <c r="AW217" s="1944"/>
      <c r="AX217" s="1944"/>
      <c r="AY217" s="1944"/>
      <c r="AZ217" s="1944"/>
      <c r="BA217" s="1944"/>
      <c r="BB217" s="1944"/>
      <c r="BC217" s="1944"/>
      <c r="BD217" s="1944"/>
      <c r="BE217" s="1944"/>
      <c r="BF217" s="1944"/>
    </row>
    <row customHeight="1" ht="11.25">
      <c r="A218" s="1246"/>
      <c r="B218" s="1944"/>
      <c r="D218" s="1944"/>
      <c r="J218" s="6985"/>
      <c r="K218" s="6985"/>
      <c r="L218" s="6985"/>
      <c r="M218" s="6985"/>
      <c r="N218" s="6985"/>
      <c r="O218" s="6985"/>
      <c r="P218" s="6985"/>
      <c r="Q218" s="6985"/>
      <c r="R218" s="6985"/>
      <c r="S218" s="6985"/>
      <c r="T218" s="6985"/>
      <c r="U218" s="6985"/>
      <c r="V218" s="6985"/>
      <c r="W218" s="6985"/>
      <c r="X218" s="6985"/>
      <c r="Y218" s="6985"/>
      <c r="Z218" s="6985"/>
      <c r="AA218" s="6985"/>
      <c r="AB218" s="6985"/>
      <c r="AC218" s="6985"/>
      <c r="AD218" s="6985"/>
      <c r="AE218" s="6985"/>
      <c r="AF218" s="6985"/>
      <c r="AG218" s="6985"/>
      <c r="AH218" s="6985"/>
      <c r="AI218" s="6985"/>
      <c r="AJ218" s="6985"/>
      <c r="AK218" s="6985"/>
      <c r="AL218" s="1944"/>
      <c r="AO218" s="1944"/>
      <c r="AP218" s="1944"/>
      <c r="AQ218" s="1944"/>
      <c r="AR218" s="1944"/>
      <c r="AT218" s="1944"/>
      <c r="AU218" s="1944"/>
      <c r="AV218" s="1944"/>
      <c r="AW218" s="1944"/>
      <c r="AX218" s="1944"/>
      <c r="AY218" s="1944"/>
      <c r="AZ218" s="1944"/>
      <c r="BA218" s="1944"/>
      <c r="BB218" s="1944"/>
      <c r="BC218" s="1944"/>
      <c r="BD218" s="1944"/>
      <c r="BE218" s="1944"/>
      <c r="BF218" s="1944"/>
    </row>
  </sheetData>
  <sheetProtection formatColumns="0" formatRows="0" autoFilter="0" sort="0" insertRows="0" insertColumns="1" deleteRows="0" deleteColumns="0"/>
  <mergeCells count="8">
    <mergeCell ref="F48:AK48"/>
    <mergeCell ref="F49:AK49"/>
    <mergeCell ref="E6:I6"/>
    <mergeCell ref="E7:I7"/>
    <mergeCell ref="F10:G10"/>
    <mergeCell ref="F11:G11"/>
    <mergeCell ref="F12:G12"/>
    <mergeCell ref="E13:G13"/>
  </mergeCells>
  <dataValidations count="5">
    <dataValidation type="decimal" allowBlank="1" showErrorMessage="1" errorTitle="Ошибка" error="Допускается ввод только действительных чисел!" sqref="H40:AJ42 AK40 AK41 AK42">
      <formula1>-9.99999999999999E+37</formula1>
      <formula2>9.99999999999999E+37</formula2>
    </dataValidation>
    <dataValidation type="decimal" allowBlank="1" showErrorMessage="1" errorTitle="Ошибка" error="Допускается ввод только действительных чисел!" sqref="H36:AJ37 AK36 AK37">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43:AJ43 AK43">
      <formula1>900</formula1>
    </dataValidation>
    <dataValidation type="decimal" allowBlank="1" showErrorMessage="1" errorTitle="Ошибка" error="Допускается ввод только неотрицательных чисел!" sqref="H38:AJ39 H2:AJ2 H15:AJ15 H17:AJ32 H35:AJ35 H44:AJ46 AK2 AK15 AK17 AK18 AK19 AK20 AK21 AK22 AK23 AK24 AK25 AK26 AK27 AK28 AK29 AK30 AK31 AK32 AK35 AK38 AK39 AK44 AK45 AK46">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33:AJ33 AK3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44130EB-A22D-8B78-9C35-1A3956E8E968}" mc:Ignorable="x14ac xr xr2 xr3">
  <sheetPr>
    <tabColor theme="9" tint="-0.25"/>
  </sheetPr>
  <dimension ref="A1:BF209"/>
  <sheetViews>
    <sheetView topLeftCell="D5" showGridLines="0" zoomScale="90" workbookViewId="0">
      <selection activeCell="AJ1" sqref="AJ1:AJ209"/>
    </sheetView>
  </sheetViews>
  <sheetFormatPr defaultColWidth="9.140625" customHeight="1" defaultRowHeight="11.25"/>
  <cols>
    <col min="1" max="1" style="10825" width="10.7109375" hidden="1" customWidth="1"/>
    <col min="2" max="2" style="11074" width="16.8515625" hidden="1" customWidth="1"/>
    <col min="3" max="3" style="10863" width="5.57421875" hidden="1" customWidth="1"/>
    <col min="4" max="4" style="11126" width="3.7109375" customWidth="1"/>
    <col min="5" max="5" style="11126" width="7.7109375" customWidth="1"/>
    <col min="6" max="6" style="11126" width="54.57421875" customWidth="1"/>
    <col min="7" max="7" style="11126" width="10.421875" customWidth="1"/>
    <col min="8" max="8" style="11126" width="40.7109375" hidden="1" customWidth="1"/>
    <col min="9" max="36" style="11126" width="40.7109375" customWidth="1"/>
    <col min="37" max="37" style="11126" width="40.7109375" hidden="1" customWidth="1"/>
    <col min="38" max="38" style="11074" width="9.7109375" customWidth="1"/>
    <col min="39" max="39" style="10863" width="5.28125" customWidth="1"/>
    <col min="40" max="40" style="10863" width="3.7109375" customWidth="1"/>
    <col min="41" max="44" style="11074" width="3.7109375" customWidth="1"/>
    <col min="45" max="45" style="10863" width="10.57421875" customWidth="1"/>
    <col min="46" max="46" style="11074" width="34.7109375" customWidth="1"/>
    <col min="47" max="47" style="11074" width="9.421875" customWidth="1"/>
    <col min="48" max="48" style="10827" width="9.140625"/>
    <col min="49" max="53" style="11074" width="9.140625"/>
    <col min="54" max="58" style="11248" width="9.140625"/>
  </cols>
  <sheetData>
    <row s="11074" customFormat="1" customHeight="1" ht="11.25" hidden="1">
      <c r="A1" s="1243"/>
      <c r="C1" s="1949"/>
      <c r="D1" s="774"/>
      <c r="H1" s="1421">
        <v>4</v>
      </c>
      <c r="I1" s="1421">
        <v>4</v>
      </c>
      <c r="J1" s="6978">
        <v>4</v>
      </c>
      <c r="K1" s="6978">
        <v>4</v>
      </c>
      <c r="L1" s="6978">
        <v>4</v>
      </c>
      <c r="M1" s="6978">
        <v>4</v>
      </c>
      <c r="N1" s="6978">
        <v>4</v>
      </c>
      <c r="O1" s="6978">
        <v>4</v>
      </c>
      <c r="P1" s="6978">
        <v>4</v>
      </c>
      <c r="Q1" s="6978">
        <v>4</v>
      </c>
      <c r="R1" s="6978">
        <v>4</v>
      </c>
      <c r="S1" s="6978">
        <v>4</v>
      </c>
      <c r="T1" s="6978">
        <v>4</v>
      </c>
      <c r="U1" s="6978">
        <v>4</v>
      </c>
      <c r="V1" s="6978">
        <v>4</v>
      </c>
      <c r="W1" s="6978">
        <v>4</v>
      </c>
      <c r="X1" s="6978">
        <v>4</v>
      </c>
      <c r="Y1" s="6978">
        <v>4</v>
      </c>
      <c r="Z1" s="6978">
        <v>4</v>
      </c>
      <c r="AA1" s="6978">
        <v>4</v>
      </c>
      <c r="AB1" s="6978">
        <v>4</v>
      </c>
      <c r="AC1" s="6978">
        <v>4</v>
      </c>
      <c r="AD1" s="6978">
        <v>4</v>
      </c>
      <c r="AE1" s="6978">
        <v>4</v>
      </c>
      <c r="AF1" s="6978">
        <v>4</v>
      </c>
      <c r="AG1" s="6978">
        <v>4</v>
      </c>
      <c r="AH1" s="6978">
        <v>4</v>
      </c>
      <c r="AI1" s="6978">
        <v>4</v>
      </c>
      <c r="AJ1" s="6978">
        <v>4</v>
      </c>
      <c r="AK1" s="6978">
        <v>4</v>
      </c>
      <c r="AM1" s="1949"/>
      <c r="AN1" s="1949"/>
      <c r="AS1" s="1949"/>
    </row>
    <row s="11074" customFormat="1" customHeight="1" ht="22.5" hidden="1">
      <c r="A2" s="1243"/>
      <c r="C2" s="1949"/>
      <c r="D2" s="775"/>
      <c r="E2" s="1971"/>
      <c r="F2" s="777"/>
      <c r="G2" s="1970" t="s">
        <v>1772</v>
      </c>
      <c r="H2" s="778"/>
      <c r="I2" s="778"/>
      <c r="J2" s="7441"/>
      <c r="K2" s="7441"/>
      <c r="L2" s="7441"/>
      <c r="M2" s="7441"/>
      <c r="N2" s="7441"/>
      <c r="O2" s="7441"/>
      <c r="P2" s="7441"/>
      <c r="Q2" s="7441"/>
      <c r="R2" s="7441"/>
      <c r="S2" s="7441"/>
      <c r="T2" s="7441"/>
      <c r="U2" s="7441"/>
      <c r="V2" s="7441"/>
      <c r="W2" s="7441"/>
      <c r="X2" s="7441"/>
      <c r="Y2" s="7441"/>
      <c r="Z2" s="7441"/>
      <c r="AA2" s="7441"/>
      <c r="AB2" s="7441"/>
      <c r="AC2" s="7441"/>
      <c r="AD2" s="7441"/>
      <c r="AE2" s="7441"/>
      <c r="AF2" s="7441"/>
      <c r="AG2" s="7441"/>
      <c r="AH2" s="7441"/>
      <c r="AI2" s="7441"/>
      <c r="AJ2" s="7441"/>
      <c r="AK2" s="7441"/>
      <c r="AL2" s="780"/>
      <c r="AM2" s="1949"/>
      <c r="AN2" s="1949"/>
      <c r="AS2" s="1949"/>
      <c r="AV2" s="781"/>
      <c r="BB2" s="1945"/>
      <c r="BC2" s="1945"/>
      <c r="BD2" s="1945"/>
      <c r="BE2" s="1945"/>
      <c r="BF2" s="1945"/>
    </row>
    <row customHeight="1" ht="11.25" hidden="1">
      <c r="J3" s="6985"/>
      <c r="K3" s="6985"/>
      <c r="L3" s="6985"/>
      <c r="M3" s="6985"/>
      <c r="N3" s="6985"/>
      <c r="O3" s="6985"/>
      <c r="P3" s="6985"/>
      <c r="Q3" s="6985"/>
      <c r="R3" s="6985"/>
      <c r="S3" s="6985"/>
      <c r="T3" s="6985"/>
      <c r="U3" s="6985"/>
      <c r="V3" s="6985"/>
      <c r="W3" s="6985"/>
      <c r="X3" s="6985"/>
      <c r="Y3" s="6985"/>
      <c r="Z3" s="6985"/>
      <c r="AA3" s="6985"/>
      <c r="AB3" s="6985"/>
      <c r="AC3" s="6985"/>
      <c r="AD3" s="6985"/>
      <c r="AE3" s="6985"/>
      <c r="AF3" s="6985"/>
      <c r="AG3" s="6985"/>
      <c r="AH3" s="6985"/>
      <c r="AI3" s="6985"/>
      <c r="AJ3" s="6985"/>
      <c r="AK3" s="6985"/>
    </row>
    <row s="11248" customFormat="1" customHeight="1" ht="11.25" hidden="1">
      <c r="A4" s="1243"/>
      <c r="B4" s="1421"/>
      <c r="C4" s="1949"/>
      <c r="D4" s="585"/>
      <c r="J4" s="7452"/>
      <c r="K4" s="7452"/>
      <c r="L4" s="7452"/>
      <c r="M4" s="7452"/>
      <c r="N4" s="7452"/>
      <c r="O4" s="7452"/>
      <c r="P4" s="7452"/>
      <c r="Q4" s="7452"/>
      <c r="R4" s="7452"/>
      <c r="S4" s="7452"/>
      <c r="T4" s="7452"/>
      <c r="U4" s="7452"/>
      <c r="V4" s="7452"/>
      <c r="W4" s="7452"/>
      <c r="X4" s="7452"/>
      <c r="Y4" s="7452"/>
      <c r="Z4" s="7452"/>
      <c r="AA4" s="7452"/>
      <c r="AB4" s="7452"/>
      <c r="AC4" s="7452"/>
      <c r="AD4" s="7452"/>
      <c r="AE4" s="7452"/>
      <c r="AF4" s="7452"/>
      <c r="AG4" s="7452"/>
      <c r="AH4" s="7452"/>
      <c r="AI4" s="7452"/>
      <c r="AJ4" s="7452"/>
      <c r="AK4" s="7452"/>
      <c r="AL4" s="1421"/>
      <c r="AM4" s="1949"/>
      <c r="AN4" s="1949"/>
      <c r="AO4" s="1421"/>
      <c r="AP4" s="1421"/>
      <c r="AQ4" s="1421"/>
      <c r="AR4" s="1421"/>
      <c r="AS4" s="1949"/>
      <c r="AT4" s="1421"/>
      <c r="AU4" s="1421"/>
      <c r="AV4" s="781"/>
      <c r="AW4" s="1421"/>
      <c r="AX4" s="1421"/>
      <c r="AY4" s="1421"/>
      <c r="AZ4" s="1421"/>
      <c r="BA4" s="1421"/>
    </row>
    <row customHeight="1" ht="11.25">
      <c r="J5" s="6985"/>
      <c r="K5" s="6985"/>
      <c r="L5" s="6985"/>
      <c r="M5" s="6985"/>
      <c r="N5" s="6985"/>
      <c r="O5" s="6985"/>
      <c r="P5" s="6985"/>
      <c r="Q5" s="6985"/>
      <c r="R5" s="6985"/>
      <c r="S5" s="6985"/>
      <c r="T5" s="6985"/>
      <c r="U5" s="6985"/>
      <c r="V5" s="6985"/>
      <c r="W5" s="6985"/>
      <c r="X5" s="6985"/>
      <c r="Y5" s="6985"/>
      <c r="Z5" s="6985"/>
      <c r="AA5" s="6985"/>
      <c r="AB5" s="6985"/>
      <c r="AC5" s="6985"/>
      <c r="AD5" s="6985"/>
      <c r="AE5" s="6985"/>
      <c r="AF5" s="6985"/>
      <c r="AG5" s="6985"/>
      <c r="AH5" s="6985"/>
      <c r="AI5" s="6985"/>
      <c r="AJ5" s="6985"/>
      <c r="AK5" s="6985"/>
    </row>
    <row customHeight="1" ht="24">
      <c r="E6" s="2401" t="s">
        <v>1872</v>
      </c>
      <c r="F6" s="2402"/>
      <c r="G6" s="2402"/>
      <c r="H6" s="2402"/>
      <c r="I6" s="2403"/>
      <c r="J6" s="7453"/>
      <c r="K6" s="7453"/>
      <c r="L6" s="7453"/>
      <c r="M6" s="7453"/>
      <c r="N6" s="7453"/>
      <c r="O6" s="7453"/>
      <c r="P6" s="7453"/>
      <c r="Q6" s="7453"/>
      <c r="R6" s="7453"/>
      <c r="S6" s="7453"/>
      <c r="T6" s="7453"/>
      <c r="U6" s="7453"/>
      <c r="V6" s="7453"/>
      <c r="W6" s="7453"/>
      <c r="X6" s="7453"/>
      <c r="Y6" s="7453"/>
      <c r="Z6" s="7453"/>
      <c r="AA6" s="7453"/>
      <c r="AB6" s="7453"/>
      <c r="AC6" s="7453"/>
      <c r="AD6" s="7453"/>
      <c r="AE6" s="7453"/>
      <c r="AF6" s="7453"/>
      <c r="AG6" s="7453"/>
      <c r="AH6" s="7453"/>
      <c r="AI6" s="7453"/>
      <c r="AJ6" s="7453"/>
      <c r="AK6" s="7453"/>
    </row>
    <row customHeight="1" ht="24">
      <c r="E7" s="2404" t="str">
        <f>IF(org=0,"Не определено",org)</f>
        <v>ООО "СамРЭК-Тепло Жигулевск"</v>
      </c>
      <c r="F7" s="2405"/>
      <c r="G7" s="2405"/>
      <c r="H7" s="2405"/>
      <c r="I7" s="2406"/>
      <c r="J7" s="7454"/>
      <c r="K7" s="7454"/>
      <c r="L7" s="7454"/>
      <c r="M7" s="7454"/>
      <c r="N7" s="7454"/>
      <c r="O7" s="7454"/>
      <c r="P7" s="7454"/>
      <c r="Q7" s="7454"/>
      <c r="R7" s="7454"/>
      <c r="S7" s="7454"/>
      <c r="T7" s="7454"/>
      <c r="U7" s="7454"/>
      <c r="V7" s="7454"/>
      <c r="W7" s="7454"/>
      <c r="X7" s="7454"/>
      <c r="Y7" s="7454"/>
      <c r="Z7" s="7454"/>
      <c r="AA7" s="7454"/>
      <c r="AB7" s="7454"/>
      <c r="AC7" s="7454"/>
      <c r="AD7" s="7454"/>
      <c r="AE7" s="7454"/>
      <c r="AF7" s="7454"/>
      <c r="AG7" s="7454"/>
      <c r="AH7" s="7454"/>
      <c r="AI7" s="7454"/>
      <c r="AJ7" s="7454"/>
      <c r="AK7" s="7454"/>
    </row>
    <row customHeight="1" ht="11.25">
      <c r="E8" s="1396"/>
      <c r="F8" s="1396"/>
      <c r="G8" s="1396"/>
      <c r="H8" s="1396"/>
      <c r="I8" s="1396"/>
      <c r="J8" s="7456"/>
      <c r="K8" s="7456"/>
      <c r="L8" s="7456"/>
      <c r="M8" s="7456"/>
      <c r="N8" s="7456"/>
      <c r="O8" s="7456"/>
      <c r="P8" s="7456"/>
      <c r="Q8" s="7456"/>
      <c r="R8" s="7456"/>
      <c r="S8" s="7456"/>
      <c r="T8" s="7456"/>
      <c r="U8" s="7456"/>
      <c r="V8" s="7456"/>
      <c r="W8" s="7456"/>
      <c r="X8" s="7456"/>
      <c r="Y8" s="7456"/>
      <c r="Z8" s="7456"/>
      <c r="AA8" s="7456"/>
      <c r="AB8" s="7456"/>
      <c r="AC8" s="7456"/>
      <c r="AD8" s="7456"/>
      <c r="AE8" s="7456"/>
      <c r="AF8" s="7456"/>
      <c r="AG8" s="7456"/>
      <c r="AH8" s="7456"/>
      <c r="AI8" s="7456"/>
      <c r="AJ8" s="7456"/>
      <c r="AK8" s="7456"/>
    </row>
    <row s="10863" customFormat="1" customHeight="1" ht="0.75">
      <c r="A9" s="1428"/>
      <c r="D9" s="1955"/>
      <c r="H9" s="1138"/>
      <c r="I9" s="1138" t="s">
        <v>118</v>
      </c>
      <c r="J9" s="7459" t="s">
        <v>123</v>
      </c>
      <c r="K9" s="7459" t="s">
        <v>125</v>
      </c>
      <c r="L9" s="7459" t="s">
        <v>127</v>
      </c>
      <c r="M9" s="7459" t="s">
        <v>129</v>
      </c>
      <c r="N9" s="7459" t="s">
        <v>131</v>
      </c>
      <c r="O9" s="7459" t="s">
        <v>133</v>
      </c>
      <c r="P9" s="7459" t="s">
        <v>135</v>
      </c>
      <c r="Q9" s="7459" t="s">
        <v>138</v>
      </c>
      <c r="R9" s="7459" t="s">
        <v>141</v>
      </c>
      <c r="S9" s="7459" t="s">
        <v>144</v>
      </c>
      <c r="T9" s="7459" t="s">
        <v>147</v>
      </c>
      <c r="U9" s="7459" t="s">
        <v>150</v>
      </c>
      <c r="V9" s="7459" t="s">
        <v>153</v>
      </c>
      <c r="W9" s="7459" t="s">
        <v>156</v>
      </c>
      <c r="X9" s="7459" t="s">
        <v>159</v>
      </c>
      <c r="Y9" s="7459" t="s">
        <v>162</v>
      </c>
      <c r="Z9" s="7459" t="s">
        <v>165</v>
      </c>
      <c r="AA9" s="7459" t="s">
        <v>168</v>
      </c>
      <c r="AB9" s="7459" t="s">
        <v>171</v>
      </c>
      <c r="AC9" s="7459" t="s">
        <v>174</v>
      </c>
      <c r="AD9" s="7459" t="s">
        <v>177</v>
      </c>
      <c r="AE9" s="7459" t="s">
        <v>180</v>
      </c>
      <c r="AF9" s="7459" t="s">
        <v>183</v>
      </c>
      <c r="AG9" s="7459" t="s">
        <v>186</v>
      </c>
      <c r="AH9" s="7459" t="s">
        <v>189</v>
      </c>
      <c r="AI9" s="7459" t="s">
        <v>192</v>
      </c>
      <c r="AJ9" s="7459" t="s">
        <v>195</v>
      </c>
      <c r="AK9" s="7459"/>
    </row>
    <row customHeight="1" ht="11.25">
      <c r="E10" s="948"/>
      <c r="F10" s="2545" t="s">
        <v>105</v>
      </c>
      <c r="G10" s="2546"/>
      <c r="H10" s="1972" t="str">
        <f>IF(H9="","",INDEX(DIFFERENTIATION_UNMERGE_VD,MATCH(H9,DIFFERENTIATION_ID_DIFF,0)))</f>
        <v/>
      </c>
      <c r="I10" s="1972" t="str">
        <f>IF(I9="","",INDEX(DIFFERENTIATION_UNMERGE_VD,MATCH(I9,DIFFERENTIATION_ID_DIFF,0)))</f>
        <v>Производство тепловой энергии. Некомбинированная выработка</v>
      </c>
      <c r="J10" s="7461" t="str">
        <f>IF(J9="","",INDEX(DIFFERENTIATION_UNMERGE_VD,MATCH(J9,DIFFERENTIATION_ID_DIFF,0)))</f>
        <v>Производство тепловой энергии. Некомбинированная выработка</v>
      </c>
      <c r="K10" s="7461" t="str">
        <f>IF(K9="","",INDEX(DIFFERENTIATION_UNMERGE_VD,MATCH(K9,DIFFERENTIATION_ID_DIFF,0)))</f>
        <v>Производство тепловой энергии. Некомбинированная выработка</v>
      </c>
      <c r="L10" s="7461" t="str">
        <f>IF(L9="","",INDEX(DIFFERENTIATION_UNMERGE_VD,MATCH(L9,DIFFERENTIATION_ID_DIFF,0)))</f>
        <v>Производство тепловой энергии. Некомбинированная выработка</v>
      </c>
      <c r="M10" s="7461" t="str">
        <f>IF(M9="","",INDEX(DIFFERENTIATION_UNMERGE_VD,MATCH(M9,DIFFERENTIATION_ID_DIFF,0)))</f>
        <v>Производство тепловой энергии. Некомбинированная выработка</v>
      </c>
      <c r="N10" s="7461" t="str">
        <f>IF(N9="","",INDEX(DIFFERENTIATION_UNMERGE_VD,MATCH(N9,DIFFERENTIATION_ID_DIFF,0)))</f>
        <v>Производство тепловой энергии. Некомбинированная выработка</v>
      </c>
      <c r="O10" s="7461" t="str">
        <f>IF(O9="","",INDEX(DIFFERENTIATION_UNMERGE_VD,MATCH(O9,DIFFERENTIATION_ID_DIFF,0)))</f>
        <v>Производство тепловой энергии. Некомбинированная выработка</v>
      </c>
      <c r="P10" s="7461" t="str">
        <f>IF(P9="","",INDEX(DIFFERENTIATION_UNMERGE_VD,MATCH(P9,DIFFERENTIATION_ID_DIFF,0)))</f>
        <v>Производство тепловой энергии. Некомбинированная выработка</v>
      </c>
      <c r="Q10" s="7461" t="str">
        <f>IF(Q9="","",INDEX(DIFFERENTIATION_UNMERGE_VD,MATCH(Q9,DIFFERENTIATION_ID_DIFF,0)))</f>
        <v>Производство тепловой энергии. Некомбинированная выработка</v>
      </c>
      <c r="R10" s="7461" t="str">
        <f>IF(R9="","",INDEX(DIFFERENTIATION_UNMERGE_VD,MATCH(R9,DIFFERENTIATION_ID_DIFF,0)))</f>
        <v>Производство тепловой энергии. Некомбинированная выработка</v>
      </c>
      <c r="S10" s="7461" t="str">
        <f>IF(S9="","",INDEX(DIFFERENTIATION_UNMERGE_VD,MATCH(S9,DIFFERENTIATION_ID_DIFF,0)))</f>
        <v>Производство тепловой энергии. Некомбинированная выработка</v>
      </c>
      <c r="T10" s="7461" t="str">
        <f>IF(T9="","",INDEX(DIFFERENTIATION_UNMERGE_VD,MATCH(T9,DIFFERENTIATION_ID_DIFF,0)))</f>
        <v>Производство тепловой энергии. Некомбинированная выработка</v>
      </c>
      <c r="U10" s="7461" t="str">
        <f>IF(U9="","",INDEX(DIFFERENTIATION_UNMERGE_VD,MATCH(U9,DIFFERENTIATION_ID_DIFF,0)))</f>
        <v>Производство тепловой энергии. Некомбинированная выработка</v>
      </c>
      <c r="V10" s="7461" t="str">
        <f>IF(V9="","",INDEX(DIFFERENTIATION_UNMERGE_VD,MATCH(V9,DIFFERENTIATION_ID_DIFF,0)))</f>
        <v>Производство тепловой энергии. Некомбинированная выработка</v>
      </c>
      <c r="W10" s="7461" t="str">
        <f>IF(W9="","",INDEX(DIFFERENTIATION_UNMERGE_VD,MATCH(W9,DIFFERENTIATION_ID_DIFF,0)))</f>
        <v>Производство тепловой энергии. Некомбинированная выработка</v>
      </c>
      <c r="X10" s="7461" t="str">
        <f>IF(X9="","",INDEX(DIFFERENTIATION_UNMERGE_VD,MATCH(X9,DIFFERENTIATION_ID_DIFF,0)))</f>
        <v>Производство тепловой энергии. Некомбинированная выработка</v>
      </c>
      <c r="Y10" s="7461" t="str">
        <f>IF(Y9="","",INDEX(DIFFERENTIATION_UNMERGE_VD,MATCH(Y9,DIFFERENTIATION_ID_DIFF,0)))</f>
        <v>Производство тепловой энергии. Некомбинированная выработка</v>
      </c>
      <c r="Z10" s="7461" t="str">
        <f>IF(Z9="","",INDEX(DIFFERENTIATION_UNMERGE_VD,MATCH(Z9,DIFFERENTIATION_ID_DIFF,0)))</f>
        <v>Производство тепловой энергии. Некомбинированная выработка</v>
      </c>
      <c r="AA10" s="7461" t="str">
        <f>IF(AA9="","",INDEX(DIFFERENTIATION_UNMERGE_VD,MATCH(AA9,DIFFERENTIATION_ID_DIFF,0)))</f>
        <v>Производство тепловой энергии. Некомбинированная выработка</v>
      </c>
      <c r="AB10" s="7461" t="str">
        <f>IF(AB9="","",INDEX(DIFFERENTIATION_UNMERGE_VD,MATCH(AB9,DIFFERENTIATION_ID_DIFF,0)))</f>
        <v>Производство тепловой энергии. Некомбинированная выработка</v>
      </c>
      <c r="AC10" s="7461" t="str">
        <f>IF(AC9="","",INDEX(DIFFERENTIATION_UNMERGE_VD,MATCH(AC9,DIFFERENTIATION_ID_DIFF,0)))</f>
        <v>Производство тепловой энергии. Некомбинированная выработка</v>
      </c>
      <c r="AD10" s="7461" t="str">
        <f>IF(AD9="","",INDEX(DIFFERENTIATION_UNMERGE_VD,MATCH(AD9,DIFFERENTIATION_ID_DIFF,0)))</f>
        <v>Производство тепловой энергии. Некомбинированная выработка</v>
      </c>
      <c r="AE10" s="7461" t="str">
        <f>IF(AE9="","",INDEX(DIFFERENTIATION_UNMERGE_VD,MATCH(AE9,DIFFERENTIATION_ID_DIFF,0)))</f>
        <v>Производство тепловой энергии. Некомбинированная выработка</v>
      </c>
      <c r="AF10" s="7461" t="str">
        <f>IF(AF9="","",INDEX(DIFFERENTIATION_UNMERGE_VD,MATCH(AF9,DIFFERENTIATION_ID_DIFF,0)))</f>
        <v>Производство тепловой энергии. Некомбинированная выработка</v>
      </c>
      <c r="AG10" s="7461" t="str">
        <f>IF(AG9="","",INDEX(DIFFERENTIATION_UNMERGE_VD,MATCH(AG9,DIFFERENTIATION_ID_DIFF,0)))</f>
        <v>Производство тепловой энергии. Некомбинированная выработка</v>
      </c>
      <c r="AH10" s="7461" t="str">
        <f>IF(AH9="","",INDEX(DIFFERENTIATION_UNMERGE_VD,MATCH(AH9,DIFFERENTIATION_ID_DIFF,0)))</f>
        <v>Производство тепловой энергии. Некомбинированная выработка</v>
      </c>
      <c r="AI10" s="7461" t="str">
        <f>IF(AI9="","",INDEX(DIFFERENTIATION_UNMERGE_VD,MATCH(AI9,DIFFERENTIATION_ID_DIFF,0)))</f>
        <v>Производство тепловой энергии. Некомбинированная выработка</v>
      </c>
      <c r="AJ10" s="7461" t="str">
        <f>IF(AJ9="","",INDEX(DIFFERENTIATION_UNMERGE_VD,MATCH(AJ9,DIFFERENTIATION_ID_DIFF,0)))</f>
        <v>Производство тепловой энергии. Некомбинированная выработка</v>
      </c>
      <c r="AK10" s="7461" t="str">
        <f>IF(AK9="","",INDEX(DIFFERENTIATION_UNMERGE_VD,MATCH(AK9,DIFFERENTIATION_ID_DIFF,0)))</f>
        <v/>
      </c>
    </row>
    <row customHeight="1" ht="11.25">
      <c r="E11" s="948"/>
      <c r="F11" s="2545" t="s">
        <v>1476</v>
      </c>
      <c r="G11" s="2546"/>
      <c r="H11" s="1972" t="str">
        <f>IF(H9="","",INDEX(DIFFERENTIATION_UNMERGE_AREA,MATCH(H9,DIFFERENTIATION_ID_DIFF,0)))</f>
        <v/>
      </c>
      <c r="I11" s="1972" t="str">
        <f>IF(I9="","",INDEX(DIFFERENTIATION_UNMERGE_AREA,MATCH(I9,DIFFERENTIATION_ID_DIFF,0)))</f>
        <v>Территория 1</v>
      </c>
      <c r="J11" s="7461" t="str">
        <f>IF(J9="","",INDEX(DIFFERENTIATION_UNMERGE_AREA,MATCH(J9,DIFFERENTIATION_ID_DIFF,0)))</f>
        <v>Территория 1</v>
      </c>
      <c r="K11" s="7461" t="str">
        <f>IF(K9="","",INDEX(DIFFERENTIATION_UNMERGE_AREA,MATCH(K9,DIFFERENTIATION_ID_DIFF,0)))</f>
        <v>Территория 1</v>
      </c>
      <c r="L11" s="7461" t="str">
        <f>IF(L9="","",INDEX(DIFFERENTIATION_UNMERGE_AREA,MATCH(L9,DIFFERENTIATION_ID_DIFF,0)))</f>
        <v>Территория 1</v>
      </c>
      <c r="M11" s="7461" t="str">
        <f>IF(M9="","",INDEX(DIFFERENTIATION_UNMERGE_AREA,MATCH(M9,DIFFERENTIATION_ID_DIFF,0)))</f>
        <v>Территория 1</v>
      </c>
      <c r="N11" s="7461" t="str">
        <f>IF(N9="","",INDEX(DIFFERENTIATION_UNMERGE_AREA,MATCH(N9,DIFFERENTIATION_ID_DIFF,0)))</f>
        <v>Территория 1</v>
      </c>
      <c r="O11" s="7461" t="str">
        <f>IF(O9="","",INDEX(DIFFERENTIATION_UNMERGE_AREA,MATCH(O9,DIFFERENTIATION_ID_DIFF,0)))</f>
        <v>Территория 1</v>
      </c>
      <c r="P11" s="7461" t="str">
        <f>IF(P9="","",INDEX(DIFFERENTIATION_UNMERGE_AREA,MATCH(P9,DIFFERENTIATION_ID_DIFF,0)))</f>
        <v>Территория 1</v>
      </c>
      <c r="Q11" s="7461" t="str">
        <f>IF(Q9="","",INDEX(DIFFERENTIATION_UNMERGE_AREA,MATCH(Q9,DIFFERENTIATION_ID_DIFF,0)))</f>
        <v>Территория 1</v>
      </c>
      <c r="R11" s="7461" t="str">
        <f>IF(R9="","",INDEX(DIFFERENTIATION_UNMERGE_AREA,MATCH(R9,DIFFERENTIATION_ID_DIFF,0)))</f>
        <v>Территория 1</v>
      </c>
      <c r="S11" s="7461" t="str">
        <f>IF(S9="","",INDEX(DIFFERENTIATION_UNMERGE_AREA,MATCH(S9,DIFFERENTIATION_ID_DIFF,0)))</f>
        <v>Территория 1</v>
      </c>
      <c r="T11" s="7461" t="str">
        <f>IF(T9="","",INDEX(DIFFERENTIATION_UNMERGE_AREA,MATCH(T9,DIFFERENTIATION_ID_DIFF,0)))</f>
        <v>Территория 1</v>
      </c>
      <c r="U11" s="7461" t="str">
        <f>IF(U9="","",INDEX(DIFFERENTIATION_UNMERGE_AREA,MATCH(U9,DIFFERENTIATION_ID_DIFF,0)))</f>
        <v>Территория 1</v>
      </c>
      <c r="V11" s="7461" t="str">
        <f>IF(V9="","",INDEX(DIFFERENTIATION_UNMERGE_AREA,MATCH(V9,DIFFERENTIATION_ID_DIFF,0)))</f>
        <v>Территория 1</v>
      </c>
      <c r="W11" s="7461" t="str">
        <f>IF(W9="","",INDEX(DIFFERENTIATION_UNMERGE_AREA,MATCH(W9,DIFFERENTIATION_ID_DIFF,0)))</f>
        <v>Территория 1</v>
      </c>
      <c r="X11" s="7461" t="str">
        <f>IF(X9="","",INDEX(DIFFERENTIATION_UNMERGE_AREA,MATCH(X9,DIFFERENTIATION_ID_DIFF,0)))</f>
        <v>Территория 1</v>
      </c>
      <c r="Y11" s="7461" t="str">
        <f>IF(Y9="","",INDEX(DIFFERENTIATION_UNMERGE_AREA,MATCH(Y9,DIFFERENTIATION_ID_DIFF,0)))</f>
        <v>Территория 1</v>
      </c>
      <c r="Z11" s="7461" t="str">
        <f>IF(Z9="","",INDEX(DIFFERENTIATION_UNMERGE_AREA,MATCH(Z9,DIFFERENTIATION_ID_DIFF,0)))</f>
        <v>Территория 1</v>
      </c>
      <c r="AA11" s="7461" t="str">
        <f>IF(AA9="","",INDEX(DIFFERENTIATION_UNMERGE_AREA,MATCH(AA9,DIFFERENTIATION_ID_DIFF,0)))</f>
        <v>Территория 1</v>
      </c>
      <c r="AB11" s="7461" t="str">
        <f>IF(AB9="","",INDEX(DIFFERENTIATION_UNMERGE_AREA,MATCH(AB9,DIFFERENTIATION_ID_DIFF,0)))</f>
        <v>Территория 1</v>
      </c>
      <c r="AC11" s="7461" t="str">
        <f>IF(AC9="","",INDEX(DIFFERENTIATION_UNMERGE_AREA,MATCH(AC9,DIFFERENTIATION_ID_DIFF,0)))</f>
        <v>Территория 1</v>
      </c>
      <c r="AD11" s="7461" t="str">
        <f>IF(AD9="","",INDEX(DIFFERENTIATION_UNMERGE_AREA,MATCH(AD9,DIFFERENTIATION_ID_DIFF,0)))</f>
        <v>Территория 1</v>
      </c>
      <c r="AE11" s="7461" t="str">
        <f>IF(AE9="","",INDEX(DIFFERENTIATION_UNMERGE_AREA,MATCH(AE9,DIFFERENTIATION_ID_DIFF,0)))</f>
        <v>Территория 1</v>
      </c>
      <c r="AF11" s="7461" t="str">
        <f>IF(AF9="","",INDEX(DIFFERENTIATION_UNMERGE_AREA,MATCH(AF9,DIFFERENTIATION_ID_DIFF,0)))</f>
        <v>Территория 1</v>
      </c>
      <c r="AG11" s="7461" t="str">
        <f>IF(AG9="","",INDEX(DIFFERENTIATION_UNMERGE_AREA,MATCH(AG9,DIFFERENTIATION_ID_DIFF,0)))</f>
        <v>Территория 1</v>
      </c>
      <c r="AH11" s="7461" t="str">
        <f>IF(AH9="","",INDEX(DIFFERENTIATION_UNMERGE_AREA,MATCH(AH9,DIFFERENTIATION_ID_DIFF,0)))</f>
        <v>Территория 1</v>
      </c>
      <c r="AI11" s="7461" t="str">
        <f>IF(AI9="","",INDEX(DIFFERENTIATION_UNMERGE_AREA,MATCH(AI9,DIFFERENTIATION_ID_DIFF,0)))</f>
        <v>Территория 1</v>
      </c>
      <c r="AJ11" s="7461" t="str">
        <f>IF(AJ9="","",INDEX(DIFFERENTIATION_UNMERGE_AREA,MATCH(AJ9,DIFFERENTIATION_ID_DIFF,0)))</f>
        <v>Территория 1</v>
      </c>
      <c r="AK11" s="7461" t="str">
        <f>IF(AK9="","",INDEX(DIFFERENTIATION_UNMERGE_AREA,MATCH(AK9,DIFFERENTIATION_ID_DIFF,0)))</f>
        <v/>
      </c>
    </row>
    <row customHeight="1" ht="11.25" hidden="1">
      <c r="E12" s="1975"/>
      <c r="F12" s="2600" t="s">
        <v>1477</v>
      </c>
      <c r="G12" s="2601"/>
      <c r="H12" s="1976" t="str">
        <f>IF(H9="","",INDEX(DIFFERENTIATION_UNMERGE_SYSTEM,MATCH(H9,DIFFERENTIATION_ID_DIFF,0)))</f>
        <v/>
      </c>
      <c r="I12" s="1976" t="str">
        <f>IF(I9="","",INDEX(DIFFERENTIATION_UNMERGE_SYSTEM,MATCH(I9,DIFFERENTIATION_ID_DIFF,0)))</f>
        <v>Котельная №1 по ул.Ново-Самарская, д.12</v>
      </c>
      <c r="J12" s="7765" t="str">
        <f>IF(J9="","",INDEX(DIFFERENTIATION_UNMERGE_SYSTEM,MATCH(J9,DIFFERENTIATION_ID_DIFF,0)))</f>
        <v>Котельная №2,  ул.Пирогова около д.4</v>
      </c>
      <c r="K12" s="7765" t="str">
        <f>IF(K9="","",INDEX(DIFFERENTIATION_UNMERGE_SYSTEM,MATCH(K9,DIFFERENTIATION_ID_DIFF,0)))</f>
        <v>Котельная №3, ул.Комсомольская около д.1 по ул.Ленина</v>
      </c>
      <c r="L12" s="7765" t="str">
        <f>IF(L9="","",INDEX(DIFFERENTIATION_UNMERGE_SYSTEM,MATCH(L9,DIFFERENTIATION_ID_DIFF,0)))</f>
        <v>Тепловой центр №1 ул.Вокзальная ок д.№8</v>
      </c>
      <c r="M12" s="7765" t="str">
        <f>IF(M9="","",INDEX(DIFFERENTIATION_UNMERGE_SYSTEM,MATCH(M9,DIFFERENTIATION_ID_DIFF,0)))</f>
        <v>Котельная №5, Александр. Поле, около д.30 по ул.Советская </v>
      </c>
      <c r="N12" s="7765" t="str">
        <f>IF(N9="","",INDEX(DIFFERENTIATION_UNMERGE_SYSTEM,MATCH(N9,DIFFERENTIATION_ID_DIFF,0)))</f>
        <v>Котельная №6, ул.Пушкина </v>
      </c>
      <c r="O12" s="7765" t="str">
        <f>IF(O9="","",INDEX(DIFFERENTIATION_UNMERGE_SYSTEM,MATCH(O9,DIFFERENTIATION_ID_DIFF,0)))</f>
        <v>Тепловой центр №2 ул.Вокзальная ок д.№20</v>
      </c>
      <c r="P12" s="7765" t="str">
        <f>IF(P9="","",INDEX(DIFFERENTIATION_UNMERGE_SYSTEM,MATCH(P9,DIFFERENTIATION_ID_DIFF,0)))</f>
        <v>Котельная №8, ул.Мира</v>
      </c>
      <c r="Q12" s="7765" t="str">
        <f>IF(Q9="","",INDEX(DIFFERENTIATION_UNMERGE_SYSTEM,MATCH(Q9,DIFFERENTIATION_ID_DIFF,0)))</f>
        <v>Котельная №9, ул.Гоголя</v>
      </c>
      <c r="R12" s="7765" t="str">
        <f>IF(R9="","",INDEX(DIFFERENTIATION_UNMERGE_SYSTEM,MATCH(R9,DIFFERENTIATION_ID_DIFF,0)))</f>
        <v>Котельная №10, ул.Гоголя</v>
      </c>
      <c r="S12" s="7765" t="str">
        <f>IF(S9="","",INDEX(DIFFERENTIATION_UNMERGE_SYSTEM,MATCH(S9,DIFFERENTIATION_ID_DIFF,0)))</f>
        <v>Котельная №12а, ул.Мира</v>
      </c>
      <c r="T12" s="7765" t="str">
        <f>IF(T9="","",INDEX(DIFFERENTIATION_UNMERGE_SYSTEM,MATCH(T9,DIFFERENTIATION_ID_DIFF,0)))</f>
        <v>Котельная №13, ул.Морквашинская</v>
      </c>
      <c r="U12" s="7765" t="str">
        <f>IF(U9="","",INDEX(DIFFERENTIATION_UNMERGE_SYSTEM,MATCH(U9,DIFFERENTIATION_ID_DIFF,0)))</f>
        <v>ЦТП-1 ул.Морквашинская ок.д№7</v>
      </c>
      <c r="V12" s="7765" t="str">
        <f>IF(V9="","",INDEX(DIFFERENTIATION_UNMERGE_SYSTEM,MATCH(V9,DIFFERENTIATION_ID_DIFF,0)))</f>
        <v>ЦТП-2, В-1,ок.д.№10</v>
      </c>
      <c r="W12" s="7765" t="str">
        <f>IF(W9="","",INDEX(DIFFERENTIATION_UNMERGE_SYSTEM,MATCH(W9,DIFFERENTIATION_ID_DIFF,0)))</f>
        <v>ЦТП-9, ул.Пролетарская д.23/ул.Транспортная д.10</v>
      </c>
      <c r="X12" s="7765" t="str">
        <f>IF(X9="","",INDEX(DIFFERENTIATION_UNMERGE_SYSTEM,MATCH(X9,DIFFERENTIATION_ID_DIFF,0)))</f>
        <v>ПНС№1-  Пролет, 5</v>
      </c>
      <c r="Y12" s="7765" t="str">
        <f>IF(Y9="","",INDEX(DIFFERENTIATION_UNMERGE_SYSTEM,MATCH(Y9,DIFFERENTIATION_ID_DIFF,0)))</f>
        <v>ПНС№2, ул.Репина,3</v>
      </c>
      <c r="Z12" s="7765" t="str">
        <f>IF(Z9="","",INDEX(DIFFERENTIATION_UNMERGE_SYSTEM,MATCH(Z9,DIFFERENTIATION_ID_DIFF,0)))</f>
        <v>Котельная №14, ул.Радиозаводская</v>
      </c>
      <c r="AA12" s="7765" t="str">
        <f>IF(AA9="","",INDEX(DIFFERENTIATION_UNMERGE_SYSTEM,MATCH(AA9,DIFFERENTIATION_ID_DIFF,0)))</f>
        <v>ЦТП-3, ул.Радиозаводская,ок.д.№6</v>
      </c>
      <c r="AB12" s="7765" t="str">
        <f>IF(AB9="","",INDEX(DIFFERENTIATION_UNMERGE_SYSTEM,MATCH(AB9,DIFFERENTIATION_ID_DIFF,0)))</f>
        <v>Котельная №17а с.Зольное , ул.Первомайская.</v>
      </c>
      <c r="AC12" s="7765" t="str">
        <f>IF(AC9="","",INDEX(DIFFERENTIATION_UNMERGE_SYSTEM,MATCH(AC9,DIFFERENTIATION_ID_DIFF,0)))</f>
        <v>Котельная №18А, с.Солнечная Поляна, ул. 4-я Линия</v>
      </c>
      <c r="AD12" s="7765" t="str">
        <f>IF(AD9="","",INDEX(DIFFERENTIATION_UNMERGE_SYSTEM,MATCH(AD9,DIFFERENTIATION_ID_DIFF,0)))</f>
        <v>Котельная №20,пос.Яблоневый Овраг , ул Никитина</v>
      </c>
      <c r="AE12" s="7765" t="str">
        <f>IF(AE9="","",INDEX(DIFFERENTIATION_UNMERGE_SYSTEM,MATCH(AE9,DIFFERENTIATION_ID_DIFF,0)))</f>
        <v>Котельная №22, ул.Магистральная</v>
      </c>
      <c r="AF12" s="7765" t="str">
        <f>IF(AF9="","",INDEX(DIFFERENTIATION_UNMERGE_SYSTEM,MATCH(AF9,DIFFERENTIATION_ID_DIFF,0)))</f>
        <v>Котельная №25,  МКР Г-1, ул.Гидротехническая</v>
      </c>
      <c r="AG12" s="7765" t="str">
        <f>IF(AG9="","",INDEX(DIFFERENTIATION_UNMERGE_SYSTEM,MATCH(AG9,DIFFERENTIATION_ID_DIFF,0)))</f>
        <v>ЦТП-7, ул.Оборонная</v>
      </c>
      <c r="AH12" s="7765" t="str">
        <f>IF(AH9="","",INDEX(DIFFERENTIATION_UNMERGE_SYSTEM,MATCH(AH9,DIFFERENTIATION_ID_DIFF,0)))</f>
        <v>ЦТП-8, ул.Шевченко</v>
      </c>
      <c r="AI12" s="7765" t="str">
        <f>IF(AI9="","",INDEX(DIFFERENTIATION_UNMERGE_SYSTEM,MATCH(AI9,DIFFERENTIATION_ID_DIFF,0)))</f>
        <v>ПНС, ул.Парковая</v>
      </c>
      <c r="AJ12" s="7765" t="str">
        <f>IF(AJ9="","",INDEX(DIFFERENTIATION_UNMERGE_SYSTEM,MATCH(AJ9,DIFFERENTIATION_ID_DIFF,0)))</f>
        <v>Котельная №27, п.Богатырь, ул.Управленческая</v>
      </c>
      <c r="AK12" s="7765" t="str">
        <f>IF(AK9="","",INDEX(DIFFERENTIATION_UNMERGE_SYSTEM,MATCH(AK9,DIFFERENTIATION_ID_DIFF,0)))</f>
        <v/>
      </c>
    </row>
    <row customHeight="1" ht="11.25">
      <c r="E13" s="2547" t="s">
        <v>362</v>
      </c>
      <c r="F13" s="2548"/>
      <c r="G13" s="2548"/>
      <c r="H13" s="1969"/>
      <c r="I13" s="1969"/>
      <c r="J13" s="7001"/>
      <c r="K13" s="7001"/>
      <c r="L13" s="7001"/>
      <c r="M13" s="7001"/>
      <c r="N13" s="7001"/>
      <c r="O13" s="7001"/>
      <c r="P13" s="7001"/>
      <c r="Q13" s="7001"/>
      <c r="R13" s="7001"/>
      <c r="S13" s="7001"/>
      <c r="T13" s="7001"/>
      <c r="U13" s="7001"/>
      <c r="V13" s="7001"/>
      <c r="W13" s="7001"/>
      <c r="X13" s="7001"/>
      <c r="Y13" s="7001"/>
      <c r="Z13" s="7001"/>
      <c r="AA13" s="7001"/>
      <c r="AB13" s="7001"/>
      <c r="AC13" s="7001"/>
      <c r="AD13" s="7001"/>
      <c r="AE13" s="7001"/>
      <c r="AF13" s="7001"/>
      <c r="AG13" s="7001"/>
      <c r="AH13" s="7001"/>
      <c r="AI13" s="7001"/>
      <c r="AJ13" s="7001"/>
      <c r="AK13" s="7001"/>
    </row>
    <row customHeight="1" ht="22.5">
      <c r="E14" s="1970" t="s">
        <v>88</v>
      </c>
      <c r="F14" s="1973" t="s">
        <v>364</v>
      </c>
      <c r="G14" s="1973" t="s">
        <v>1655</v>
      </c>
      <c r="H14" s="1973" t="s">
        <v>365</v>
      </c>
      <c r="I14" s="1973" t="s">
        <v>365</v>
      </c>
      <c r="J14" s="7006" t="s">
        <v>365</v>
      </c>
      <c r="K14" s="7006" t="s">
        <v>365</v>
      </c>
      <c r="L14" s="7006" t="s">
        <v>365</v>
      </c>
      <c r="M14" s="7006" t="s">
        <v>365</v>
      </c>
      <c r="N14" s="7006" t="s">
        <v>365</v>
      </c>
      <c r="O14" s="7006" t="s">
        <v>365</v>
      </c>
      <c r="P14" s="7006" t="s">
        <v>365</v>
      </c>
      <c r="Q14" s="7006" t="s">
        <v>365</v>
      </c>
      <c r="R14" s="7006" t="s">
        <v>365</v>
      </c>
      <c r="S14" s="7006" t="s">
        <v>365</v>
      </c>
      <c r="T14" s="7006" t="s">
        <v>365</v>
      </c>
      <c r="U14" s="7006" t="s">
        <v>365</v>
      </c>
      <c r="V14" s="7006" t="s">
        <v>365</v>
      </c>
      <c r="W14" s="7006" t="s">
        <v>365</v>
      </c>
      <c r="X14" s="7006" t="s">
        <v>365</v>
      </c>
      <c r="Y14" s="7006" t="s">
        <v>365</v>
      </c>
      <c r="Z14" s="7006" t="s">
        <v>365</v>
      </c>
      <c r="AA14" s="7006" t="s">
        <v>365</v>
      </c>
      <c r="AB14" s="7006" t="s">
        <v>365</v>
      </c>
      <c r="AC14" s="7006" t="s">
        <v>365</v>
      </c>
      <c r="AD14" s="7006" t="s">
        <v>365</v>
      </c>
      <c r="AE14" s="7006" t="s">
        <v>365</v>
      </c>
      <c r="AF14" s="7006" t="s">
        <v>365</v>
      </c>
      <c r="AG14" s="7006" t="s">
        <v>365</v>
      </c>
      <c r="AH14" s="7006" t="s">
        <v>365</v>
      </c>
      <c r="AI14" s="7006" t="s">
        <v>365</v>
      </c>
      <c r="AJ14" s="7006" t="s">
        <v>365</v>
      </c>
      <c r="AK14" s="7006" t="s">
        <v>365</v>
      </c>
    </row>
    <row customHeight="1" ht="18.75">
      <c r="D15" s="1951"/>
      <c r="E15" s="1943" t="s">
        <v>109</v>
      </c>
      <c r="F15" s="944" t="s">
        <v>1873</v>
      </c>
      <c r="G15" s="1970" t="s">
        <v>1772</v>
      </c>
      <c r="H15" s="794"/>
      <c r="I15" s="794"/>
      <c r="J15" s="7466"/>
      <c r="K15" s="7466"/>
      <c r="L15" s="7466"/>
      <c r="M15" s="7466"/>
      <c r="N15" s="7466"/>
      <c r="O15" s="7466"/>
      <c r="P15" s="7466"/>
      <c r="Q15" s="7466"/>
      <c r="R15" s="7466"/>
      <c r="S15" s="7466"/>
      <c r="T15" s="7466"/>
      <c r="U15" s="7466"/>
      <c r="V15" s="7466"/>
      <c r="W15" s="7466"/>
      <c r="X15" s="7466"/>
      <c r="Y15" s="7466"/>
      <c r="Z15" s="7466"/>
      <c r="AA15" s="7466"/>
      <c r="AB15" s="7466"/>
      <c r="AC15" s="7466"/>
      <c r="AD15" s="7466"/>
      <c r="AE15" s="7466"/>
      <c r="AF15" s="7466"/>
      <c r="AG15" s="7466"/>
      <c r="AH15" s="7466"/>
      <c r="AI15" s="7466"/>
      <c r="AJ15" s="7466"/>
      <c r="AK15" s="7466"/>
      <c r="AL15" s="780" t="s">
        <v>1839</v>
      </c>
    </row>
    <row customHeight="1" ht="22.5">
      <c r="D16" s="1951"/>
      <c r="E16" s="1943" t="s">
        <v>110</v>
      </c>
      <c r="F16" s="1978" t="s">
        <v>1874</v>
      </c>
      <c r="G16" s="1970" t="s">
        <v>1772</v>
      </c>
      <c r="H16" s="795">
        <f>SUM(H17,H20:H27)</f>
        <v>0</v>
      </c>
      <c r="I16" s="795">
        <f>SUM(I17,I20:I27)</f>
        <v>0</v>
      </c>
      <c r="J16" s="7467">
        <f>SUM(J17,J20:J27)</f>
        <v>0</v>
      </c>
      <c r="K16" s="7467">
        <f>SUM(K17,K20:K27)</f>
        <v>0</v>
      </c>
      <c r="L16" s="7467">
        <f>SUM(L17,L20:L27)</f>
        <v>0</v>
      </c>
      <c r="M16" s="7467">
        <f>SUM(M17,M20:M27)</f>
        <v>0</v>
      </c>
      <c r="N16" s="7467">
        <f>SUM(N17,N20:N27)</f>
        <v>0</v>
      </c>
      <c r="O16" s="7467">
        <f>SUM(O17,O20:O27)</f>
        <v>0</v>
      </c>
      <c r="P16" s="7467">
        <f>SUM(P17,P20:P27)</f>
        <v>0</v>
      </c>
      <c r="Q16" s="7467">
        <f>SUM(Q17,Q20:Q27)</f>
        <v>0</v>
      </c>
      <c r="R16" s="7467">
        <f>SUM(R17,R20:R27)</f>
        <v>0</v>
      </c>
      <c r="S16" s="7467">
        <f>SUM(S17,S20:S27)</f>
        <v>0</v>
      </c>
      <c r="T16" s="7467">
        <f>SUM(T17,T20:T27)</f>
        <v>0</v>
      </c>
      <c r="U16" s="7467">
        <f>SUM(U17,U20:U27)</f>
        <v>0</v>
      </c>
      <c r="V16" s="7467">
        <f>SUM(V17,V20:V27)</f>
        <v>0</v>
      </c>
      <c r="W16" s="7467">
        <f>SUM(W17,W20:W27)</f>
        <v>0</v>
      </c>
      <c r="X16" s="7467">
        <f>SUM(X17,X20:X27)</f>
        <v>0</v>
      </c>
      <c r="Y16" s="7467">
        <f>SUM(Y17,Y20:Y27)</f>
        <v>0</v>
      </c>
      <c r="Z16" s="7467">
        <f>SUM(Z17,Z20:Z27)</f>
        <v>0</v>
      </c>
      <c r="AA16" s="7467">
        <f>SUM(AA17,AA20:AA27)</f>
        <v>0</v>
      </c>
      <c r="AB16" s="7467">
        <f>SUM(AB17,AB20:AB27)</f>
        <v>0</v>
      </c>
      <c r="AC16" s="7467">
        <f>SUM(AC17,AC20:AC27)</f>
        <v>0</v>
      </c>
      <c r="AD16" s="7467">
        <f>SUM(AD17,AD20:AD27)</f>
        <v>0</v>
      </c>
      <c r="AE16" s="7467">
        <f>SUM(AE17,AE20:AE27)</f>
        <v>0</v>
      </c>
      <c r="AF16" s="7467">
        <f>SUM(AF17,AF20:AF27)</f>
        <v>0</v>
      </c>
      <c r="AG16" s="7467">
        <f>SUM(AG17,AG20:AG27)</f>
        <v>0</v>
      </c>
      <c r="AH16" s="7467">
        <f>SUM(AH17,AH20:AH27)</f>
        <v>0</v>
      </c>
      <c r="AI16" s="7467">
        <f>SUM(AI17,AI20:AI27)</f>
        <v>0</v>
      </c>
      <c r="AJ16" s="7467">
        <f>SUM(AJ17,AJ20:AJ27)</f>
        <v>0</v>
      </c>
      <c r="AK16" s="7467">
        <f>SUM(AK17,AK20:AK27)</f>
        <v>0</v>
      </c>
      <c r="AL16" s="780" t="s">
        <v>1839</v>
      </c>
    </row>
    <row customHeight="1" ht="33.75">
      <c r="D17" s="1951"/>
      <c r="E17" s="1977" t="s">
        <v>570</v>
      </c>
      <c r="F17" s="1980" t="s">
        <v>1875</v>
      </c>
      <c r="G17" s="1967" t="s">
        <v>1772</v>
      </c>
      <c r="H17" s="794"/>
      <c r="I17" s="794"/>
      <c r="J17" s="7466"/>
      <c r="K17" s="7466"/>
      <c r="L17" s="7466"/>
      <c r="M17" s="7466"/>
      <c r="N17" s="7466"/>
      <c r="O17" s="7466"/>
      <c r="P17" s="7466"/>
      <c r="Q17" s="7466"/>
      <c r="R17" s="7466"/>
      <c r="S17" s="7466"/>
      <c r="T17" s="7466"/>
      <c r="U17" s="7466"/>
      <c r="V17" s="7466"/>
      <c r="W17" s="7466"/>
      <c r="X17" s="7466"/>
      <c r="Y17" s="7466"/>
      <c r="Z17" s="7466"/>
      <c r="AA17" s="7466"/>
      <c r="AB17" s="7466"/>
      <c r="AC17" s="7466"/>
      <c r="AD17" s="7466"/>
      <c r="AE17" s="7466"/>
      <c r="AF17" s="7466"/>
      <c r="AG17" s="7466"/>
      <c r="AH17" s="7466"/>
      <c r="AI17" s="7466"/>
      <c r="AJ17" s="7466"/>
      <c r="AK17" s="7466"/>
      <c r="AL17" s="780"/>
    </row>
    <row customHeight="1" ht="18.75">
      <c r="D18" s="1951"/>
      <c r="E18" s="1977" t="s">
        <v>1513</v>
      </c>
      <c r="F18" s="1981" t="s">
        <v>1876</v>
      </c>
      <c r="G18" s="1967" t="s">
        <v>1772</v>
      </c>
      <c r="H18" s="794"/>
      <c r="I18" s="794"/>
      <c r="J18" s="7466"/>
      <c r="K18" s="7466"/>
      <c r="L18" s="7466"/>
      <c r="M18" s="7466"/>
      <c r="N18" s="7466"/>
      <c r="O18" s="7466"/>
      <c r="P18" s="7466"/>
      <c r="Q18" s="7466"/>
      <c r="R18" s="7466"/>
      <c r="S18" s="7466"/>
      <c r="T18" s="7466"/>
      <c r="U18" s="7466"/>
      <c r="V18" s="7466"/>
      <c r="W18" s="7466"/>
      <c r="X18" s="7466"/>
      <c r="Y18" s="7466"/>
      <c r="Z18" s="7466"/>
      <c r="AA18" s="7466"/>
      <c r="AB18" s="7466"/>
      <c r="AC18" s="7466"/>
      <c r="AD18" s="7466"/>
      <c r="AE18" s="7466"/>
      <c r="AF18" s="7466"/>
      <c r="AG18" s="7466"/>
      <c r="AH18" s="7466"/>
      <c r="AI18" s="7466"/>
      <c r="AJ18" s="7466"/>
      <c r="AK18" s="7466"/>
      <c r="AL18" s="780"/>
    </row>
    <row customHeight="1" ht="22.5">
      <c r="D19" s="1951"/>
      <c r="E19" s="1977" t="s">
        <v>1843</v>
      </c>
      <c r="F19" s="1981" t="s">
        <v>1877</v>
      </c>
      <c r="G19" s="1967" t="s">
        <v>1772</v>
      </c>
      <c r="H19" s="794"/>
      <c r="I19" s="794"/>
      <c r="J19" s="7466"/>
      <c r="K19" s="7466"/>
      <c r="L19" s="7466"/>
      <c r="M19" s="7466"/>
      <c r="N19" s="7466"/>
      <c r="O19" s="7466"/>
      <c r="P19" s="7466"/>
      <c r="Q19" s="7466"/>
      <c r="R19" s="7466"/>
      <c r="S19" s="7466"/>
      <c r="T19" s="7466"/>
      <c r="U19" s="7466"/>
      <c r="V19" s="7466"/>
      <c r="W19" s="7466"/>
      <c r="X19" s="7466"/>
      <c r="Y19" s="7466"/>
      <c r="Z19" s="7466"/>
      <c r="AA19" s="7466"/>
      <c r="AB19" s="7466"/>
      <c r="AC19" s="7466"/>
      <c r="AD19" s="7466"/>
      <c r="AE19" s="7466"/>
      <c r="AF19" s="7466"/>
      <c r="AG19" s="7466"/>
      <c r="AH19" s="7466"/>
      <c r="AI19" s="7466"/>
      <c r="AJ19" s="7466"/>
      <c r="AK19" s="7466"/>
      <c r="AL19" s="780"/>
    </row>
    <row customHeight="1" ht="33.75">
      <c r="D20" s="1951"/>
      <c r="E20" s="1977" t="s">
        <v>369</v>
      </c>
      <c r="F20" s="1980" t="s">
        <v>1878</v>
      </c>
      <c r="G20" s="1967" t="s">
        <v>1772</v>
      </c>
      <c r="H20" s="794"/>
      <c r="I20" s="794"/>
      <c r="J20" s="7466"/>
      <c r="K20" s="7466"/>
      <c r="L20" s="7466"/>
      <c r="M20" s="7466"/>
      <c r="N20" s="7466"/>
      <c r="O20" s="7466"/>
      <c r="P20" s="7466"/>
      <c r="Q20" s="7466"/>
      <c r="R20" s="7466"/>
      <c r="S20" s="7466"/>
      <c r="T20" s="7466"/>
      <c r="U20" s="7466"/>
      <c r="V20" s="7466"/>
      <c r="W20" s="7466"/>
      <c r="X20" s="7466"/>
      <c r="Y20" s="7466"/>
      <c r="Z20" s="7466"/>
      <c r="AA20" s="7466"/>
      <c r="AB20" s="7466"/>
      <c r="AC20" s="7466"/>
      <c r="AD20" s="7466"/>
      <c r="AE20" s="7466"/>
      <c r="AF20" s="7466"/>
      <c r="AG20" s="7466"/>
      <c r="AH20" s="7466"/>
      <c r="AI20" s="7466"/>
      <c r="AJ20" s="7466"/>
      <c r="AK20" s="7466"/>
      <c r="AL20" s="780"/>
    </row>
    <row customHeight="1" ht="33.75">
      <c r="D21" s="1951"/>
      <c r="E21" s="1977" t="s">
        <v>372</v>
      </c>
      <c r="F21" s="1980" t="s">
        <v>1879</v>
      </c>
      <c r="G21" s="1967" t="s">
        <v>1772</v>
      </c>
      <c r="H21" s="794"/>
      <c r="I21" s="794"/>
      <c r="J21" s="7466"/>
      <c r="K21" s="7466"/>
      <c r="L21" s="7466"/>
      <c r="M21" s="7466"/>
      <c r="N21" s="7466"/>
      <c r="O21" s="7466"/>
      <c r="P21" s="7466"/>
      <c r="Q21" s="7466"/>
      <c r="R21" s="7466"/>
      <c r="S21" s="7466"/>
      <c r="T21" s="7466"/>
      <c r="U21" s="7466"/>
      <c r="V21" s="7466"/>
      <c r="W21" s="7466"/>
      <c r="X21" s="7466"/>
      <c r="Y21" s="7466"/>
      <c r="Z21" s="7466"/>
      <c r="AA21" s="7466"/>
      <c r="AB21" s="7466"/>
      <c r="AC21" s="7466"/>
      <c r="AD21" s="7466"/>
      <c r="AE21" s="7466"/>
      <c r="AF21" s="7466"/>
      <c r="AG21" s="7466"/>
      <c r="AH21" s="7466"/>
      <c r="AI21" s="7466"/>
      <c r="AJ21" s="7466"/>
      <c r="AK21" s="7466"/>
      <c r="AL21" s="780"/>
    </row>
    <row customHeight="1" ht="56.25">
      <c r="D22" s="1951"/>
      <c r="E22" s="1977" t="s">
        <v>579</v>
      </c>
      <c r="F22" s="1980" t="s">
        <v>1880</v>
      </c>
      <c r="G22" s="1967" t="s">
        <v>1772</v>
      </c>
      <c r="H22" s="794"/>
      <c r="I22" s="794"/>
      <c r="J22" s="7466"/>
      <c r="K22" s="7466"/>
      <c r="L22" s="7466"/>
      <c r="M22" s="7466"/>
      <c r="N22" s="7466"/>
      <c r="O22" s="7466"/>
      <c r="P22" s="7466"/>
      <c r="Q22" s="7466"/>
      <c r="R22" s="7466"/>
      <c r="S22" s="7466"/>
      <c r="T22" s="7466"/>
      <c r="U22" s="7466"/>
      <c r="V22" s="7466"/>
      <c r="W22" s="7466"/>
      <c r="X22" s="7466"/>
      <c r="Y22" s="7466"/>
      <c r="Z22" s="7466"/>
      <c r="AA22" s="7466"/>
      <c r="AB22" s="7466"/>
      <c r="AC22" s="7466"/>
      <c r="AD22" s="7466"/>
      <c r="AE22" s="7466"/>
      <c r="AF22" s="7466"/>
      <c r="AG22" s="7466"/>
      <c r="AH22" s="7466"/>
      <c r="AI22" s="7466"/>
      <c r="AJ22" s="7466"/>
      <c r="AK22" s="7466"/>
      <c r="AL22" s="780"/>
    </row>
    <row customHeight="1" ht="33.75">
      <c r="D23" s="1951"/>
      <c r="E23" s="1977" t="s">
        <v>581</v>
      </c>
      <c r="F23" s="1980" t="s">
        <v>1881</v>
      </c>
      <c r="G23" s="1967" t="s">
        <v>1772</v>
      </c>
      <c r="H23" s="794"/>
      <c r="I23" s="794"/>
      <c r="J23" s="7466"/>
      <c r="K23" s="7466"/>
      <c r="L23" s="7466"/>
      <c r="M23" s="7466"/>
      <c r="N23" s="7466"/>
      <c r="O23" s="7466"/>
      <c r="P23" s="7466"/>
      <c r="Q23" s="7466"/>
      <c r="R23" s="7466"/>
      <c r="S23" s="7466"/>
      <c r="T23" s="7466"/>
      <c r="U23" s="7466"/>
      <c r="V23" s="7466"/>
      <c r="W23" s="7466"/>
      <c r="X23" s="7466"/>
      <c r="Y23" s="7466"/>
      <c r="Z23" s="7466"/>
      <c r="AA23" s="7466"/>
      <c r="AB23" s="7466"/>
      <c r="AC23" s="7466"/>
      <c r="AD23" s="7466"/>
      <c r="AE23" s="7466"/>
      <c r="AF23" s="7466"/>
      <c r="AG23" s="7466"/>
      <c r="AH23" s="7466"/>
      <c r="AI23" s="7466"/>
      <c r="AJ23" s="7466"/>
      <c r="AK23" s="7466"/>
      <c r="AL23" s="780"/>
    </row>
    <row customHeight="1" ht="33.75">
      <c r="D24" s="1951"/>
      <c r="E24" s="1977" t="s">
        <v>595</v>
      </c>
      <c r="F24" s="1980" t="s">
        <v>1882</v>
      </c>
      <c r="G24" s="1967" t="s">
        <v>1772</v>
      </c>
      <c r="H24" s="794"/>
      <c r="I24" s="794"/>
      <c r="J24" s="7466"/>
      <c r="K24" s="7466"/>
      <c r="L24" s="7466"/>
      <c r="M24" s="7466"/>
      <c r="N24" s="7466"/>
      <c r="O24" s="7466"/>
      <c r="P24" s="7466"/>
      <c r="Q24" s="7466"/>
      <c r="R24" s="7466"/>
      <c r="S24" s="7466"/>
      <c r="T24" s="7466"/>
      <c r="U24" s="7466"/>
      <c r="V24" s="7466"/>
      <c r="W24" s="7466"/>
      <c r="X24" s="7466"/>
      <c r="Y24" s="7466"/>
      <c r="Z24" s="7466"/>
      <c r="AA24" s="7466"/>
      <c r="AB24" s="7466"/>
      <c r="AC24" s="7466"/>
      <c r="AD24" s="7466"/>
      <c r="AE24" s="7466"/>
      <c r="AF24" s="7466"/>
      <c r="AG24" s="7466"/>
      <c r="AH24" s="7466"/>
      <c r="AI24" s="7466"/>
      <c r="AJ24" s="7466"/>
      <c r="AK24" s="7466"/>
      <c r="AL24" s="780"/>
    </row>
    <row customHeight="1" ht="22.5">
      <c r="D25" s="1951"/>
      <c r="E25" s="1977" t="s">
        <v>606</v>
      </c>
      <c r="F25" s="1980" t="s">
        <v>1883</v>
      </c>
      <c r="G25" s="1967" t="s">
        <v>1772</v>
      </c>
      <c r="H25" s="794"/>
      <c r="I25" s="794"/>
      <c r="J25" s="7466"/>
      <c r="K25" s="7466"/>
      <c r="L25" s="7466"/>
      <c r="M25" s="7466"/>
      <c r="N25" s="7466"/>
      <c r="O25" s="7466"/>
      <c r="P25" s="7466"/>
      <c r="Q25" s="7466"/>
      <c r="R25" s="7466"/>
      <c r="S25" s="7466"/>
      <c r="T25" s="7466"/>
      <c r="U25" s="7466"/>
      <c r="V25" s="7466"/>
      <c r="W25" s="7466"/>
      <c r="X25" s="7466"/>
      <c r="Y25" s="7466"/>
      <c r="Z25" s="7466"/>
      <c r="AA25" s="7466"/>
      <c r="AB25" s="7466"/>
      <c r="AC25" s="7466"/>
      <c r="AD25" s="7466"/>
      <c r="AE25" s="7466"/>
      <c r="AF25" s="7466"/>
      <c r="AG25" s="7466"/>
      <c r="AH25" s="7466"/>
      <c r="AI25" s="7466"/>
      <c r="AJ25" s="7466"/>
      <c r="AK25" s="7466"/>
      <c r="AL25" s="780"/>
    </row>
    <row customHeight="1" ht="67.5">
      <c r="D26" s="1951"/>
      <c r="E26" s="1977" t="s">
        <v>617</v>
      </c>
      <c r="F26" s="1980" t="s">
        <v>1884</v>
      </c>
      <c r="G26" s="1967" t="s">
        <v>1772</v>
      </c>
      <c r="H26" s="794"/>
      <c r="I26" s="794"/>
      <c r="J26" s="7466"/>
      <c r="K26" s="7466"/>
      <c r="L26" s="7466"/>
      <c r="M26" s="7466"/>
      <c r="N26" s="7466"/>
      <c r="O26" s="7466"/>
      <c r="P26" s="7466"/>
      <c r="Q26" s="7466"/>
      <c r="R26" s="7466"/>
      <c r="S26" s="7466"/>
      <c r="T26" s="7466"/>
      <c r="U26" s="7466"/>
      <c r="V26" s="7466"/>
      <c r="W26" s="7466"/>
      <c r="X26" s="7466"/>
      <c r="Y26" s="7466"/>
      <c r="Z26" s="7466"/>
      <c r="AA26" s="7466"/>
      <c r="AB26" s="7466"/>
      <c r="AC26" s="7466"/>
      <c r="AD26" s="7466"/>
      <c r="AE26" s="7466"/>
      <c r="AF26" s="7466"/>
      <c r="AG26" s="7466"/>
      <c r="AH26" s="7466"/>
      <c r="AI26" s="7466"/>
      <c r="AJ26" s="7466"/>
      <c r="AK26" s="7466"/>
      <c r="AL26" s="780"/>
    </row>
    <row s="11074" customFormat="1" customHeight="1" ht="22.5">
      <c r="A27" s="1243"/>
      <c r="C27" s="1949"/>
      <c r="D27" s="1951"/>
      <c r="E27" s="1942" t="s">
        <v>625</v>
      </c>
      <c r="F27" s="1941" t="s">
        <v>1885</v>
      </c>
      <c r="G27" s="1968" t="s">
        <v>1772</v>
      </c>
      <c r="H27" s="816">
        <f>SUM(H28:H29)</f>
        <v>0</v>
      </c>
      <c r="I27" s="816">
        <f>SUM(I28:I29)</f>
        <v>0</v>
      </c>
      <c r="J27" s="7528">
        <f>SUM(J28:J29)</f>
        <v>0</v>
      </c>
      <c r="K27" s="7528">
        <f>SUM(K28:K29)</f>
        <v>0</v>
      </c>
      <c r="L27" s="7528">
        <f>SUM(L28:L29)</f>
        <v>0</v>
      </c>
      <c r="M27" s="7528">
        <f>SUM(M28:M29)</f>
        <v>0</v>
      </c>
      <c r="N27" s="7528">
        <f>SUM(N28:N29)</f>
        <v>0</v>
      </c>
      <c r="O27" s="7528">
        <f>SUM(O28:O29)</f>
        <v>0</v>
      </c>
      <c r="P27" s="7528">
        <f>SUM(P28:P29)</f>
        <v>0</v>
      </c>
      <c r="Q27" s="7528">
        <f>SUM(Q28:Q29)</f>
        <v>0</v>
      </c>
      <c r="R27" s="7528">
        <f>SUM(R28:R29)</f>
        <v>0</v>
      </c>
      <c r="S27" s="7528">
        <f>SUM(S28:S29)</f>
        <v>0</v>
      </c>
      <c r="T27" s="7528">
        <f>SUM(T28:T29)</f>
        <v>0</v>
      </c>
      <c r="U27" s="7528">
        <f>SUM(U28:U29)</f>
        <v>0</v>
      </c>
      <c r="V27" s="7528">
        <f>SUM(V28:V29)</f>
        <v>0</v>
      </c>
      <c r="W27" s="7528">
        <f>SUM(W28:W29)</f>
        <v>0</v>
      </c>
      <c r="X27" s="7528">
        <f>SUM(X28:X29)</f>
        <v>0</v>
      </c>
      <c r="Y27" s="7528">
        <f>SUM(Y28:Y29)</f>
        <v>0</v>
      </c>
      <c r="Z27" s="7528">
        <f>SUM(Z28:Z29)</f>
        <v>0</v>
      </c>
      <c r="AA27" s="7528">
        <f>SUM(AA28:AA29)</f>
        <v>0</v>
      </c>
      <c r="AB27" s="7528">
        <f>SUM(AB28:AB29)</f>
        <v>0</v>
      </c>
      <c r="AC27" s="7528">
        <f>SUM(AC28:AC29)</f>
        <v>0</v>
      </c>
      <c r="AD27" s="7528">
        <f>SUM(AD28:AD29)</f>
        <v>0</v>
      </c>
      <c r="AE27" s="7528">
        <f>SUM(AE28:AE29)</f>
        <v>0</v>
      </c>
      <c r="AF27" s="7528">
        <f>SUM(AF28:AF29)</f>
        <v>0</v>
      </c>
      <c r="AG27" s="7528">
        <f>SUM(AG28:AG29)</f>
        <v>0</v>
      </c>
      <c r="AH27" s="7528">
        <f>SUM(AH28:AH29)</f>
        <v>0</v>
      </c>
      <c r="AI27" s="7528">
        <f>SUM(AI28:AI29)</f>
        <v>0</v>
      </c>
      <c r="AJ27" s="7528">
        <f>SUM(AJ28:AJ29)</f>
        <v>0</v>
      </c>
      <c r="AK27" s="7528">
        <f>SUM(AK28:AK29)</f>
        <v>0</v>
      </c>
      <c r="AL27" s="780"/>
      <c r="AM27" s="1949"/>
      <c r="AN27" s="1949"/>
      <c r="AS27" s="1949"/>
      <c r="AV27" s="781"/>
      <c r="BB27" s="1945"/>
      <c r="BC27" s="1945"/>
      <c r="BD27" s="1945"/>
      <c r="BE27" s="1945"/>
      <c r="BF27" s="1945"/>
    </row>
    <row s="10863" customFormat="1" customHeight="1" ht="0.75">
      <c r="A28" s="1428"/>
      <c r="D28" s="785"/>
      <c r="E28" s="1042" t="str">
        <f>E27&amp;".0"</f>
        <v>2.9.0</v>
      </c>
      <c r="F28" s="1247"/>
      <c r="G28" s="788"/>
      <c r="H28" s="1248"/>
      <c r="I28" s="1248"/>
      <c r="J28" s="7531"/>
      <c r="K28" s="7531"/>
      <c r="L28" s="7531"/>
      <c r="M28" s="7531"/>
      <c r="N28" s="7531"/>
      <c r="O28" s="7531"/>
      <c r="P28" s="7531"/>
      <c r="Q28" s="7531"/>
      <c r="R28" s="7531"/>
      <c r="S28" s="7531"/>
      <c r="T28" s="7531"/>
      <c r="U28" s="7531"/>
      <c r="V28" s="7531"/>
      <c r="W28" s="7531"/>
      <c r="X28" s="7531"/>
      <c r="Y28" s="7531"/>
      <c r="Z28" s="7531"/>
      <c r="AA28" s="7531"/>
      <c r="AB28" s="7531"/>
      <c r="AC28" s="7531"/>
      <c r="AD28" s="7531"/>
      <c r="AE28" s="7531"/>
      <c r="AF28" s="7531"/>
      <c r="AG28" s="7531"/>
      <c r="AH28" s="7531"/>
      <c r="AI28" s="7531"/>
      <c r="AJ28" s="7531"/>
      <c r="AK28" s="7531"/>
    </row>
    <row s="11074" customFormat="1" customHeight="1" ht="18.75">
      <c r="A29" s="1243"/>
      <c r="C29" s="1949"/>
      <c r="D29" s="1946"/>
      <c r="E29" s="807"/>
      <c r="F29" s="1979" t="s">
        <v>1785</v>
      </c>
      <c r="G29" s="809"/>
      <c r="H29" s="810"/>
      <c r="I29" s="810"/>
      <c r="J29" s="7815"/>
      <c r="K29" s="7816"/>
      <c r="L29" s="7817"/>
      <c r="M29" s="7818"/>
      <c r="N29" s="7819"/>
      <c r="O29" s="7820"/>
      <c r="P29" s="7821"/>
      <c r="Q29" s="7822"/>
      <c r="R29" s="7823"/>
      <c r="S29" s="7824"/>
      <c r="T29" s="7825"/>
      <c r="U29" s="7826"/>
      <c r="V29" s="7827"/>
      <c r="W29" s="7828"/>
      <c r="X29" s="7829"/>
      <c r="Y29" s="7830"/>
      <c r="Z29" s="7831"/>
      <c r="AA29" s="7832"/>
      <c r="AB29" s="7833"/>
      <c r="AC29" s="7834"/>
      <c r="AD29" s="7835"/>
      <c r="AE29" s="7836"/>
      <c r="AF29" s="7837"/>
      <c r="AG29" s="7838"/>
      <c r="AH29" s="7839"/>
      <c r="AI29" s="7840"/>
      <c r="AJ29" s="7841"/>
      <c r="AK29" s="7842"/>
      <c r="AL29" s="780"/>
      <c r="AM29" s="1949"/>
      <c r="AN29" s="1949"/>
      <c r="AS29" s="1949"/>
      <c r="AV29" s="781"/>
      <c r="BB29" s="1945"/>
      <c r="BC29" s="1945"/>
      <c r="BD29" s="1945"/>
      <c r="BE29" s="1945"/>
      <c r="BF29" s="1945"/>
    </row>
    <row s="11074" customFormat="1" customHeight="1" ht="22.5">
      <c r="A30" s="1243"/>
      <c r="C30" s="1949"/>
      <c r="D30" s="1951"/>
      <c r="E30" s="1977" t="s">
        <v>90</v>
      </c>
      <c r="F30" s="1974" t="s">
        <v>1886</v>
      </c>
      <c r="G30" s="1967" t="s">
        <v>1772</v>
      </c>
      <c r="H30" s="794"/>
      <c r="I30" s="794"/>
      <c r="J30" s="7466"/>
      <c r="K30" s="7466"/>
      <c r="L30" s="7466"/>
      <c r="M30" s="7466"/>
      <c r="N30" s="7466"/>
      <c r="O30" s="7466"/>
      <c r="P30" s="7466"/>
      <c r="Q30" s="7466"/>
      <c r="R30" s="7466"/>
      <c r="S30" s="7466"/>
      <c r="T30" s="7466"/>
      <c r="U30" s="7466"/>
      <c r="V30" s="7466"/>
      <c r="W30" s="7466"/>
      <c r="X30" s="7466"/>
      <c r="Y30" s="7466"/>
      <c r="Z30" s="7466"/>
      <c r="AA30" s="7466"/>
      <c r="AB30" s="7466"/>
      <c r="AC30" s="7466"/>
      <c r="AD30" s="7466"/>
      <c r="AE30" s="7466"/>
      <c r="AF30" s="7466"/>
      <c r="AG30" s="7466"/>
      <c r="AH30" s="7466"/>
      <c r="AI30" s="7466"/>
      <c r="AJ30" s="7466"/>
      <c r="AK30" s="7466"/>
      <c r="AL30" s="780"/>
      <c r="AM30" s="1949"/>
      <c r="AN30" s="1949"/>
      <c r="AS30" s="1949"/>
      <c r="AV30" s="781"/>
      <c r="BB30" s="1945"/>
      <c r="BC30" s="1945"/>
      <c r="BD30" s="1945"/>
      <c r="BE30" s="1945"/>
      <c r="BF30" s="1945"/>
    </row>
    <row s="11074" customFormat="1" customHeight="1" ht="33.75">
      <c r="A31" s="1243"/>
      <c r="C31" s="1949"/>
      <c r="D31" s="812"/>
      <c r="E31" s="1977" t="s">
        <v>91</v>
      </c>
      <c r="F31" s="1974" t="s">
        <v>1887</v>
      </c>
      <c r="G31" s="1967" t="s">
        <v>1772</v>
      </c>
      <c r="H31" s="794"/>
      <c r="I31" s="794"/>
      <c r="J31" s="7466"/>
      <c r="K31" s="7466"/>
      <c r="L31" s="7466"/>
      <c r="M31" s="7466"/>
      <c r="N31" s="7466"/>
      <c r="O31" s="7466"/>
      <c r="P31" s="7466"/>
      <c r="Q31" s="7466"/>
      <c r="R31" s="7466"/>
      <c r="S31" s="7466"/>
      <c r="T31" s="7466"/>
      <c r="U31" s="7466"/>
      <c r="V31" s="7466"/>
      <c r="W31" s="7466"/>
      <c r="X31" s="7466"/>
      <c r="Y31" s="7466"/>
      <c r="Z31" s="7466"/>
      <c r="AA31" s="7466"/>
      <c r="AB31" s="7466"/>
      <c r="AC31" s="7466"/>
      <c r="AD31" s="7466"/>
      <c r="AE31" s="7466"/>
      <c r="AF31" s="7466"/>
      <c r="AG31" s="7466"/>
      <c r="AH31" s="7466"/>
      <c r="AI31" s="7466"/>
      <c r="AJ31" s="7466"/>
      <c r="AK31" s="7466"/>
      <c r="AL31" s="780"/>
      <c r="AM31" s="1949"/>
      <c r="AN31" s="1949"/>
      <c r="AS31" s="1949"/>
      <c r="AV31" s="781"/>
      <c r="BB31" s="1945"/>
      <c r="BC31" s="1945"/>
      <c r="BD31" s="1945"/>
      <c r="BE31" s="1945"/>
      <c r="BF31" s="1945"/>
    </row>
    <row s="11074" customFormat="1" customHeight="1" ht="22.5">
      <c r="A32" s="1243"/>
      <c r="C32" s="1949"/>
      <c r="D32" s="1951"/>
      <c r="E32" s="1977" t="s">
        <v>678</v>
      </c>
      <c r="F32" s="927" t="s">
        <v>1862</v>
      </c>
      <c r="G32" s="1967" t="s">
        <v>1772</v>
      </c>
      <c r="H32" s="794"/>
      <c r="I32" s="794"/>
      <c r="J32" s="7466"/>
      <c r="K32" s="7466"/>
      <c r="L32" s="7466"/>
      <c r="M32" s="7466"/>
      <c r="N32" s="7466"/>
      <c r="O32" s="7466"/>
      <c r="P32" s="7466"/>
      <c r="Q32" s="7466"/>
      <c r="R32" s="7466"/>
      <c r="S32" s="7466"/>
      <c r="T32" s="7466"/>
      <c r="U32" s="7466"/>
      <c r="V32" s="7466"/>
      <c r="W32" s="7466"/>
      <c r="X32" s="7466"/>
      <c r="Y32" s="7466"/>
      <c r="Z32" s="7466"/>
      <c r="AA32" s="7466"/>
      <c r="AB32" s="7466"/>
      <c r="AC32" s="7466"/>
      <c r="AD32" s="7466"/>
      <c r="AE32" s="7466"/>
      <c r="AF32" s="7466"/>
      <c r="AG32" s="7466"/>
      <c r="AH32" s="7466"/>
      <c r="AI32" s="7466"/>
      <c r="AJ32" s="7466"/>
      <c r="AK32" s="7466"/>
      <c r="AL32" s="780"/>
      <c r="AM32" s="1949"/>
      <c r="AN32" s="1949"/>
      <c r="AS32" s="1949"/>
      <c r="AV32" s="781"/>
      <c r="BB32" s="1945"/>
      <c r="BC32" s="1945"/>
      <c r="BD32" s="1945"/>
      <c r="BE32" s="1945"/>
      <c r="BF32" s="1945"/>
    </row>
    <row s="11074" customFormat="1" customHeight="1" ht="22.5">
      <c r="A33" s="1243"/>
      <c r="C33" s="1949"/>
      <c r="D33" s="1951"/>
      <c r="E33" s="1977" t="s">
        <v>697</v>
      </c>
      <c r="F33" s="927" t="s">
        <v>1888</v>
      </c>
      <c r="G33" s="1967" t="s">
        <v>1772</v>
      </c>
      <c r="H33" s="794"/>
      <c r="I33" s="794"/>
      <c r="J33" s="7466"/>
      <c r="K33" s="7466"/>
      <c r="L33" s="7466"/>
      <c r="M33" s="7466"/>
      <c r="N33" s="7466"/>
      <c r="O33" s="7466"/>
      <c r="P33" s="7466"/>
      <c r="Q33" s="7466"/>
      <c r="R33" s="7466"/>
      <c r="S33" s="7466"/>
      <c r="T33" s="7466"/>
      <c r="U33" s="7466"/>
      <c r="V33" s="7466"/>
      <c r="W33" s="7466"/>
      <c r="X33" s="7466"/>
      <c r="Y33" s="7466"/>
      <c r="Z33" s="7466"/>
      <c r="AA33" s="7466"/>
      <c r="AB33" s="7466"/>
      <c r="AC33" s="7466"/>
      <c r="AD33" s="7466"/>
      <c r="AE33" s="7466"/>
      <c r="AF33" s="7466"/>
      <c r="AG33" s="7466"/>
      <c r="AH33" s="7466"/>
      <c r="AI33" s="7466"/>
      <c r="AJ33" s="7466"/>
      <c r="AK33" s="7466"/>
      <c r="AL33" s="780"/>
      <c r="AM33" s="1949"/>
      <c r="AN33" s="1949"/>
      <c r="AS33" s="1949"/>
      <c r="AV33" s="781"/>
      <c r="BB33" s="1945"/>
      <c r="BC33" s="1945"/>
      <c r="BD33" s="1945"/>
      <c r="BE33" s="1945"/>
      <c r="BF33" s="1945"/>
    </row>
    <row s="11074" customFormat="1" customHeight="1" ht="22.5">
      <c r="A34" s="1243"/>
      <c r="C34" s="1949"/>
      <c r="D34" s="1951"/>
      <c r="E34" s="1977" t="s">
        <v>1670</v>
      </c>
      <c r="F34" s="927" t="s">
        <v>1865</v>
      </c>
      <c r="G34" s="1967" t="s">
        <v>1772</v>
      </c>
      <c r="H34" s="794"/>
      <c r="I34" s="794"/>
      <c r="J34" s="7466"/>
      <c r="K34" s="7466"/>
      <c r="L34" s="7466"/>
      <c r="M34" s="7466"/>
      <c r="N34" s="7466"/>
      <c r="O34" s="7466"/>
      <c r="P34" s="7466"/>
      <c r="Q34" s="7466"/>
      <c r="R34" s="7466"/>
      <c r="S34" s="7466"/>
      <c r="T34" s="7466"/>
      <c r="U34" s="7466"/>
      <c r="V34" s="7466"/>
      <c r="W34" s="7466"/>
      <c r="X34" s="7466"/>
      <c r="Y34" s="7466"/>
      <c r="Z34" s="7466"/>
      <c r="AA34" s="7466"/>
      <c r="AB34" s="7466"/>
      <c r="AC34" s="7466"/>
      <c r="AD34" s="7466"/>
      <c r="AE34" s="7466"/>
      <c r="AF34" s="7466"/>
      <c r="AG34" s="7466"/>
      <c r="AH34" s="7466"/>
      <c r="AI34" s="7466"/>
      <c r="AJ34" s="7466"/>
      <c r="AK34" s="7466"/>
      <c r="AL34" s="780"/>
      <c r="AM34" s="1949"/>
      <c r="AN34" s="1949"/>
      <c r="AS34" s="1949"/>
      <c r="AV34" s="781"/>
      <c r="BB34" s="1945"/>
      <c r="BC34" s="1945"/>
      <c r="BD34" s="1945"/>
      <c r="BE34" s="1945"/>
      <c r="BF34" s="1945"/>
    </row>
    <row s="11074" customFormat="1" customHeight="1" ht="33.75">
      <c r="A35" s="1243"/>
      <c r="C35" s="1949" t="s">
        <v>1793</v>
      </c>
      <c r="D35" s="1951"/>
      <c r="E35" s="1977" t="s">
        <v>111</v>
      </c>
      <c r="F35" s="1974" t="s">
        <v>703</v>
      </c>
      <c r="G35" s="1970" t="s">
        <v>368</v>
      </c>
      <c r="H35" s="636"/>
      <c r="I35" s="636"/>
      <c r="J35" s="7092"/>
      <c r="K35" s="7092"/>
      <c r="L35" s="7092"/>
      <c r="M35" s="7092"/>
      <c r="N35" s="7092"/>
      <c r="O35" s="7092"/>
      <c r="P35" s="7092"/>
      <c r="Q35" s="7092"/>
      <c r="R35" s="7092"/>
      <c r="S35" s="7092"/>
      <c r="T35" s="7092"/>
      <c r="U35" s="7092"/>
      <c r="V35" s="7092"/>
      <c r="W35" s="7092"/>
      <c r="X35" s="7092"/>
      <c r="Y35" s="7092"/>
      <c r="Z35" s="7092"/>
      <c r="AA35" s="7092"/>
      <c r="AB35" s="7092"/>
      <c r="AC35" s="7092"/>
      <c r="AD35" s="7092"/>
      <c r="AE35" s="7092"/>
      <c r="AF35" s="7092"/>
      <c r="AG35" s="7092"/>
      <c r="AH35" s="7092"/>
      <c r="AI35" s="7092"/>
      <c r="AJ35" s="7092"/>
      <c r="AK35" s="7092"/>
      <c r="AL35" s="780"/>
      <c r="AM35" s="1949"/>
      <c r="AN35" s="1949"/>
      <c r="AS35" s="1949"/>
      <c r="AV35" s="781"/>
      <c r="BB35" s="1945"/>
      <c r="BC35" s="1945"/>
      <c r="BD35" s="1945"/>
      <c r="BE35" s="1945"/>
      <c r="BF35" s="1945"/>
    </row>
    <row s="11074" customFormat="1" customHeight="1" ht="22.5">
      <c r="A36" s="1243"/>
      <c r="C36" s="1949"/>
      <c r="D36" s="1951"/>
      <c r="E36" s="1977" t="s">
        <v>92</v>
      </c>
      <c r="F36" s="1974" t="s">
        <v>1889</v>
      </c>
      <c r="G36" s="1967" t="s">
        <v>1868</v>
      </c>
      <c r="H36" s="782"/>
      <c r="I36" s="782"/>
      <c r="J36" s="7450"/>
      <c r="K36" s="7450"/>
      <c r="L36" s="7450"/>
      <c r="M36" s="7450"/>
      <c r="N36" s="7450"/>
      <c r="O36" s="7450"/>
      <c r="P36" s="7450"/>
      <c r="Q36" s="7450"/>
      <c r="R36" s="7450"/>
      <c r="S36" s="7450"/>
      <c r="T36" s="7450"/>
      <c r="U36" s="7450"/>
      <c r="V36" s="7450"/>
      <c r="W36" s="7450"/>
      <c r="X36" s="7450"/>
      <c r="Y36" s="7450"/>
      <c r="Z36" s="7450"/>
      <c r="AA36" s="7450"/>
      <c r="AB36" s="7450"/>
      <c r="AC36" s="7450"/>
      <c r="AD36" s="7450"/>
      <c r="AE36" s="7450"/>
      <c r="AF36" s="7450"/>
      <c r="AG36" s="7450"/>
      <c r="AH36" s="7450"/>
      <c r="AI36" s="7450"/>
      <c r="AJ36" s="7450"/>
      <c r="AK36" s="7450"/>
      <c r="AL36" s="780"/>
      <c r="AM36" s="1949"/>
      <c r="AN36" s="1949"/>
      <c r="AS36" s="1949"/>
      <c r="AV36" s="781"/>
      <c r="BB36" s="1945"/>
      <c r="BC36" s="1945"/>
      <c r="BD36" s="1945"/>
      <c r="BE36" s="1945"/>
      <c r="BF36" s="1945"/>
    </row>
    <row s="11074" customFormat="1" customHeight="1" ht="22.5">
      <c r="A37" s="1243"/>
      <c r="C37" s="1949"/>
      <c r="D37" s="1951"/>
      <c r="E37" s="1977" t="s">
        <v>93</v>
      </c>
      <c r="F37" s="1974" t="s">
        <v>1890</v>
      </c>
      <c r="G37" s="1967" t="s">
        <v>1870</v>
      </c>
      <c r="H37" s="782"/>
      <c r="I37" s="782"/>
      <c r="J37" s="7450"/>
      <c r="K37" s="7450"/>
      <c r="L37" s="7450"/>
      <c r="M37" s="7450"/>
      <c r="N37" s="7450"/>
      <c r="O37" s="7450"/>
      <c r="P37" s="7450"/>
      <c r="Q37" s="7450"/>
      <c r="R37" s="7450"/>
      <c r="S37" s="7450"/>
      <c r="T37" s="7450"/>
      <c r="U37" s="7450"/>
      <c r="V37" s="7450"/>
      <c r="W37" s="7450"/>
      <c r="X37" s="7450"/>
      <c r="Y37" s="7450"/>
      <c r="Z37" s="7450"/>
      <c r="AA37" s="7450"/>
      <c r="AB37" s="7450"/>
      <c r="AC37" s="7450"/>
      <c r="AD37" s="7450"/>
      <c r="AE37" s="7450"/>
      <c r="AF37" s="7450"/>
      <c r="AG37" s="7450"/>
      <c r="AH37" s="7450"/>
      <c r="AI37" s="7450"/>
      <c r="AJ37" s="7450"/>
      <c r="AK37" s="7450"/>
      <c r="AL37" s="780"/>
      <c r="AM37" s="1949"/>
      <c r="AN37" s="1949"/>
      <c r="AS37" s="1949"/>
      <c r="AV37" s="781"/>
      <c r="BB37" s="1945"/>
      <c r="BC37" s="1945"/>
      <c r="BD37" s="1945"/>
      <c r="BE37" s="1945"/>
      <c r="BF37" s="1945"/>
    </row>
    <row customHeight="1" ht="11.25">
      <c r="D38" s="1951"/>
      <c r="J38" s="6985"/>
      <c r="K38" s="6985"/>
      <c r="L38" s="6985"/>
      <c r="M38" s="6985"/>
      <c r="N38" s="6985"/>
      <c r="O38" s="6985"/>
      <c r="P38" s="6985"/>
      <c r="Q38" s="6985"/>
      <c r="R38" s="6985"/>
      <c r="S38" s="6985"/>
      <c r="T38" s="6985"/>
      <c r="U38" s="6985"/>
      <c r="V38" s="6985"/>
      <c r="W38" s="6985"/>
      <c r="X38" s="6985"/>
      <c r="Y38" s="6985"/>
      <c r="Z38" s="6985"/>
      <c r="AA38" s="6985"/>
      <c r="AB38" s="6985"/>
      <c r="AC38" s="6985"/>
      <c r="AD38" s="6985"/>
      <c r="AE38" s="6985"/>
      <c r="AF38" s="6985"/>
      <c r="AG38" s="6985"/>
      <c r="AH38" s="6985"/>
      <c r="AI38" s="6985"/>
      <c r="AJ38" s="6985"/>
      <c r="AK38" s="6985"/>
    </row>
    <row customHeight="1" ht="26.25">
      <c r="D39" s="1951"/>
      <c r="E39" s="1533" t="s">
        <v>1565</v>
      </c>
      <c r="F39" s="2452" t="s">
        <v>1891</v>
      </c>
      <c r="G39" s="2452"/>
      <c r="H39" s="2452"/>
      <c r="I39" s="2452"/>
      <c r="J39" s="7803"/>
      <c r="K39" s="7803"/>
      <c r="L39" s="7803"/>
      <c r="M39" s="7803"/>
      <c r="N39" s="7803"/>
      <c r="O39" s="7803"/>
      <c r="P39" s="7803"/>
      <c r="Q39" s="7803"/>
      <c r="R39" s="7803"/>
      <c r="S39" s="7803"/>
      <c r="T39" s="7803"/>
      <c r="U39" s="7803"/>
      <c r="V39" s="7803"/>
      <c r="W39" s="7803"/>
      <c r="X39" s="7803"/>
      <c r="Y39" s="7803"/>
      <c r="Z39" s="7803"/>
      <c r="AA39" s="7803"/>
      <c r="AB39" s="7803"/>
      <c r="AC39" s="7803"/>
      <c r="AD39" s="7803"/>
      <c r="AE39" s="7803"/>
      <c r="AF39" s="7803"/>
      <c r="AG39" s="7803"/>
      <c r="AH39" s="7803"/>
      <c r="AI39" s="7803"/>
      <c r="AJ39" s="7803"/>
      <c r="AK39" s="7803"/>
    </row>
    <row s="10822" customFormat="1" customHeight="1" ht="37.5">
      <c r="A40" s="1243"/>
      <c r="B40" s="1949"/>
      <c r="C40" s="1949"/>
      <c r="D40" s="572"/>
      <c r="F40" s="2452" t="s">
        <v>1892</v>
      </c>
      <c r="G40" s="2452"/>
      <c r="H40" s="2452"/>
      <c r="I40" s="2452"/>
      <c r="J40" s="7803"/>
      <c r="K40" s="7803"/>
      <c r="L40" s="7803"/>
      <c r="M40" s="7803"/>
      <c r="N40" s="7803"/>
      <c r="O40" s="7803"/>
      <c r="P40" s="7803"/>
      <c r="Q40" s="7803"/>
      <c r="R40" s="7803"/>
      <c r="S40" s="7803"/>
      <c r="T40" s="7803"/>
      <c r="U40" s="7803"/>
      <c r="V40" s="7803"/>
      <c r="W40" s="7803"/>
      <c r="X40" s="7803"/>
      <c r="Y40" s="7803"/>
      <c r="Z40" s="7803"/>
      <c r="AA40" s="7803"/>
      <c r="AB40" s="7803"/>
      <c r="AC40" s="7803"/>
      <c r="AD40" s="7803"/>
      <c r="AE40" s="7803"/>
      <c r="AF40" s="7803"/>
      <c r="AG40" s="7803"/>
      <c r="AH40" s="7803"/>
      <c r="AI40" s="7803"/>
      <c r="AJ40" s="7803"/>
      <c r="AK40" s="7803"/>
      <c r="AL40" s="1421"/>
      <c r="AM40" s="1949"/>
      <c r="AN40" s="1949"/>
      <c r="AO40" s="1421"/>
      <c r="AP40" s="1421"/>
      <c r="AQ40" s="1421"/>
      <c r="AR40" s="1421"/>
      <c r="AS40" s="1949"/>
      <c r="AT40" s="1421"/>
      <c r="AU40" s="1421"/>
      <c r="AV40" s="781"/>
      <c r="AW40" s="1421"/>
      <c r="AX40" s="1421"/>
      <c r="AY40" s="1421"/>
      <c r="AZ40" s="1421"/>
      <c r="BA40" s="1421"/>
      <c r="BB40" s="1945"/>
      <c r="BC40" s="803"/>
      <c r="BD40" s="803"/>
      <c r="BE40" s="803"/>
      <c r="BF40" s="803"/>
    </row>
    <row s="10822" customFormat="1" customHeight="1" ht="11.25">
      <c r="A41" s="1243"/>
      <c r="B41" s="1949"/>
      <c r="C41" s="1949"/>
      <c r="D41" s="572"/>
      <c r="J41" s="7715"/>
      <c r="K41" s="7715"/>
      <c r="L41" s="7715"/>
      <c r="M41" s="7715"/>
      <c r="N41" s="7715"/>
      <c r="O41" s="7715"/>
      <c r="P41" s="7715"/>
      <c r="Q41" s="7715"/>
      <c r="R41" s="7715"/>
      <c r="S41" s="7715"/>
      <c r="T41" s="7715"/>
      <c r="U41" s="7715"/>
      <c r="V41" s="7715"/>
      <c r="W41" s="7715"/>
      <c r="X41" s="7715"/>
      <c r="Y41" s="7715"/>
      <c r="Z41" s="7715"/>
      <c r="AA41" s="7715"/>
      <c r="AB41" s="7715"/>
      <c r="AC41" s="7715"/>
      <c r="AD41" s="7715"/>
      <c r="AE41" s="7715"/>
      <c r="AF41" s="7715"/>
      <c r="AG41" s="7715"/>
      <c r="AH41" s="7715"/>
      <c r="AI41" s="7715"/>
      <c r="AJ41" s="7715"/>
      <c r="AK41" s="7715"/>
      <c r="AL41" s="1421"/>
      <c r="AM41" s="1949"/>
      <c r="AN41" s="1949"/>
      <c r="AO41" s="1421"/>
      <c r="AP41" s="1421"/>
      <c r="AQ41" s="1421"/>
      <c r="AR41" s="1421"/>
      <c r="AS41" s="1949"/>
      <c r="AT41" s="1421"/>
      <c r="AU41" s="1421"/>
      <c r="AV41" s="781"/>
      <c r="AW41" s="1421"/>
      <c r="AX41" s="1421"/>
      <c r="AY41" s="1421"/>
      <c r="AZ41" s="1421"/>
      <c r="BA41" s="1421"/>
      <c r="BB41" s="1945"/>
      <c r="BC41" s="803"/>
      <c r="BD41" s="803"/>
      <c r="BE41" s="803"/>
      <c r="BF41" s="803"/>
    </row>
    <row s="10822" customFormat="1" customHeight="1" ht="11.25">
      <c r="A42" s="1243"/>
      <c r="B42" s="1949"/>
      <c r="C42" s="1949"/>
      <c r="D42" s="572"/>
      <c r="J42" s="7715"/>
      <c r="K42" s="7715"/>
      <c r="L42" s="7715"/>
      <c r="M42" s="7715"/>
      <c r="N42" s="7715"/>
      <c r="O42" s="7715"/>
      <c r="P42" s="7715"/>
      <c r="Q42" s="7715"/>
      <c r="R42" s="7715"/>
      <c r="S42" s="7715"/>
      <c r="T42" s="7715"/>
      <c r="U42" s="7715"/>
      <c r="V42" s="7715"/>
      <c r="W42" s="7715"/>
      <c r="X42" s="7715"/>
      <c r="Y42" s="7715"/>
      <c r="Z42" s="7715"/>
      <c r="AA42" s="7715"/>
      <c r="AB42" s="7715"/>
      <c r="AC42" s="7715"/>
      <c r="AD42" s="7715"/>
      <c r="AE42" s="7715"/>
      <c r="AF42" s="7715"/>
      <c r="AG42" s="7715"/>
      <c r="AH42" s="7715"/>
      <c r="AI42" s="7715"/>
      <c r="AJ42" s="7715"/>
      <c r="AK42" s="7715"/>
      <c r="AL42" s="1421"/>
      <c r="AM42" s="1949"/>
      <c r="AN42" s="1949"/>
      <c r="AO42" s="1421"/>
      <c r="AP42" s="1421"/>
      <c r="AQ42" s="1421"/>
      <c r="AR42" s="1421"/>
      <c r="AS42" s="1949"/>
      <c r="AT42" s="1421"/>
      <c r="AU42" s="1421"/>
      <c r="AV42" s="781"/>
      <c r="AW42" s="1421"/>
      <c r="AX42" s="1421"/>
      <c r="AY42" s="1421"/>
      <c r="AZ42" s="1421"/>
      <c r="BA42" s="1421"/>
      <c r="BB42" s="1945"/>
      <c r="BC42" s="803"/>
      <c r="BD42" s="803"/>
      <c r="BE42" s="803"/>
      <c r="BF42" s="803"/>
    </row>
    <row s="10822" customFormat="1" customHeight="1" ht="11.25">
      <c r="A43" s="1243"/>
      <c r="B43" s="1949"/>
      <c r="C43" s="1949"/>
      <c r="D43" s="572"/>
      <c r="H43" s="803"/>
      <c r="I43" s="803"/>
      <c r="J43" s="7716"/>
      <c r="K43" s="7716"/>
      <c r="L43" s="7716"/>
      <c r="M43" s="7716"/>
      <c r="N43" s="7716"/>
      <c r="O43" s="7716"/>
      <c r="P43" s="7716"/>
      <c r="Q43" s="7716"/>
      <c r="R43" s="7716"/>
      <c r="S43" s="7716"/>
      <c r="T43" s="7716"/>
      <c r="U43" s="7716"/>
      <c r="V43" s="7716"/>
      <c r="W43" s="7716"/>
      <c r="X43" s="7716"/>
      <c r="Y43" s="7716"/>
      <c r="Z43" s="7716"/>
      <c r="AA43" s="7716"/>
      <c r="AB43" s="7716"/>
      <c r="AC43" s="7716"/>
      <c r="AD43" s="7716"/>
      <c r="AE43" s="7716"/>
      <c r="AF43" s="7716"/>
      <c r="AG43" s="7716"/>
      <c r="AH43" s="7716"/>
      <c r="AI43" s="7716"/>
      <c r="AJ43" s="7716"/>
      <c r="AK43" s="7716"/>
      <c r="AL43" s="1421"/>
      <c r="AM43" s="1949"/>
      <c r="AN43" s="1949"/>
      <c r="AO43" s="1421"/>
      <c r="AP43" s="1421"/>
      <c r="AQ43" s="1421"/>
      <c r="AR43" s="1421"/>
      <c r="AS43" s="1949"/>
      <c r="AT43" s="1421"/>
      <c r="AU43" s="1421"/>
      <c r="AV43" s="781"/>
      <c r="AW43" s="1421"/>
      <c r="AX43" s="1421"/>
      <c r="AY43" s="1421"/>
      <c r="AZ43" s="1421"/>
      <c r="BA43" s="1421"/>
      <c r="BB43" s="1945"/>
      <c r="BC43" s="803"/>
      <c r="BD43" s="803"/>
      <c r="BE43" s="803"/>
      <c r="BF43" s="803"/>
    </row>
    <row s="10822" customFormat="1" customHeight="1" ht="11.25">
      <c r="A44" s="1243"/>
      <c r="B44" s="1949"/>
      <c r="C44" s="1949"/>
      <c r="D44" s="572"/>
      <c r="J44" s="7715"/>
      <c r="K44" s="7715"/>
      <c r="L44" s="7715"/>
      <c r="M44" s="7715"/>
      <c r="N44" s="7715"/>
      <c r="O44" s="7715"/>
      <c r="P44" s="7715"/>
      <c r="Q44" s="7715"/>
      <c r="R44" s="7715"/>
      <c r="S44" s="7715"/>
      <c r="T44" s="7715"/>
      <c r="U44" s="7715"/>
      <c r="V44" s="7715"/>
      <c r="W44" s="7715"/>
      <c r="X44" s="7715"/>
      <c r="Y44" s="7715"/>
      <c r="Z44" s="7715"/>
      <c r="AA44" s="7715"/>
      <c r="AB44" s="7715"/>
      <c r="AC44" s="7715"/>
      <c r="AD44" s="7715"/>
      <c r="AE44" s="7715"/>
      <c r="AF44" s="7715"/>
      <c r="AG44" s="7715"/>
      <c r="AH44" s="7715"/>
      <c r="AI44" s="7715"/>
      <c r="AJ44" s="7715"/>
      <c r="AK44" s="7715"/>
      <c r="AL44" s="1421"/>
      <c r="AM44" s="1949"/>
      <c r="AN44" s="1949"/>
      <c r="AO44" s="1421"/>
      <c r="AP44" s="1421"/>
      <c r="AQ44" s="1421"/>
      <c r="AR44" s="1421"/>
      <c r="AS44" s="1949"/>
      <c r="AT44" s="1421"/>
      <c r="AU44" s="1421"/>
      <c r="AV44" s="781"/>
      <c r="AW44" s="1421"/>
      <c r="AX44" s="1421"/>
      <c r="AY44" s="1421"/>
      <c r="AZ44" s="1421"/>
      <c r="BA44" s="1421"/>
      <c r="BB44" s="1945"/>
      <c r="BC44" s="803"/>
      <c r="BD44" s="803"/>
      <c r="BE44" s="803"/>
      <c r="BF44" s="803"/>
    </row>
    <row s="10822" customFormat="1" customHeight="1" ht="11.25">
      <c r="A45" s="1243"/>
      <c r="B45" s="1949"/>
      <c r="C45" s="1949"/>
      <c r="D45" s="572"/>
      <c r="J45" s="7715"/>
      <c r="K45" s="7715"/>
      <c r="L45" s="7715"/>
      <c r="M45" s="7715"/>
      <c r="N45" s="7715"/>
      <c r="O45" s="7715"/>
      <c r="P45" s="7715"/>
      <c r="Q45" s="7715"/>
      <c r="R45" s="7715"/>
      <c r="S45" s="7715"/>
      <c r="T45" s="7715"/>
      <c r="U45" s="7715"/>
      <c r="V45" s="7715"/>
      <c r="W45" s="7715"/>
      <c r="X45" s="7715"/>
      <c r="Y45" s="7715"/>
      <c r="Z45" s="7715"/>
      <c r="AA45" s="7715"/>
      <c r="AB45" s="7715"/>
      <c r="AC45" s="7715"/>
      <c r="AD45" s="7715"/>
      <c r="AE45" s="7715"/>
      <c r="AF45" s="7715"/>
      <c r="AG45" s="7715"/>
      <c r="AH45" s="7715"/>
      <c r="AI45" s="7715"/>
      <c r="AJ45" s="7715"/>
      <c r="AK45" s="7715"/>
      <c r="AL45" s="1421"/>
      <c r="AM45" s="1949"/>
      <c r="AN45" s="1949"/>
      <c r="AO45" s="1421"/>
      <c r="AP45" s="1421"/>
      <c r="AQ45" s="1421"/>
      <c r="AR45" s="1421"/>
      <c r="AS45" s="1949"/>
      <c r="AT45" s="1421"/>
      <c r="AU45" s="1421"/>
      <c r="AV45" s="781"/>
      <c r="AW45" s="1421"/>
      <c r="AX45" s="1421"/>
      <c r="AY45" s="1421"/>
      <c r="AZ45" s="1421"/>
      <c r="BA45" s="1421"/>
      <c r="BB45" s="1945"/>
      <c r="BC45" s="803"/>
      <c r="BD45" s="803"/>
      <c r="BE45" s="803"/>
      <c r="BF45" s="803"/>
    </row>
    <row s="10822" customFormat="1" customHeight="1" ht="11.25">
      <c r="A46" s="1243"/>
      <c r="B46" s="1949"/>
      <c r="C46" s="1949"/>
      <c r="D46" s="572"/>
      <c r="J46" s="7715"/>
      <c r="K46" s="7715"/>
      <c r="L46" s="7715"/>
      <c r="M46" s="7715"/>
      <c r="N46" s="7715"/>
      <c r="O46" s="7715"/>
      <c r="P46" s="7715"/>
      <c r="Q46" s="7715"/>
      <c r="R46" s="7715"/>
      <c r="S46" s="7715"/>
      <c r="T46" s="7715"/>
      <c r="U46" s="7715"/>
      <c r="V46" s="7715"/>
      <c r="W46" s="7715"/>
      <c r="X46" s="7715"/>
      <c r="Y46" s="7715"/>
      <c r="Z46" s="7715"/>
      <c r="AA46" s="7715"/>
      <c r="AB46" s="7715"/>
      <c r="AC46" s="7715"/>
      <c r="AD46" s="7715"/>
      <c r="AE46" s="7715"/>
      <c r="AF46" s="7715"/>
      <c r="AG46" s="7715"/>
      <c r="AH46" s="7715"/>
      <c r="AI46" s="7715"/>
      <c r="AJ46" s="7715"/>
      <c r="AK46" s="7715"/>
      <c r="AL46" s="1421"/>
      <c r="AM46" s="1949"/>
      <c r="AN46" s="1949"/>
      <c r="AO46" s="1421"/>
      <c r="AP46" s="1421"/>
      <c r="AQ46" s="1421"/>
      <c r="AR46" s="1421"/>
      <c r="AS46" s="1949"/>
      <c r="AT46" s="1421"/>
      <c r="AU46" s="1421"/>
      <c r="AV46" s="781"/>
      <c r="AW46" s="1421"/>
      <c r="AX46" s="1421"/>
      <c r="AY46" s="1421"/>
      <c r="AZ46" s="1421"/>
      <c r="BA46" s="1421"/>
      <c r="BB46" s="1945"/>
      <c r="BC46" s="803"/>
      <c r="BD46" s="803"/>
      <c r="BE46" s="803"/>
      <c r="BF46" s="803"/>
    </row>
    <row s="10822" customFormat="1" customHeight="1" ht="11.25">
      <c r="A47" s="1243"/>
      <c r="B47" s="1949"/>
      <c r="C47" s="1949"/>
      <c r="D47" s="572"/>
      <c r="J47" s="7715"/>
      <c r="K47" s="7715"/>
      <c r="L47" s="7715"/>
      <c r="M47" s="7715"/>
      <c r="N47" s="7715"/>
      <c r="O47" s="7715"/>
      <c r="P47" s="7715"/>
      <c r="Q47" s="7715"/>
      <c r="R47" s="7715"/>
      <c r="S47" s="7715"/>
      <c r="T47" s="7715"/>
      <c r="U47" s="7715"/>
      <c r="V47" s="7715"/>
      <c r="W47" s="7715"/>
      <c r="X47" s="7715"/>
      <c r="Y47" s="7715"/>
      <c r="Z47" s="7715"/>
      <c r="AA47" s="7715"/>
      <c r="AB47" s="7715"/>
      <c r="AC47" s="7715"/>
      <c r="AD47" s="7715"/>
      <c r="AE47" s="7715"/>
      <c r="AF47" s="7715"/>
      <c r="AG47" s="7715"/>
      <c r="AH47" s="7715"/>
      <c r="AI47" s="7715"/>
      <c r="AJ47" s="7715"/>
      <c r="AK47" s="7715"/>
      <c r="AL47" s="1421"/>
      <c r="AM47" s="1949"/>
      <c r="AN47" s="1949"/>
      <c r="AO47" s="1421"/>
      <c r="AP47" s="1421"/>
      <c r="AQ47" s="1421"/>
      <c r="AR47" s="1421"/>
      <c r="AS47" s="1949"/>
      <c r="AT47" s="1421"/>
      <c r="AU47" s="1421"/>
      <c r="AV47" s="781"/>
      <c r="AW47" s="1421"/>
      <c r="AX47" s="1421"/>
      <c r="AY47" s="1421"/>
      <c r="AZ47" s="1421"/>
      <c r="BA47" s="1421"/>
      <c r="BB47" s="1945"/>
      <c r="BC47" s="803"/>
      <c r="BD47" s="803"/>
      <c r="BE47" s="803"/>
      <c r="BF47" s="803"/>
    </row>
    <row s="10822" customFormat="1" customHeight="1" ht="11.25">
      <c r="A48" s="1243"/>
      <c r="B48" s="1949"/>
      <c r="C48" s="1949"/>
      <c r="D48" s="572"/>
      <c r="J48" s="7715"/>
      <c r="K48" s="7715"/>
      <c r="L48" s="7715"/>
      <c r="M48" s="7715"/>
      <c r="N48" s="7715"/>
      <c r="O48" s="7715"/>
      <c r="P48" s="7715"/>
      <c r="Q48" s="7715"/>
      <c r="R48" s="7715"/>
      <c r="S48" s="7715"/>
      <c r="T48" s="7715"/>
      <c r="U48" s="7715"/>
      <c r="V48" s="7715"/>
      <c r="W48" s="7715"/>
      <c r="X48" s="7715"/>
      <c r="Y48" s="7715"/>
      <c r="Z48" s="7715"/>
      <c r="AA48" s="7715"/>
      <c r="AB48" s="7715"/>
      <c r="AC48" s="7715"/>
      <c r="AD48" s="7715"/>
      <c r="AE48" s="7715"/>
      <c r="AF48" s="7715"/>
      <c r="AG48" s="7715"/>
      <c r="AH48" s="7715"/>
      <c r="AI48" s="7715"/>
      <c r="AJ48" s="7715"/>
      <c r="AK48" s="7715"/>
      <c r="AL48" s="1421"/>
      <c r="AM48" s="1949"/>
      <c r="AN48" s="1949"/>
      <c r="AO48" s="1421"/>
      <c r="AP48" s="1421"/>
      <c r="AQ48" s="1421"/>
      <c r="AR48" s="1421"/>
      <c r="AS48" s="1949"/>
      <c r="AT48" s="1421"/>
      <c r="AU48" s="1421"/>
      <c r="AV48" s="781"/>
      <c r="AW48" s="1421"/>
      <c r="AX48" s="1421"/>
      <c r="AY48" s="1421"/>
      <c r="AZ48" s="1421"/>
      <c r="BA48" s="1421"/>
      <c r="BB48" s="1945"/>
      <c r="BC48" s="803"/>
      <c r="BD48" s="803"/>
      <c r="BE48" s="803"/>
      <c r="BF48" s="803"/>
    </row>
    <row s="10822" customFormat="1" customHeight="1" ht="11.25">
      <c r="A49" s="1243"/>
      <c r="B49" s="1949"/>
      <c r="C49" s="1949"/>
      <c r="D49" s="572"/>
      <c r="J49" s="7715"/>
      <c r="K49" s="7715"/>
      <c r="L49" s="7715"/>
      <c r="M49" s="7715"/>
      <c r="N49" s="7715"/>
      <c r="O49" s="7715"/>
      <c r="P49" s="7715"/>
      <c r="Q49" s="7715"/>
      <c r="R49" s="7715"/>
      <c r="S49" s="7715"/>
      <c r="T49" s="7715"/>
      <c r="U49" s="7715"/>
      <c r="V49" s="7715"/>
      <c r="W49" s="7715"/>
      <c r="X49" s="7715"/>
      <c r="Y49" s="7715"/>
      <c r="Z49" s="7715"/>
      <c r="AA49" s="7715"/>
      <c r="AB49" s="7715"/>
      <c r="AC49" s="7715"/>
      <c r="AD49" s="7715"/>
      <c r="AE49" s="7715"/>
      <c r="AF49" s="7715"/>
      <c r="AG49" s="7715"/>
      <c r="AH49" s="7715"/>
      <c r="AI49" s="7715"/>
      <c r="AJ49" s="7715"/>
      <c r="AK49" s="7715"/>
      <c r="AL49" s="1421"/>
      <c r="AM49" s="1949"/>
      <c r="AN49" s="1949"/>
      <c r="AO49" s="1421"/>
      <c r="AP49" s="1421"/>
      <c r="AQ49" s="1421"/>
      <c r="AR49" s="1421"/>
      <c r="AS49" s="1949"/>
      <c r="AT49" s="1421"/>
      <c r="AU49" s="1421"/>
      <c r="AV49" s="781"/>
      <c r="AW49" s="1421"/>
      <c r="AX49" s="1421"/>
      <c r="AY49" s="1421"/>
      <c r="AZ49" s="1421"/>
      <c r="BA49" s="1421"/>
      <c r="BB49" s="1945"/>
      <c r="BC49" s="803"/>
      <c r="BD49" s="803"/>
      <c r="BE49" s="803"/>
      <c r="BF49" s="803"/>
    </row>
    <row s="10822" customFormat="1" customHeight="1" ht="11.25">
      <c r="A50" s="1243"/>
      <c r="B50" s="1949"/>
      <c r="C50" s="1949"/>
      <c r="D50" s="572"/>
      <c r="J50" s="7715"/>
      <c r="K50" s="7715"/>
      <c r="L50" s="7715"/>
      <c r="M50" s="7715"/>
      <c r="N50" s="7715"/>
      <c r="O50" s="7715"/>
      <c r="P50" s="7715"/>
      <c r="Q50" s="7715"/>
      <c r="R50" s="7715"/>
      <c r="S50" s="7715"/>
      <c r="T50" s="7715"/>
      <c r="U50" s="7715"/>
      <c r="V50" s="7715"/>
      <c r="W50" s="7715"/>
      <c r="X50" s="7715"/>
      <c r="Y50" s="7715"/>
      <c r="Z50" s="7715"/>
      <c r="AA50" s="7715"/>
      <c r="AB50" s="7715"/>
      <c r="AC50" s="7715"/>
      <c r="AD50" s="7715"/>
      <c r="AE50" s="7715"/>
      <c r="AF50" s="7715"/>
      <c r="AG50" s="7715"/>
      <c r="AH50" s="7715"/>
      <c r="AI50" s="7715"/>
      <c r="AJ50" s="7715"/>
      <c r="AK50" s="7715"/>
      <c r="AL50" s="1421"/>
      <c r="AM50" s="1949"/>
      <c r="AN50" s="1949"/>
      <c r="AO50" s="1421"/>
      <c r="AP50" s="1421"/>
      <c r="AQ50" s="1421"/>
      <c r="AR50" s="1421"/>
      <c r="AS50" s="1949"/>
      <c r="AT50" s="1421"/>
      <c r="AU50" s="1421"/>
      <c r="AV50" s="781"/>
      <c r="AW50" s="1421"/>
      <c r="AX50" s="1421"/>
      <c r="AY50" s="1421"/>
      <c r="AZ50" s="1421"/>
      <c r="BA50" s="1421"/>
      <c r="BB50" s="1945"/>
      <c r="BC50" s="803"/>
      <c r="BD50" s="803"/>
      <c r="BE50" s="803"/>
      <c r="BF50" s="803"/>
    </row>
    <row s="10822" customFormat="1" customHeight="1" ht="11.25">
      <c r="A51" s="1243"/>
      <c r="B51" s="1949"/>
      <c r="C51" s="1949"/>
      <c r="D51" s="572"/>
      <c r="J51" s="7715"/>
      <c r="K51" s="7715"/>
      <c r="L51" s="7715"/>
      <c r="M51" s="7715"/>
      <c r="N51" s="7715"/>
      <c r="O51" s="7715"/>
      <c r="P51" s="7715"/>
      <c r="Q51" s="7715"/>
      <c r="R51" s="7715"/>
      <c r="S51" s="7715"/>
      <c r="T51" s="7715"/>
      <c r="U51" s="7715"/>
      <c r="V51" s="7715"/>
      <c r="W51" s="7715"/>
      <c r="X51" s="7715"/>
      <c r="Y51" s="7715"/>
      <c r="Z51" s="7715"/>
      <c r="AA51" s="7715"/>
      <c r="AB51" s="7715"/>
      <c r="AC51" s="7715"/>
      <c r="AD51" s="7715"/>
      <c r="AE51" s="7715"/>
      <c r="AF51" s="7715"/>
      <c r="AG51" s="7715"/>
      <c r="AH51" s="7715"/>
      <c r="AI51" s="7715"/>
      <c r="AJ51" s="7715"/>
      <c r="AK51" s="7715"/>
      <c r="AL51" s="1421"/>
      <c r="AM51" s="1949"/>
      <c r="AN51" s="1949"/>
      <c r="AO51" s="1421"/>
      <c r="AP51" s="1421"/>
      <c r="AQ51" s="1421"/>
      <c r="AR51" s="1421"/>
      <c r="AS51" s="1949"/>
      <c r="AT51" s="1421"/>
      <c r="AU51" s="1421"/>
      <c r="AV51" s="781"/>
      <c r="AW51" s="1421"/>
      <c r="AX51" s="1421"/>
      <c r="AY51" s="1421"/>
      <c r="AZ51" s="1421"/>
      <c r="BA51" s="1421"/>
      <c r="BB51" s="1945"/>
      <c r="BC51" s="803"/>
      <c r="BD51" s="803"/>
      <c r="BE51" s="803"/>
      <c r="BF51" s="803"/>
    </row>
    <row s="10822" customFormat="1" customHeight="1" ht="11.25">
      <c r="A52" s="1243"/>
      <c r="B52" s="1949"/>
      <c r="C52" s="1949"/>
      <c r="D52" s="572"/>
      <c r="J52" s="7715"/>
      <c r="K52" s="7715"/>
      <c r="L52" s="7715"/>
      <c r="M52" s="7715"/>
      <c r="N52" s="7715"/>
      <c r="O52" s="7715"/>
      <c r="P52" s="7715"/>
      <c r="Q52" s="7715"/>
      <c r="R52" s="7715"/>
      <c r="S52" s="7715"/>
      <c r="T52" s="7715"/>
      <c r="U52" s="7715"/>
      <c r="V52" s="7715"/>
      <c r="W52" s="7715"/>
      <c r="X52" s="7715"/>
      <c r="Y52" s="7715"/>
      <c r="Z52" s="7715"/>
      <c r="AA52" s="7715"/>
      <c r="AB52" s="7715"/>
      <c r="AC52" s="7715"/>
      <c r="AD52" s="7715"/>
      <c r="AE52" s="7715"/>
      <c r="AF52" s="7715"/>
      <c r="AG52" s="7715"/>
      <c r="AH52" s="7715"/>
      <c r="AI52" s="7715"/>
      <c r="AJ52" s="7715"/>
      <c r="AK52" s="7715"/>
      <c r="AL52" s="1421"/>
      <c r="AM52" s="1949"/>
      <c r="AN52" s="1949"/>
      <c r="AO52" s="1421"/>
      <c r="AP52" s="1421"/>
      <c r="AQ52" s="1421"/>
      <c r="AR52" s="1421"/>
      <c r="AS52" s="1949"/>
      <c r="AT52" s="1421"/>
      <c r="AU52" s="1421"/>
      <c r="AV52" s="781"/>
      <c r="AW52" s="1421"/>
      <c r="AX52" s="1421"/>
      <c r="AY52" s="1421"/>
      <c r="AZ52" s="1421"/>
      <c r="BA52" s="1421"/>
      <c r="BB52" s="1945"/>
      <c r="BC52" s="803"/>
      <c r="BD52" s="803"/>
      <c r="BE52" s="803"/>
      <c r="BF52" s="803"/>
    </row>
    <row s="10822" customFormat="1" customHeight="1" ht="11.25">
      <c r="A53" s="1243"/>
      <c r="B53" s="1949"/>
      <c r="C53" s="1949"/>
      <c r="D53" s="572"/>
      <c r="J53" s="7715"/>
      <c r="K53" s="7715"/>
      <c r="L53" s="7715"/>
      <c r="M53" s="7715"/>
      <c r="N53" s="7715"/>
      <c r="O53" s="7715"/>
      <c r="P53" s="7715"/>
      <c r="Q53" s="7715"/>
      <c r="R53" s="7715"/>
      <c r="S53" s="7715"/>
      <c r="T53" s="7715"/>
      <c r="U53" s="7715"/>
      <c r="V53" s="7715"/>
      <c r="W53" s="7715"/>
      <c r="X53" s="7715"/>
      <c r="Y53" s="7715"/>
      <c r="Z53" s="7715"/>
      <c r="AA53" s="7715"/>
      <c r="AB53" s="7715"/>
      <c r="AC53" s="7715"/>
      <c r="AD53" s="7715"/>
      <c r="AE53" s="7715"/>
      <c r="AF53" s="7715"/>
      <c r="AG53" s="7715"/>
      <c r="AH53" s="7715"/>
      <c r="AI53" s="7715"/>
      <c r="AJ53" s="7715"/>
      <c r="AK53" s="7715"/>
      <c r="AL53" s="1421"/>
      <c r="AM53" s="1949"/>
      <c r="AN53" s="1949"/>
      <c r="AO53" s="1421"/>
      <c r="AP53" s="1421"/>
      <c r="AQ53" s="1421"/>
      <c r="AR53" s="1421"/>
      <c r="AS53" s="1949"/>
      <c r="AT53" s="1421"/>
      <c r="AU53" s="1421"/>
      <c r="AV53" s="781"/>
      <c r="AW53" s="1421"/>
      <c r="AX53" s="1421"/>
      <c r="AY53" s="1421"/>
      <c r="AZ53" s="1421"/>
      <c r="BA53" s="1421"/>
      <c r="BB53" s="1945"/>
      <c r="BC53" s="803"/>
      <c r="BD53" s="803"/>
      <c r="BE53" s="803"/>
      <c r="BF53" s="803"/>
    </row>
    <row s="10822" customFormat="1" customHeight="1" ht="11.25">
      <c r="A54" s="1243"/>
      <c r="B54" s="1949"/>
      <c r="C54" s="1949"/>
      <c r="D54" s="572"/>
      <c r="J54" s="7715"/>
      <c r="K54" s="7715"/>
      <c r="L54" s="7715"/>
      <c r="M54" s="7715"/>
      <c r="N54" s="7715"/>
      <c r="O54" s="7715"/>
      <c r="P54" s="7715"/>
      <c r="Q54" s="7715"/>
      <c r="R54" s="7715"/>
      <c r="S54" s="7715"/>
      <c r="T54" s="7715"/>
      <c r="U54" s="7715"/>
      <c r="V54" s="7715"/>
      <c r="W54" s="7715"/>
      <c r="X54" s="7715"/>
      <c r="Y54" s="7715"/>
      <c r="Z54" s="7715"/>
      <c r="AA54" s="7715"/>
      <c r="AB54" s="7715"/>
      <c r="AC54" s="7715"/>
      <c r="AD54" s="7715"/>
      <c r="AE54" s="7715"/>
      <c r="AF54" s="7715"/>
      <c r="AG54" s="7715"/>
      <c r="AH54" s="7715"/>
      <c r="AI54" s="7715"/>
      <c r="AJ54" s="7715"/>
      <c r="AK54" s="7715"/>
      <c r="AL54" s="1421"/>
      <c r="AM54" s="1949"/>
      <c r="AN54" s="1949"/>
      <c r="AO54" s="1421"/>
      <c r="AP54" s="1421"/>
      <c r="AQ54" s="1421"/>
      <c r="AR54" s="1421"/>
      <c r="AS54" s="1949"/>
      <c r="AT54" s="1421"/>
      <c r="AU54" s="1421"/>
      <c r="AV54" s="781"/>
      <c r="AW54" s="1421"/>
      <c r="AX54" s="1421"/>
      <c r="AY54" s="1421"/>
      <c r="AZ54" s="1421"/>
      <c r="BA54" s="1421"/>
      <c r="BB54" s="1945"/>
      <c r="BC54" s="803"/>
      <c r="BD54" s="803"/>
      <c r="BE54" s="803"/>
      <c r="BF54" s="803"/>
    </row>
    <row s="10822" customFormat="1" customHeight="1" ht="11.25">
      <c r="A55" s="1243"/>
      <c r="B55" s="1949"/>
      <c r="C55" s="1949"/>
      <c r="D55" s="572"/>
      <c r="J55" s="7715"/>
      <c r="K55" s="7715"/>
      <c r="L55" s="7715"/>
      <c r="M55" s="7715"/>
      <c r="N55" s="7715"/>
      <c r="O55" s="7715"/>
      <c r="P55" s="7715"/>
      <c r="Q55" s="7715"/>
      <c r="R55" s="7715"/>
      <c r="S55" s="7715"/>
      <c r="T55" s="7715"/>
      <c r="U55" s="7715"/>
      <c r="V55" s="7715"/>
      <c r="W55" s="7715"/>
      <c r="X55" s="7715"/>
      <c r="Y55" s="7715"/>
      <c r="Z55" s="7715"/>
      <c r="AA55" s="7715"/>
      <c r="AB55" s="7715"/>
      <c r="AC55" s="7715"/>
      <c r="AD55" s="7715"/>
      <c r="AE55" s="7715"/>
      <c r="AF55" s="7715"/>
      <c r="AG55" s="7715"/>
      <c r="AH55" s="7715"/>
      <c r="AI55" s="7715"/>
      <c r="AJ55" s="7715"/>
      <c r="AK55" s="7715"/>
      <c r="AL55" s="1421"/>
      <c r="AM55" s="1949"/>
      <c r="AN55" s="1949"/>
      <c r="AO55" s="1421"/>
      <c r="AP55" s="1421"/>
      <c r="AQ55" s="1421"/>
      <c r="AR55" s="1421"/>
      <c r="AS55" s="1949"/>
      <c r="AT55" s="1421"/>
      <c r="AU55" s="1421"/>
      <c r="AV55" s="781"/>
      <c r="AW55" s="1421"/>
      <c r="AX55" s="1421"/>
      <c r="AY55" s="1421"/>
      <c r="AZ55" s="1421"/>
      <c r="BA55" s="1421"/>
      <c r="BB55" s="1945"/>
      <c r="BC55" s="803"/>
      <c r="BD55" s="803"/>
      <c r="BE55" s="803"/>
      <c r="BF55" s="803"/>
    </row>
    <row s="10822" customFormat="1" customHeight="1" ht="11.25">
      <c r="A56" s="1243"/>
      <c r="B56" s="1949"/>
      <c r="C56" s="1949"/>
      <c r="D56" s="572"/>
      <c r="J56" s="7715"/>
      <c r="K56" s="7715"/>
      <c r="L56" s="7715"/>
      <c r="M56" s="7715"/>
      <c r="N56" s="7715"/>
      <c r="O56" s="7715"/>
      <c r="P56" s="7715"/>
      <c r="Q56" s="7715"/>
      <c r="R56" s="7715"/>
      <c r="S56" s="7715"/>
      <c r="T56" s="7715"/>
      <c r="U56" s="7715"/>
      <c r="V56" s="7715"/>
      <c r="W56" s="7715"/>
      <c r="X56" s="7715"/>
      <c r="Y56" s="7715"/>
      <c r="Z56" s="7715"/>
      <c r="AA56" s="7715"/>
      <c r="AB56" s="7715"/>
      <c r="AC56" s="7715"/>
      <c r="AD56" s="7715"/>
      <c r="AE56" s="7715"/>
      <c r="AF56" s="7715"/>
      <c r="AG56" s="7715"/>
      <c r="AH56" s="7715"/>
      <c r="AI56" s="7715"/>
      <c r="AJ56" s="7715"/>
      <c r="AK56" s="7715"/>
      <c r="AL56" s="1421"/>
      <c r="AM56" s="1949"/>
      <c r="AN56" s="1949"/>
      <c r="AO56" s="1421"/>
      <c r="AP56" s="1421"/>
      <c r="AQ56" s="1421"/>
      <c r="AR56" s="1421"/>
      <c r="AS56" s="1949"/>
      <c r="AT56" s="1421"/>
      <c r="AU56" s="1421"/>
      <c r="AV56" s="781"/>
      <c r="AW56" s="1421"/>
      <c r="AX56" s="1421"/>
      <c r="AY56" s="1421"/>
      <c r="AZ56" s="1421"/>
      <c r="BA56" s="1421"/>
      <c r="BB56" s="1945"/>
      <c r="BC56" s="803"/>
      <c r="BD56" s="803"/>
      <c r="BE56" s="803"/>
      <c r="BF56" s="803"/>
    </row>
    <row s="10822" customFormat="1" customHeight="1" ht="11.25">
      <c r="A57" s="1243"/>
      <c r="B57" s="1949"/>
      <c r="C57" s="1949"/>
      <c r="D57" s="572"/>
      <c r="J57" s="7715"/>
      <c r="K57" s="7715"/>
      <c r="L57" s="7715"/>
      <c r="M57" s="7715"/>
      <c r="N57" s="7715"/>
      <c r="O57" s="7715"/>
      <c r="P57" s="7715"/>
      <c r="Q57" s="7715"/>
      <c r="R57" s="7715"/>
      <c r="S57" s="7715"/>
      <c r="T57" s="7715"/>
      <c r="U57" s="7715"/>
      <c r="V57" s="7715"/>
      <c r="W57" s="7715"/>
      <c r="X57" s="7715"/>
      <c r="Y57" s="7715"/>
      <c r="Z57" s="7715"/>
      <c r="AA57" s="7715"/>
      <c r="AB57" s="7715"/>
      <c r="AC57" s="7715"/>
      <c r="AD57" s="7715"/>
      <c r="AE57" s="7715"/>
      <c r="AF57" s="7715"/>
      <c r="AG57" s="7715"/>
      <c r="AH57" s="7715"/>
      <c r="AI57" s="7715"/>
      <c r="AJ57" s="7715"/>
      <c r="AK57" s="7715"/>
      <c r="AL57" s="1421"/>
      <c r="AM57" s="1949"/>
      <c r="AN57" s="1949"/>
      <c r="AO57" s="1421"/>
      <c r="AP57" s="1421"/>
      <c r="AQ57" s="1421"/>
      <c r="AR57" s="1421"/>
      <c r="AS57" s="1949"/>
      <c r="AT57" s="1421"/>
      <c r="AU57" s="1421"/>
      <c r="AV57" s="781"/>
      <c r="AW57" s="1421"/>
      <c r="AX57" s="1421"/>
      <c r="AY57" s="1421"/>
      <c r="AZ57" s="1421"/>
      <c r="BA57" s="1421"/>
      <c r="BB57" s="1945"/>
      <c r="BC57" s="803"/>
      <c r="BD57" s="803"/>
      <c r="BE57" s="803"/>
      <c r="BF57" s="803"/>
    </row>
    <row s="10822" customFormat="1" customHeight="1" ht="11.25">
      <c r="A58" s="1243"/>
      <c r="B58" s="1949"/>
      <c r="C58" s="1949"/>
      <c r="D58" s="572"/>
      <c r="J58" s="7715"/>
      <c r="K58" s="7715"/>
      <c r="L58" s="7715"/>
      <c r="M58" s="7715"/>
      <c r="N58" s="7715"/>
      <c r="O58" s="7715"/>
      <c r="P58" s="7715"/>
      <c r="Q58" s="7715"/>
      <c r="R58" s="7715"/>
      <c r="S58" s="7715"/>
      <c r="T58" s="7715"/>
      <c r="U58" s="7715"/>
      <c r="V58" s="7715"/>
      <c r="W58" s="7715"/>
      <c r="X58" s="7715"/>
      <c r="Y58" s="7715"/>
      <c r="Z58" s="7715"/>
      <c r="AA58" s="7715"/>
      <c r="AB58" s="7715"/>
      <c r="AC58" s="7715"/>
      <c r="AD58" s="7715"/>
      <c r="AE58" s="7715"/>
      <c r="AF58" s="7715"/>
      <c r="AG58" s="7715"/>
      <c r="AH58" s="7715"/>
      <c r="AI58" s="7715"/>
      <c r="AJ58" s="7715"/>
      <c r="AK58" s="7715"/>
      <c r="AL58" s="1421"/>
      <c r="AM58" s="1949"/>
      <c r="AN58" s="1949"/>
      <c r="AO58" s="1421"/>
      <c r="AP58" s="1421"/>
      <c r="AQ58" s="1421"/>
      <c r="AR58" s="1421"/>
      <c r="AS58" s="1949"/>
      <c r="AT58" s="1421"/>
      <c r="AU58" s="1421"/>
      <c r="AV58" s="781"/>
      <c r="AW58" s="1421"/>
      <c r="AX58" s="1421"/>
      <c r="AY58" s="1421"/>
      <c r="AZ58" s="1421"/>
      <c r="BA58" s="1421"/>
      <c r="BB58" s="1945"/>
      <c r="BC58" s="803"/>
      <c r="BD58" s="803"/>
      <c r="BE58" s="803"/>
      <c r="BF58" s="803"/>
    </row>
    <row s="10822" customFormat="1" customHeight="1" ht="11.25">
      <c r="A59" s="1243"/>
      <c r="B59" s="1949"/>
      <c r="C59" s="1949"/>
      <c r="D59" s="572"/>
      <c r="J59" s="7715"/>
      <c r="K59" s="7715"/>
      <c r="L59" s="7715"/>
      <c r="M59" s="7715"/>
      <c r="N59" s="7715"/>
      <c r="O59" s="7715"/>
      <c r="P59" s="7715"/>
      <c r="Q59" s="7715"/>
      <c r="R59" s="7715"/>
      <c r="S59" s="7715"/>
      <c r="T59" s="7715"/>
      <c r="U59" s="7715"/>
      <c r="V59" s="7715"/>
      <c r="W59" s="7715"/>
      <c r="X59" s="7715"/>
      <c r="Y59" s="7715"/>
      <c r="Z59" s="7715"/>
      <c r="AA59" s="7715"/>
      <c r="AB59" s="7715"/>
      <c r="AC59" s="7715"/>
      <c r="AD59" s="7715"/>
      <c r="AE59" s="7715"/>
      <c r="AF59" s="7715"/>
      <c r="AG59" s="7715"/>
      <c r="AH59" s="7715"/>
      <c r="AI59" s="7715"/>
      <c r="AJ59" s="7715"/>
      <c r="AK59" s="7715"/>
      <c r="AL59" s="1421"/>
      <c r="AM59" s="1949"/>
      <c r="AN59" s="1949"/>
      <c r="AO59" s="1421"/>
      <c r="AP59" s="1421"/>
      <c r="AQ59" s="1421"/>
      <c r="AR59" s="1421"/>
      <c r="AS59" s="1949"/>
      <c r="AT59" s="1421"/>
      <c r="AU59" s="1421"/>
      <c r="AV59" s="781"/>
      <c r="AW59" s="1421"/>
      <c r="AX59" s="1421"/>
      <c r="AY59" s="1421"/>
      <c r="AZ59" s="1421"/>
      <c r="BA59" s="1421"/>
      <c r="BB59" s="1945"/>
      <c r="BC59" s="803"/>
      <c r="BD59" s="803"/>
      <c r="BE59" s="803"/>
      <c r="BF59" s="803"/>
    </row>
    <row s="10822" customFormat="1" customHeight="1" ht="11.25">
      <c r="A60" s="1243"/>
      <c r="B60" s="1949"/>
      <c r="C60" s="1949"/>
      <c r="D60" s="572"/>
      <c r="J60" s="7715"/>
      <c r="K60" s="7715"/>
      <c r="L60" s="7715"/>
      <c r="M60" s="7715"/>
      <c r="N60" s="7715"/>
      <c r="O60" s="7715"/>
      <c r="P60" s="7715"/>
      <c r="Q60" s="7715"/>
      <c r="R60" s="7715"/>
      <c r="S60" s="7715"/>
      <c r="T60" s="7715"/>
      <c r="U60" s="7715"/>
      <c r="V60" s="7715"/>
      <c r="W60" s="7715"/>
      <c r="X60" s="7715"/>
      <c r="Y60" s="7715"/>
      <c r="Z60" s="7715"/>
      <c r="AA60" s="7715"/>
      <c r="AB60" s="7715"/>
      <c r="AC60" s="7715"/>
      <c r="AD60" s="7715"/>
      <c r="AE60" s="7715"/>
      <c r="AF60" s="7715"/>
      <c r="AG60" s="7715"/>
      <c r="AH60" s="7715"/>
      <c r="AI60" s="7715"/>
      <c r="AJ60" s="7715"/>
      <c r="AK60" s="7715"/>
      <c r="AL60" s="1421"/>
      <c r="AM60" s="1949"/>
      <c r="AN60" s="1949"/>
      <c r="AO60" s="1421"/>
      <c r="AP60" s="1421"/>
      <c r="AQ60" s="1421"/>
      <c r="AR60" s="1421"/>
      <c r="AS60" s="1949"/>
      <c r="AT60" s="1421"/>
      <c r="AU60" s="1421"/>
      <c r="AV60" s="781"/>
      <c r="AW60" s="1421"/>
      <c r="AX60" s="1421"/>
      <c r="AY60" s="1421"/>
      <c r="AZ60" s="1421"/>
      <c r="BA60" s="1421"/>
      <c r="BB60" s="1945"/>
      <c r="BC60" s="803"/>
      <c r="BD60" s="803"/>
      <c r="BE60" s="803"/>
      <c r="BF60" s="803"/>
    </row>
    <row s="10822" customFormat="1" customHeight="1" ht="11.25">
      <c r="A61" s="1243"/>
      <c r="B61" s="1949"/>
      <c r="C61" s="1949"/>
      <c r="D61" s="572"/>
      <c r="J61" s="7715"/>
      <c r="K61" s="7715"/>
      <c r="L61" s="7715"/>
      <c r="M61" s="7715"/>
      <c r="N61" s="7715"/>
      <c r="O61" s="7715"/>
      <c r="P61" s="7715"/>
      <c r="Q61" s="7715"/>
      <c r="R61" s="7715"/>
      <c r="S61" s="7715"/>
      <c r="T61" s="7715"/>
      <c r="U61" s="7715"/>
      <c r="V61" s="7715"/>
      <c r="W61" s="7715"/>
      <c r="X61" s="7715"/>
      <c r="Y61" s="7715"/>
      <c r="Z61" s="7715"/>
      <c r="AA61" s="7715"/>
      <c r="AB61" s="7715"/>
      <c r="AC61" s="7715"/>
      <c r="AD61" s="7715"/>
      <c r="AE61" s="7715"/>
      <c r="AF61" s="7715"/>
      <c r="AG61" s="7715"/>
      <c r="AH61" s="7715"/>
      <c r="AI61" s="7715"/>
      <c r="AJ61" s="7715"/>
      <c r="AK61" s="7715"/>
      <c r="AL61" s="1421"/>
      <c r="AM61" s="1949"/>
      <c r="AN61" s="1949"/>
      <c r="AO61" s="1421"/>
      <c r="AP61" s="1421"/>
      <c r="AQ61" s="1421"/>
      <c r="AR61" s="1421"/>
      <c r="AS61" s="1949"/>
      <c r="AT61" s="1421"/>
      <c r="AU61" s="1421"/>
      <c r="AV61" s="781"/>
      <c r="AW61" s="1421"/>
      <c r="AX61" s="1421"/>
      <c r="AY61" s="1421"/>
      <c r="AZ61" s="1421"/>
      <c r="BA61" s="1421"/>
      <c r="BB61" s="1945"/>
      <c r="BC61" s="803"/>
      <c r="BD61" s="803"/>
      <c r="BE61" s="803"/>
      <c r="BF61" s="803"/>
    </row>
    <row s="10822" customFormat="1" customHeight="1" ht="11.25">
      <c r="A62" s="1243"/>
      <c r="B62" s="1949"/>
      <c r="C62" s="1949"/>
      <c r="D62" s="572"/>
      <c r="J62" s="7715"/>
      <c r="K62" s="7715"/>
      <c r="L62" s="7715"/>
      <c r="M62" s="7715"/>
      <c r="N62" s="7715"/>
      <c r="O62" s="7715"/>
      <c r="P62" s="7715"/>
      <c r="Q62" s="7715"/>
      <c r="R62" s="7715"/>
      <c r="S62" s="7715"/>
      <c r="T62" s="7715"/>
      <c r="U62" s="7715"/>
      <c r="V62" s="7715"/>
      <c r="W62" s="7715"/>
      <c r="X62" s="7715"/>
      <c r="Y62" s="7715"/>
      <c r="Z62" s="7715"/>
      <c r="AA62" s="7715"/>
      <c r="AB62" s="7715"/>
      <c r="AC62" s="7715"/>
      <c r="AD62" s="7715"/>
      <c r="AE62" s="7715"/>
      <c r="AF62" s="7715"/>
      <c r="AG62" s="7715"/>
      <c r="AH62" s="7715"/>
      <c r="AI62" s="7715"/>
      <c r="AJ62" s="7715"/>
      <c r="AK62" s="7715"/>
      <c r="AL62" s="1421"/>
      <c r="AM62" s="1949"/>
      <c r="AN62" s="1949"/>
      <c r="AO62" s="1421"/>
      <c r="AP62" s="1421"/>
      <c r="AQ62" s="1421"/>
      <c r="AR62" s="1421"/>
      <c r="AS62" s="1949"/>
      <c r="AT62" s="1421"/>
      <c r="AU62" s="1421"/>
      <c r="AV62" s="781"/>
      <c r="AW62" s="1421"/>
      <c r="AX62" s="1421"/>
      <c r="AY62" s="1421"/>
      <c r="AZ62" s="1421"/>
      <c r="BA62" s="1421"/>
      <c r="BB62" s="1945"/>
      <c r="BC62" s="803"/>
      <c r="BD62" s="803"/>
      <c r="BE62" s="803"/>
      <c r="BF62" s="803"/>
    </row>
    <row s="10822" customFormat="1" customHeight="1" ht="11.25">
      <c r="A63" s="1243"/>
      <c r="B63" s="1949"/>
      <c r="C63" s="1949"/>
      <c r="D63" s="572"/>
      <c r="J63" s="7715"/>
      <c r="K63" s="7715"/>
      <c r="L63" s="7715"/>
      <c r="M63" s="7715"/>
      <c r="N63" s="7715"/>
      <c r="O63" s="7715"/>
      <c r="P63" s="7715"/>
      <c r="Q63" s="7715"/>
      <c r="R63" s="7715"/>
      <c r="S63" s="7715"/>
      <c r="T63" s="7715"/>
      <c r="U63" s="7715"/>
      <c r="V63" s="7715"/>
      <c r="W63" s="7715"/>
      <c r="X63" s="7715"/>
      <c r="Y63" s="7715"/>
      <c r="Z63" s="7715"/>
      <c r="AA63" s="7715"/>
      <c r="AB63" s="7715"/>
      <c r="AC63" s="7715"/>
      <c r="AD63" s="7715"/>
      <c r="AE63" s="7715"/>
      <c r="AF63" s="7715"/>
      <c r="AG63" s="7715"/>
      <c r="AH63" s="7715"/>
      <c r="AI63" s="7715"/>
      <c r="AJ63" s="7715"/>
      <c r="AK63" s="7715"/>
      <c r="AL63" s="1421"/>
      <c r="AM63" s="1949"/>
      <c r="AN63" s="1949"/>
      <c r="AO63" s="1421"/>
      <c r="AP63" s="1421"/>
      <c r="AQ63" s="1421"/>
      <c r="AR63" s="1421"/>
      <c r="AS63" s="1949"/>
      <c r="AT63" s="1421"/>
      <c r="AU63" s="1421"/>
      <c r="AV63" s="781"/>
      <c r="AW63" s="1421"/>
      <c r="AX63" s="1421"/>
      <c r="AY63" s="1421"/>
      <c r="AZ63" s="1421"/>
      <c r="BA63" s="1421"/>
      <c r="BB63" s="1945"/>
      <c r="BC63" s="803"/>
      <c r="BD63" s="803"/>
      <c r="BE63" s="803"/>
      <c r="BF63" s="803"/>
    </row>
    <row s="10822" customFormat="1" customHeight="1" ht="11.25">
      <c r="A64" s="1243"/>
      <c r="B64" s="1949"/>
      <c r="C64" s="1949"/>
      <c r="D64" s="572"/>
      <c r="J64" s="7715"/>
      <c r="K64" s="7715"/>
      <c r="L64" s="7715"/>
      <c r="M64" s="7715"/>
      <c r="N64" s="7715"/>
      <c r="O64" s="7715"/>
      <c r="P64" s="7715"/>
      <c r="Q64" s="7715"/>
      <c r="R64" s="7715"/>
      <c r="S64" s="7715"/>
      <c r="T64" s="7715"/>
      <c r="U64" s="7715"/>
      <c r="V64" s="7715"/>
      <c r="W64" s="7715"/>
      <c r="X64" s="7715"/>
      <c r="Y64" s="7715"/>
      <c r="Z64" s="7715"/>
      <c r="AA64" s="7715"/>
      <c r="AB64" s="7715"/>
      <c r="AC64" s="7715"/>
      <c r="AD64" s="7715"/>
      <c r="AE64" s="7715"/>
      <c r="AF64" s="7715"/>
      <c r="AG64" s="7715"/>
      <c r="AH64" s="7715"/>
      <c r="AI64" s="7715"/>
      <c r="AJ64" s="7715"/>
      <c r="AK64" s="7715"/>
      <c r="AL64" s="1421"/>
      <c r="AM64" s="1949"/>
      <c r="AN64" s="1949"/>
      <c r="AO64" s="1421"/>
      <c r="AP64" s="1421"/>
      <c r="AQ64" s="1421"/>
      <c r="AR64" s="1421"/>
      <c r="AS64" s="1949"/>
      <c r="AT64" s="1421"/>
      <c r="AU64" s="1421"/>
      <c r="AV64" s="781"/>
      <c r="AW64" s="1421"/>
      <c r="AX64" s="1421"/>
      <c r="AY64" s="1421"/>
      <c r="AZ64" s="1421"/>
      <c r="BA64" s="1421"/>
      <c r="BB64" s="1945"/>
      <c r="BC64" s="803"/>
      <c r="BD64" s="803"/>
      <c r="BE64" s="803"/>
      <c r="BF64" s="803"/>
    </row>
    <row s="10822" customFormat="1" customHeight="1" ht="11.25">
      <c r="A65" s="1243"/>
      <c r="B65" s="1949"/>
      <c r="C65" s="1949"/>
      <c r="D65" s="572"/>
      <c r="J65" s="7715"/>
      <c r="K65" s="7715"/>
      <c r="L65" s="7715"/>
      <c r="M65" s="7715"/>
      <c r="N65" s="7715"/>
      <c r="O65" s="7715"/>
      <c r="P65" s="7715"/>
      <c r="Q65" s="7715"/>
      <c r="R65" s="7715"/>
      <c r="S65" s="7715"/>
      <c r="T65" s="7715"/>
      <c r="U65" s="7715"/>
      <c r="V65" s="7715"/>
      <c r="W65" s="7715"/>
      <c r="X65" s="7715"/>
      <c r="Y65" s="7715"/>
      <c r="Z65" s="7715"/>
      <c r="AA65" s="7715"/>
      <c r="AB65" s="7715"/>
      <c r="AC65" s="7715"/>
      <c r="AD65" s="7715"/>
      <c r="AE65" s="7715"/>
      <c r="AF65" s="7715"/>
      <c r="AG65" s="7715"/>
      <c r="AH65" s="7715"/>
      <c r="AI65" s="7715"/>
      <c r="AJ65" s="7715"/>
      <c r="AK65" s="7715"/>
      <c r="AL65" s="1421"/>
      <c r="AM65" s="1949"/>
      <c r="AN65" s="1949"/>
      <c r="AO65" s="1421"/>
      <c r="AP65" s="1421"/>
      <c r="AQ65" s="1421"/>
      <c r="AR65" s="1421"/>
      <c r="AS65" s="1949"/>
      <c r="AT65" s="1421"/>
      <c r="AU65" s="1421"/>
      <c r="AV65" s="781"/>
      <c r="AW65" s="1421"/>
      <c r="AX65" s="1421"/>
      <c r="AY65" s="1421"/>
      <c r="AZ65" s="1421"/>
      <c r="BA65" s="1421"/>
      <c r="BB65" s="1945"/>
      <c r="BC65" s="803"/>
      <c r="BD65" s="803"/>
      <c r="BE65" s="803"/>
      <c r="BF65" s="803"/>
    </row>
    <row s="10822" customFormat="1" customHeight="1" ht="11.25">
      <c r="A66" s="1243"/>
      <c r="B66" s="1949"/>
      <c r="C66" s="1949"/>
      <c r="D66" s="572"/>
      <c r="J66" s="7715"/>
      <c r="K66" s="7715"/>
      <c r="L66" s="7715"/>
      <c r="M66" s="7715"/>
      <c r="N66" s="7715"/>
      <c r="O66" s="7715"/>
      <c r="P66" s="7715"/>
      <c r="Q66" s="7715"/>
      <c r="R66" s="7715"/>
      <c r="S66" s="7715"/>
      <c r="T66" s="7715"/>
      <c r="U66" s="7715"/>
      <c r="V66" s="7715"/>
      <c r="W66" s="7715"/>
      <c r="X66" s="7715"/>
      <c r="Y66" s="7715"/>
      <c r="Z66" s="7715"/>
      <c r="AA66" s="7715"/>
      <c r="AB66" s="7715"/>
      <c r="AC66" s="7715"/>
      <c r="AD66" s="7715"/>
      <c r="AE66" s="7715"/>
      <c r="AF66" s="7715"/>
      <c r="AG66" s="7715"/>
      <c r="AH66" s="7715"/>
      <c r="AI66" s="7715"/>
      <c r="AJ66" s="7715"/>
      <c r="AK66" s="7715"/>
      <c r="AL66" s="1421"/>
      <c r="AM66" s="1949"/>
      <c r="AN66" s="1949"/>
      <c r="AO66" s="1421"/>
      <c r="AP66" s="1421"/>
      <c r="AQ66" s="1421"/>
      <c r="AR66" s="1421"/>
      <c r="AS66" s="1949"/>
      <c r="AT66" s="1421"/>
      <c r="AU66" s="1421"/>
      <c r="AV66" s="781"/>
      <c r="AW66" s="1421"/>
      <c r="AX66" s="1421"/>
      <c r="AY66" s="1421"/>
      <c r="AZ66" s="1421"/>
      <c r="BA66" s="1421"/>
      <c r="BB66" s="1945"/>
      <c r="BC66" s="803"/>
      <c r="BD66" s="803"/>
      <c r="BE66" s="803"/>
      <c r="BF66" s="803"/>
    </row>
    <row s="10822" customFormat="1" customHeight="1" ht="11.25">
      <c r="A67" s="1243"/>
      <c r="B67" s="1949"/>
      <c r="C67" s="1949"/>
      <c r="D67" s="572"/>
      <c r="J67" s="7715"/>
      <c r="K67" s="7715"/>
      <c r="L67" s="7715"/>
      <c r="M67" s="7715"/>
      <c r="N67" s="7715"/>
      <c r="O67" s="7715"/>
      <c r="P67" s="7715"/>
      <c r="Q67" s="7715"/>
      <c r="R67" s="7715"/>
      <c r="S67" s="7715"/>
      <c r="T67" s="7715"/>
      <c r="U67" s="7715"/>
      <c r="V67" s="7715"/>
      <c r="W67" s="7715"/>
      <c r="X67" s="7715"/>
      <c r="Y67" s="7715"/>
      <c r="Z67" s="7715"/>
      <c r="AA67" s="7715"/>
      <c r="AB67" s="7715"/>
      <c r="AC67" s="7715"/>
      <c r="AD67" s="7715"/>
      <c r="AE67" s="7715"/>
      <c r="AF67" s="7715"/>
      <c r="AG67" s="7715"/>
      <c r="AH67" s="7715"/>
      <c r="AI67" s="7715"/>
      <c r="AJ67" s="7715"/>
      <c r="AK67" s="7715"/>
      <c r="AL67" s="1421"/>
      <c r="AM67" s="1949"/>
      <c r="AN67" s="1949"/>
      <c r="AO67" s="1421"/>
      <c r="AP67" s="1421"/>
      <c r="AQ67" s="1421"/>
      <c r="AR67" s="1421"/>
      <c r="AS67" s="1949"/>
      <c r="AT67" s="1421"/>
      <c r="AU67" s="1421"/>
      <c r="AV67" s="781"/>
      <c r="AW67" s="1421"/>
      <c r="AX67" s="1421"/>
      <c r="AY67" s="1421"/>
      <c r="AZ67" s="1421"/>
      <c r="BA67" s="1421"/>
      <c r="BB67" s="1945"/>
      <c r="BC67" s="803"/>
      <c r="BD67" s="803"/>
      <c r="BE67" s="803"/>
      <c r="BF67" s="803"/>
    </row>
    <row s="10822" customFormat="1" customHeight="1" ht="11.25">
      <c r="A68" s="1243"/>
      <c r="B68" s="1949"/>
      <c r="C68" s="1949"/>
      <c r="D68" s="572"/>
      <c r="J68" s="7715"/>
      <c r="K68" s="7715"/>
      <c r="L68" s="7715"/>
      <c r="M68" s="7715"/>
      <c r="N68" s="7715"/>
      <c r="O68" s="7715"/>
      <c r="P68" s="7715"/>
      <c r="Q68" s="7715"/>
      <c r="R68" s="7715"/>
      <c r="S68" s="7715"/>
      <c r="T68" s="7715"/>
      <c r="U68" s="7715"/>
      <c r="V68" s="7715"/>
      <c r="W68" s="7715"/>
      <c r="X68" s="7715"/>
      <c r="Y68" s="7715"/>
      <c r="Z68" s="7715"/>
      <c r="AA68" s="7715"/>
      <c r="AB68" s="7715"/>
      <c r="AC68" s="7715"/>
      <c r="AD68" s="7715"/>
      <c r="AE68" s="7715"/>
      <c r="AF68" s="7715"/>
      <c r="AG68" s="7715"/>
      <c r="AH68" s="7715"/>
      <c r="AI68" s="7715"/>
      <c r="AJ68" s="7715"/>
      <c r="AK68" s="7715"/>
      <c r="AL68" s="1421"/>
      <c r="AM68" s="1949"/>
      <c r="AN68" s="1949"/>
      <c r="AO68" s="1421"/>
      <c r="AP68" s="1421"/>
      <c r="AQ68" s="1421"/>
      <c r="AR68" s="1421"/>
      <c r="AS68" s="1949"/>
      <c r="AT68" s="1421"/>
      <c r="AU68" s="1421"/>
      <c r="AV68" s="781"/>
      <c r="AW68" s="1421"/>
      <c r="AX68" s="1421"/>
      <c r="AY68" s="1421"/>
      <c r="AZ68" s="1421"/>
      <c r="BA68" s="1421"/>
      <c r="BB68" s="1945"/>
      <c r="BC68" s="803"/>
      <c r="BD68" s="803"/>
      <c r="BE68" s="803"/>
      <c r="BF68" s="803"/>
    </row>
    <row s="10822" customFormat="1" customHeight="1" ht="11.25">
      <c r="A69" s="1243"/>
      <c r="B69" s="1949"/>
      <c r="C69" s="1949"/>
      <c r="D69" s="572"/>
      <c r="J69" s="7715"/>
      <c r="K69" s="7715"/>
      <c r="L69" s="7715"/>
      <c r="M69" s="7715"/>
      <c r="N69" s="7715"/>
      <c r="O69" s="7715"/>
      <c r="P69" s="7715"/>
      <c r="Q69" s="7715"/>
      <c r="R69" s="7715"/>
      <c r="S69" s="7715"/>
      <c r="T69" s="7715"/>
      <c r="U69" s="7715"/>
      <c r="V69" s="7715"/>
      <c r="W69" s="7715"/>
      <c r="X69" s="7715"/>
      <c r="Y69" s="7715"/>
      <c r="Z69" s="7715"/>
      <c r="AA69" s="7715"/>
      <c r="AB69" s="7715"/>
      <c r="AC69" s="7715"/>
      <c r="AD69" s="7715"/>
      <c r="AE69" s="7715"/>
      <c r="AF69" s="7715"/>
      <c r="AG69" s="7715"/>
      <c r="AH69" s="7715"/>
      <c r="AI69" s="7715"/>
      <c r="AJ69" s="7715"/>
      <c r="AK69" s="7715"/>
      <c r="AL69" s="1421"/>
      <c r="AM69" s="1949"/>
      <c r="AN69" s="1949"/>
      <c r="AO69" s="1421"/>
      <c r="AP69" s="1421"/>
      <c r="AQ69" s="1421"/>
      <c r="AR69" s="1421"/>
      <c r="AS69" s="1949"/>
      <c r="AT69" s="1421"/>
      <c r="AU69" s="1421"/>
      <c r="AV69" s="781"/>
      <c r="AW69" s="1421"/>
      <c r="AX69" s="1421"/>
      <c r="AY69" s="1421"/>
      <c r="AZ69" s="1421"/>
      <c r="BA69" s="1421"/>
      <c r="BB69" s="1945"/>
      <c r="BC69" s="803"/>
      <c r="BD69" s="803"/>
      <c r="BE69" s="803"/>
      <c r="BF69" s="803"/>
    </row>
    <row s="10822" customFormat="1" customHeight="1" ht="11.25">
      <c r="A70" s="1243"/>
      <c r="B70" s="1949"/>
      <c r="C70" s="1949"/>
      <c r="D70" s="572"/>
      <c r="J70" s="7715"/>
      <c r="K70" s="7715"/>
      <c r="L70" s="7715"/>
      <c r="M70" s="7715"/>
      <c r="N70" s="7715"/>
      <c r="O70" s="7715"/>
      <c r="P70" s="7715"/>
      <c r="Q70" s="7715"/>
      <c r="R70" s="7715"/>
      <c r="S70" s="7715"/>
      <c r="T70" s="7715"/>
      <c r="U70" s="7715"/>
      <c r="V70" s="7715"/>
      <c r="W70" s="7715"/>
      <c r="X70" s="7715"/>
      <c r="Y70" s="7715"/>
      <c r="Z70" s="7715"/>
      <c r="AA70" s="7715"/>
      <c r="AB70" s="7715"/>
      <c r="AC70" s="7715"/>
      <c r="AD70" s="7715"/>
      <c r="AE70" s="7715"/>
      <c r="AF70" s="7715"/>
      <c r="AG70" s="7715"/>
      <c r="AH70" s="7715"/>
      <c r="AI70" s="7715"/>
      <c r="AJ70" s="7715"/>
      <c r="AK70" s="7715"/>
      <c r="AL70" s="1421"/>
      <c r="AM70" s="1949"/>
      <c r="AN70" s="1949"/>
      <c r="AO70" s="1421"/>
      <c r="AP70" s="1421"/>
      <c r="AQ70" s="1421"/>
      <c r="AR70" s="1421"/>
      <c r="AS70" s="1949"/>
      <c r="AT70" s="1421"/>
      <c r="AU70" s="1421"/>
      <c r="AV70" s="781"/>
      <c r="AW70" s="1421"/>
      <c r="AX70" s="1421"/>
      <c r="AY70" s="1421"/>
      <c r="AZ70" s="1421"/>
      <c r="BA70" s="1421"/>
      <c r="BB70" s="1945"/>
      <c r="BC70" s="803"/>
      <c r="BD70" s="803"/>
      <c r="BE70" s="803"/>
      <c r="BF70" s="803"/>
    </row>
    <row s="10822" customFormat="1" customHeight="1" ht="11.25">
      <c r="A71" s="1243"/>
      <c r="B71" s="1949"/>
      <c r="C71" s="1949"/>
      <c r="D71" s="572"/>
      <c r="J71" s="7715"/>
      <c r="K71" s="7715"/>
      <c r="L71" s="7715"/>
      <c r="M71" s="7715"/>
      <c r="N71" s="7715"/>
      <c r="O71" s="7715"/>
      <c r="P71" s="7715"/>
      <c r="Q71" s="7715"/>
      <c r="R71" s="7715"/>
      <c r="S71" s="7715"/>
      <c r="T71" s="7715"/>
      <c r="U71" s="7715"/>
      <c r="V71" s="7715"/>
      <c r="W71" s="7715"/>
      <c r="X71" s="7715"/>
      <c r="Y71" s="7715"/>
      <c r="Z71" s="7715"/>
      <c r="AA71" s="7715"/>
      <c r="AB71" s="7715"/>
      <c r="AC71" s="7715"/>
      <c r="AD71" s="7715"/>
      <c r="AE71" s="7715"/>
      <c r="AF71" s="7715"/>
      <c r="AG71" s="7715"/>
      <c r="AH71" s="7715"/>
      <c r="AI71" s="7715"/>
      <c r="AJ71" s="7715"/>
      <c r="AK71" s="7715"/>
      <c r="AL71" s="1421"/>
      <c r="AM71" s="1949"/>
      <c r="AN71" s="1949"/>
      <c r="AO71" s="1421"/>
      <c r="AP71" s="1421"/>
      <c r="AQ71" s="1421"/>
      <c r="AR71" s="1421"/>
      <c r="AS71" s="1949"/>
      <c r="AT71" s="1421"/>
      <c r="AU71" s="1421"/>
      <c r="AV71" s="781"/>
      <c r="AW71" s="1421"/>
      <c r="AX71" s="1421"/>
      <c r="AY71" s="1421"/>
      <c r="AZ71" s="1421"/>
      <c r="BA71" s="1421"/>
      <c r="BB71" s="1945"/>
      <c r="BC71" s="803"/>
      <c r="BD71" s="803"/>
      <c r="BE71" s="803"/>
      <c r="BF71" s="803"/>
    </row>
    <row s="10822" customFormat="1" customHeight="1" ht="11.25">
      <c r="A72" s="1243"/>
      <c r="B72" s="1949"/>
      <c r="C72" s="1949"/>
      <c r="D72" s="572"/>
      <c r="J72" s="7715"/>
      <c r="K72" s="7715"/>
      <c r="L72" s="7715"/>
      <c r="M72" s="7715"/>
      <c r="N72" s="7715"/>
      <c r="O72" s="7715"/>
      <c r="P72" s="7715"/>
      <c r="Q72" s="7715"/>
      <c r="R72" s="7715"/>
      <c r="S72" s="7715"/>
      <c r="T72" s="7715"/>
      <c r="U72" s="7715"/>
      <c r="V72" s="7715"/>
      <c r="W72" s="7715"/>
      <c r="X72" s="7715"/>
      <c r="Y72" s="7715"/>
      <c r="Z72" s="7715"/>
      <c r="AA72" s="7715"/>
      <c r="AB72" s="7715"/>
      <c r="AC72" s="7715"/>
      <c r="AD72" s="7715"/>
      <c r="AE72" s="7715"/>
      <c r="AF72" s="7715"/>
      <c r="AG72" s="7715"/>
      <c r="AH72" s="7715"/>
      <c r="AI72" s="7715"/>
      <c r="AJ72" s="7715"/>
      <c r="AK72" s="7715"/>
      <c r="AL72" s="1421"/>
      <c r="AM72" s="1949"/>
      <c r="AN72" s="1949"/>
      <c r="AO72" s="1421"/>
      <c r="AP72" s="1421"/>
      <c r="AQ72" s="1421"/>
      <c r="AR72" s="1421"/>
      <c r="AS72" s="1949"/>
      <c r="AT72" s="1421"/>
      <c r="AU72" s="1421"/>
      <c r="AV72" s="781"/>
      <c r="AW72" s="1421"/>
      <c r="AX72" s="1421"/>
      <c r="AY72" s="1421"/>
      <c r="AZ72" s="1421"/>
      <c r="BA72" s="1421"/>
      <c r="BB72" s="1945"/>
      <c r="BC72" s="803"/>
      <c r="BD72" s="803"/>
      <c r="BE72" s="803"/>
      <c r="BF72" s="803"/>
    </row>
    <row s="10822" customFormat="1" customHeight="1" ht="11.25">
      <c r="A73" s="1243"/>
      <c r="B73" s="1949"/>
      <c r="C73" s="1949"/>
      <c r="D73" s="572"/>
      <c r="J73" s="7715"/>
      <c r="K73" s="7715"/>
      <c r="L73" s="7715"/>
      <c r="M73" s="7715"/>
      <c r="N73" s="7715"/>
      <c r="O73" s="7715"/>
      <c r="P73" s="7715"/>
      <c r="Q73" s="7715"/>
      <c r="R73" s="7715"/>
      <c r="S73" s="7715"/>
      <c r="T73" s="7715"/>
      <c r="U73" s="7715"/>
      <c r="V73" s="7715"/>
      <c r="W73" s="7715"/>
      <c r="X73" s="7715"/>
      <c r="Y73" s="7715"/>
      <c r="Z73" s="7715"/>
      <c r="AA73" s="7715"/>
      <c r="AB73" s="7715"/>
      <c r="AC73" s="7715"/>
      <c r="AD73" s="7715"/>
      <c r="AE73" s="7715"/>
      <c r="AF73" s="7715"/>
      <c r="AG73" s="7715"/>
      <c r="AH73" s="7715"/>
      <c r="AI73" s="7715"/>
      <c r="AJ73" s="7715"/>
      <c r="AK73" s="7715"/>
      <c r="AL73" s="1421"/>
      <c r="AM73" s="1949"/>
      <c r="AN73" s="1949"/>
      <c r="AO73" s="1421"/>
      <c r="AP73" s="1421"/>
      <c r="AQ73" s="1421"/>
      <c r="AR73" s="1421"/>
      <c r="AS73" s="1949"/>
      <c r="AT73" s="1421"/>
      <c r="AU73" s="1421"/>
      <c r="AV73" s="781"/>
      <c r="AW73" s="1421"/>
      <c r="AX73" s="1421"/>
      <c r="AY73" s="1421"/>
      <c r="AZ73" s="1421"/>
      <c r="BA73" s="1421"/>
      <c r="BB73" s="1945"/>
      <c r="BC73" s="803"/>
      <c r="BD73" s="803"/>
      <c r="BE73" s="803"/>
      <c r="BF73" s="803"/>
    </row>
    <row s="10822" customFormat="1" customHeight="1" ht="11.25">
      <c r="A74" s="1243"/>
      <c r="B74" s="1949"/>
      <c r="C74" s="1949"/>
      <c r="D74" s="572"/>
      <c r="J74" s="7715"/>
      <c r="K74" s="7715"/>
      <c r="L74" s="7715"/>
      <c r="M74" s="7715"/>
      <c r="N74" s="7715"/>
      <c r="O74" s="7715"/>
      <c r="P74" s="7715"/>
      <c r="Q74" s="7715"/>
      <c r="R74" s="7715"/>
      <c r="S74" s="7715"/>
      <c r="T74" s="7715"/>
      <c r="U74" s="7715"/>
      <c r="V74" s="7715"/>
      <c r="W74" s="7715"/>
      <c r="X74" s="7715"/>
      <c r="Y74" s="7715"/>
      <c r="Z74" s="7715"/>
      <c r="AA74" s="7715"/>
      <c r="AB74" s="7715"/>
      <c r="AC74" s="7715"/>
      <c r="AD74" s="7715"/>
      <c r="AE74" s="7715"/>
      <c r="AF74" s="7715"/>
      <c r="AG74" s="7715"/>
      <c r="AH74" s="7715"/>
      <c r="AI74" s="7715"/>
      <c r="AJ74" s="7715"/>
      <c r="AK74" s="7715"/>
      <c r="AL74" s="1421"/>
      <c r="AM74" s="1949"/>
      <c r="AN74" s="1949"/>
      <c r="AO74" s="1421"/>
      <c r="AP74" s="1421"/>
      <c r="AQ74" s="1421"/>
      <c r="AR74" s="1421"/>
      <c r="AS74" s="1949"/>
      <c r="AT74" s="1421"/>
      <c r="AU74" s="1421"/>
      <c r="AV74" s="781"/>
      <c r="AW74" s="1421"/>
      <c r="AX74" s="1421"/>
      <c r="AY74" s="1421"/>
      <c r="AZ74" s="1421"/>
      <c r="BA74" s="1421"/>
      <c r="BB74" s="1945"/>
      <c r="BC74" s="803"/>
      <c r="BD74" s="803"/>
      <c r="BE74" s="803"/>
      <c r="BF74" s="803"/>
    </row>
    <row s="10822" customFormat="1" customHeight="1" ht="11.25">
      <c r="A75" s="1243"/>
      <c r="B75" s="1949"/>
      <c r="C75" s="1949"/>
      <c r="D75" s="572"/>
      <c r="J75" s="7715"/>
      <c r="K75" s="7715"/>
      <c r="L75" s="7715"/>
      <c r="M75" s="7715"/>
      <c r="N75" s="7715"/>
      <c r="O75" s="7715"/>
      <c r="P75" s="7715"/>
      <c r="Q75" s="7715"/>
      <c r="R75" s="7715"/>
      <c r="S75" s="7715"/>
      <c r="T75" s="7715"/>
      <c r="U75" s="7715"/>
      <c r="V75" s="7715"/>
      <c r="W75" s="7715"/>
      <c r="X75" s="7715"/>
      <c r="Y75" s="7715"/>
      <c r="Z75" s="7715"/>
      <c r="AA75" s="7715"/>
      <c r="AB75" s="7715"/>
      <c r="AC75" s="7715"/>
      <c r="AD75" s="7715"/>
      <c r="AE75" s="7715"/>
      <c r="AF75" s="7715"/>
      <c r="AG75" s="7715"/>
      <c r="AH75" s="7715"/>
      <c r="AI75" s="7715"/>
      <c r="AJ75" s="7715"/>
      <c r="AK75" s="7715"/>
      <c r="AL75" s="1421"/>
      <c r="AM75" s="1949"/>
      <c r="AN75" s="1949"/>
      <c r="AO75" s="1421"/>
      <c r="AP75" s="1421"/>
      <c r="AQ75" s="1421"/>
      <c r="AR75" s="1421"/>
      <c r="AS75" s="1949"/>
      <c r="AT75" s="1421"/>
      <c r="AU75" s="1421"/>
      <c r="AV75" s="781"/>
      <c r="AW75" s="1421"/>
      <c r="AX75" s="1421"/>
      <c r="AY75" s="1421"/>
      <c r="AZ75" s="1421"/>
      <c r="BA75" s="1421"/>
      <c r="BB75" s="1945"/>
      <c r="BC75" s="803"/>
      <c r="BD75" s="803"/>
      <c r="BE75" s="803"/>
      <c r="BF75" s="803"/>
    </row>
    <row s="10822" customFormat="1" customHeight="1" ht="11.25">
      <c r="A76" s="1243"/>
      <c r="B76" s="1949"/>
      <c r="C76" s="1949"/>
      <c r="D76" s="572"/>
      <c r="J76" s="7715"/>
      <c r="K76" s="7715"/>
      <c r="L76" s="7715"/>
      <c r="M76" s="7715"/>
      <c r="N76" s="7715"/>
      <c r="O76" s="7715"/>
      <c r="P76" s="7715"/>
      <c r="Q76" s="7715"/>
      <c r="R76" s="7715"/>
      <c r="S76" s="7715"/>
      <c r="T76" s="7715"/>
      <c r="U76" s="7715"/>
      <c r="V76" s="7715"/>
      <c r="W76" s="7715"/>
      <c r="X76" s="7715"/>
      <c r="Y76" s="7715"/>
      <c r="Z76" s="7715"/>
      <c r="AA76" s="7715"/>
      <c r="AB76" s="7715"/>
      <c r="AC76" s="7715"/>
      <c r="AD76" s="7715"/>
      <c r="AE76" s="7715"/>
      <c r="AF76" s="7715"/>
      <c r="AG76" s="7715"/>
      <c r="AH76" s="7715"/>
      <c r="AI76" s="7715"/>
      <c r="AJ76" s="7715"/>
      <c r="AK76" s="7715"/>
      <c r="AL76" s="1421"/>
      <c r="AM76" s="1949"/>
      <c r="AN76" s="1949"/>
      <c r="AO76" s="1421"/>
      <c r="AP76" s="1421"/>
      <c r="AQ76" s="1421"/>
      <c r="AR76" s="1421"/>
      <c r="AS76" s="1949"/>
      <c r="AT76" s="1421"/>
      <c r="AU76" s="1421"/>
      <c r="AV76" s="781"/>
      <c r="AW76" s="1421"/>
      <c r="AX76" s="1421"/>
      <c r="AY76" s="1421"/>
      <c r="AZ76" s="1421"/>
      <c r="BA76" s="1421"/>
      <c r="BB76" s="1945"/>
      <c r="BC76" s="803"/>
      <c r="BD76" s="803"/>
      <c r="BE76" s="803"/>
      <c r="BF76" s="803"/>
    </row>
    <row s="10822" customFormat="1" customHeight="1" ht="11.25">
      <c r="A77" s="1243"/>
      <c r="B77" s="1949"/>
      <c r="C77" s="1949"/>
      <c r="D77" s="572"/>
      <c r="J77" s="7715"/>
      <c r="K77" s="7715"/>
      <c r="L77" s="7715"/>
      <c r="M77" s="7715"/>
      <c r="N77" s="7715"/>
      <c r="O77" s="7715"/>
      <c r="P77" s="7715"/>
      <c r="Q77" s="7715"/>
      <c r="R77" s="7715"/>
      <c r="S77" s="7715"/>
      <c r="T77" s="7715"/>
      <c r="U77" s="7715"/>
      <c r="V77" s="7715"/>
      <c r="W77" s="7715"/>
      <c r="X77" s="7715"/>
      <c r="Y77" s="7715"/>
      <c r="Z77" s="7715"/>
      <c r="AA77" s="7715"/>
      <c r="AB77" s="7715"/>
      <c r="AC77" s="7715"/>
      <c r="AD77" s="7715"/>
      <c r="AE77" s="7715"/>
      <c r="AF77" s="7715"/>
      <c r="AG77" s="7715"/>
      <c r="AH77" s="7715"/>
      <c r="AI77" s="7715"/>
      <c r="AJ77" s="7715"/>
      <c r="AK77" s="7715"/>
      <c r="AL77" s="1421"/>
      <c r="AM77" s="1949"/>
      <c r="AN77" s="1949"/>
      <c r="AO77" s="1421"/>
      <c r="AP77" s="1421"/>
      <c r="AQ77" s="1421"/>
      <c r="AR77" s="1421"/>
      <c r="AS77" s="1949"/>
      <c r="AT77" s="1421"/>
      <c r="AU77" s="1421"/>
      <c r="AV77" s="781"/>
      <c r="AW77" s="1421"/>
      <c r="AX77" s="1421"/>
      <c r="AY77" s="1421"/>
      <c r="AZ77" s="1421"/>
      <c r="BA77" s="1421"/>
      <c r="BB77" s="1945"/>
      <c r="BC77" s="803"/>
      <c r="BD77" s="803"/>
      <c r="BE77" s="803"/>
      <c r="BF77" s="803"/>
    </row>
    <row s="10822" customFormat="1" customHeight="1" ht="11.25">
      <c r="A78" s="1243"/>
      <c r="B78" s="1949"/>
      <c r="C78" s="1949"/>
      <c r="D78" s="572"/>
      <c r="J78" s="7715"/>
      <c r="K78" s="7715"/>
      <c r="L78" s="7715"/>
      <c r="M78" s="7715"/>
      <c r="N78" s="7715"/>
      <c r="O78" s="7715"/>
      <c r="P78" s="7715"/>
      <c r="Q78" s="7715"/>
      <c r="R78" s="7715"/>
      <c r="S78" s="7715"/>
      <c r="T78" s="7715"/>
      <c r="U78" s="7715"/>
      <c r="V78" s="7715"/>
      <c r="W78" s="7715"/>
      <c r="X78" s="7715"/>
      <c r="Y78" s="7715"/>
      <c r="Z78" s="7715"/>
      <c r="AA78" s="7715"/>
      <c r="AB78" s="7715"/>
      <c r="AC78" s="7715"/>
      <c r="AD78" s="7715"/>
      <c r="AE78" s="7715"/>
      <c r="AF78" s="7715"/>
      <c r="AG78" s="7715"/>
      <c r="AH78" s="7715"/>
      <c r="AI78" s="7715"/>
      <c r="AJ78" s="7715"/>
      <c r="AK78" s="7715"/>
      <c r="AL78" s="1421"/>
      <c r="AM78" s="1949"/>
      <c r="AN78" s="1949"/>
      <c r="AO78" s="1421"/>
      <c r="AP78" s="1421"/>
      <c r="AQ78" s="1421"/>
      <c r="AR78" s="1421"/>
      <c r="AS78" s="1949"/>
      <c r="AT78" s="1421"/>
      <c r="AU78" s="1421"/>
      <c r="AV78" s="781"/>
      <c r="AW78" s="1421"/>
      <c r="AX78" s="1421"/>
      <c r="AY78" s="1421"/>
      <c r="AZ78" s="1421"/>
      <c r="BA78" s="1421"/>
      <c r="BB78" s="1945"/>
      <c r="BC78" s="803"/>
      <c r="BD78" s="803"/>
      <c r="BE78" s="803"/>
      <c r="BF78" s="803"/>
    </row>
    <row s="10822" customFormat="1" customHeight="1" ht="11.25">
      <c r="A79" s="1243"/>
      <c r="B79" s="1949"/>
      <c r="C79" s="1949"/>
      <c r="D79" s="572"/>
      <c r="J79" s="7715"/>
      <c r="K79" s="7715"/>
      <c r="L79" s="7715"/>
      <c r="M79" s="7715"/>
      <c r="N79" s="7715"/>
      <c r="O79" s="7715"/>
      <c r="P79" s="7715"/>
      <c r="Q79" s="7715"/>
      <c r="R79" s="7715"/>
      <c r="S79" s="7715"/>
      <c r="T79" s="7715"/>
      <c r="U79" s="7715"/>
      <c r="V79" s="7715"/>
      <c r="W79" s="7715"/>
      <c r="X79" s="7715"/>
      <c r="Y79" s="7715"/>
      <c r="Z79" s="7715"/>
      <c r="AA79" s="7715"/>
      <c r="AB79" s="7715"/>
      <c r="AC79" s="7715"/>
      <c r="AD79" s="7715"/>
      <c r="AE79" s="7715"/>
      <c r="AF79" s="7715"/>
      <c r="AG79" s="7715"/>
      <c r="AH79" s="7715"/>
      <c r="AI79" s="7715"/>
      <c r="AJ79" s="7715"/>
      <c r="AK79" s="7715"/>
      <c r="AL79" s="1421"/>
      <c r="AM79" s="1949"/>
      <c r="AN79" s="1949"/>
      <c r="AO79" s="1421"/>
      <c r="AP79" s="1421"/>
      <c r="AQ79" s="1421"/>
      <c r="AR79" s="1421"/>
      <c r="AS79" s="1949"/>
      <c r="AT79" s="1421"/>
      <c r="AU79" s="1421"/>
      <c r="AV79" s="781"/>
      <c r="AW79" s="1421"/>
      <c r="AX79" s="1421"/>
      <c r="AY79" s="1421"/>
      <c r="AZ79" s="1421"/>
      <c r="BA79" s="1421"/>
      <c r="BB79" s="1945"/>
      <c r="BC79" s="803"/>
      <c r="BD79" s="803"/>
      <c r="BE79" s="803"/>
      <c r="BF79" s="803"/>
    </row>
    <row s="10822" customFormat="1" customHeight="1" ht="11.25">
      <c r="A80" s="1243"/>
      <c r="B80" s="1949"/>
      <c r="C80" s="1949"/>
      <c r="D80" s="572"/>
      <c r="J80" s="7715"/>
      <c r="K80" s="7715"/>
      <c r="L80" s="7715"/>
      <c r="M80" s="7715"/>
      <c r="N80" s="7715"/>
      <c r="O80" s="7715"/>
      <c r="P80" s="7715"/>
      <c r="Q80" s="7715"/>
      <c r="R80" s="7715"/>
      <c r="S80" s="7715"/>
      <c r="T80" s="7715"/>
      <c r="U80" s="7715"/>
      <c r="V80" s="7715"/>
      <c r="W80" s="7715"/>
      <c r="X80" s="7715"/>
      <c r="Y80" s="7715"/>
      <c r="Z80" s="7715"/>
      <c r="AA80" s="7715"/>
      <c r="AB80" s="7715"/>
      <c r="AC80" s="7715"/>
      <c r="AD80" s="7715"/>
      <c r="AE80" s="7715"/>
      <c r="AF80" s="7715"/>
      <c r="AG80" s="7715"/>
      <c r="AH80" s="7715"/>
      <c r="AI80" s="7715"/>
      <c r="AJ80" s="7715"/>
      <c r="AK80" s="7715"/>
      <c r="AL80" s="1421"/>
      <c r="AM80" s="1949"/>
      <c r="AN80" s="1949"/>
      <c r="AO80" s="1421"/>
      <c r="AP80" s="1421"/>
      <c r="AQ80" s="1421"/>
      <c r="AR80" s="1421"/>
      <c r="AS80" s="1949"/>
      <c r="AT80" s="1421"/>
      <c r="AU80" s="1421"/>
      <c r="AV80" s="781"/>
      <c r="AW80" s="1421"/>
      <c r="AX80" s="1421"/>
      <c r="AY80" s="1421"/>
      <c r="AZ80" s="1421"/>
      <c r="BA80" s="1421"/>
      <c r="BB80" s="1945"/>
      <c r="BC80" s="803"/>
      <c r="BD80" s="803"/>
      <c r="BE80" s="803"/>
      <c r="BF80" s="803"/>
    </row>
    <row s="10822" customFormat="1" customHeight="1" ht="11.25">
      <c r="A81" s="1243"/>
      <c r="B81" s="1949"/>
      <c r="C81" s="1949"/>
      <c r="D81" s="572"/>
      <c r="J81" s="7715"/>
      <c r="K81" s="7715"/>
      <c r="L81" s="7715"/>
      <c r="M81" s="7715"/>
      <c r="N81" s="7715"/>
      <c r="O81" s="7715"/>
      <c r="P81" s="7715"/>
      <c r="Q81" s="7715"/>
      <c r="R81" s="7715"/>
      <c r="S81" s="7715"/>
      <c r="T81" s="7715"/>
      <c r="U81" s="7715"/>
      <c r="V81" s="7715"/>
      <c r="W81" s="7715"/>
      <c r="X81" s="7715"/>
      <c r="Y81" s="7715"/>
      <c r="Z81" s="7715"/>
      <c r="AA81" s="7715"/>
      <c r="AB81" s="7715"/>
      <c r="AC81" s="7715"/>
      <c r="AD81" s="7715"/>
      <c r="AE81" s="7715"/>
      <c r="AF81" s="7715"/>
      <c r="AG81" s="7715"/>
      <c r="AH81" s="7715"/>
      <c r="AI81" s="7715"/>
      <c r="AJ81" s="7715"/>
      <c r="AK81" s="7715"/>
      <c r="AL81" s="1421"/>
      <c r="AM81" s="1949"/>
      <c r="AN81" s="1949"/>
      <c r="AO81" s="1421"/>
      <c r="AP81" s="1421"/>
      <c r="AQ81" s="1421"/>
      <c r="AR81" s="1421"/>
      <c r="AS81" s="1949"/>
      <c r="AT81" s="1421"/>
      <c r="AU81" s="1421"/>
      <c r="AV81" s="781"/>
      <c r="AW81" s="1421"/>
      <c r="AX81" s="1421"/>
      <c r="AY81" s="1421"/>
      <c r="AZ81" s="1421"/>
      <c r="BA81" s="1421"/>
      <c r="BB81" s="1945"/>
      <c r="BC81" s="803"/>
      <c r="BD81" s="803"/>
      <c r="BE81" s="803"/>
      <c r="BF81" s="803"/>
    </row>
    <row s="10822" customFormat="1" customHeight="1" ht="11.25">
      <c r="A82" s="1243"/>
      <c r="B82" s="1949"/>
      <c r="C82" s="1949"/>
      <c r="D82" s="572"/>
      <c r="J82" s="7715"/>
      <c r="K82" s="7715"/>
      <c r="L82" s="7715"/>
      <c r="M82" s="7715"/>
      <c r="N82" s="7715"/>
      <c r="O82" s="7715"/>
      <c r="P82" s="7715"/>
      <c r="Q82" s="7715"/>
      <c r="R82" s="7715"/>
      <c r="S82" s="7715"/>
      <c r="T82" s="7715"/>
      <c r="U82" s="7715"/>
      <c r="V82" s="7715"/>
      <c r="W82" s="7715"/>
      <c r="X82" s="7715"/>
      <c r="Y82" s="7715"/>
      <c r="Z82" s="7715"/>
      <c r="AA82" s="7715"/>
      <c r="AB82" s="7715"/>
      <c r="AC82" s="7715"/>
      <c r="AD82" s="7715"/>
      <c r="AE82" s="7715"/>
      <c r="AF82" s="7715"/>
      <c r="AG82" s="7715"/>
      <c r="AH82" s="7715"/>
      <c r="AI82" s="7715"/>
      <c r="AJ82" s="7715"/>
      <c r="AK82" s="7715"/>
      <c r="AL82" s="1421"/>
      <c r="AM82" s="1949"/>
      <c r="AN82" s="1949"/>
      <c r="AO82" s="1421"/>
      <c r="AP82" s="1421"/>
      <c r="AQ82" s="1421"/>
      <c r="AR82" s="1421"/>
      <c r="AS82" s="1949"/>
      <c r="AT82" s="1421"/>
      <c r="AU82" s="1421"/>
      <c r="AV82" s="781"/>
      <c r="AW82" s="1421"/>
      <c r="AX82" s="1421"/>
      <c r="AY82" s="1421"/>
      <c r="AZ82" s="1421"/>
      <c r="BA82" s="1421"/>
      <c r="BB82" s="1945"/>
      <c r="BC82" s="803"/>
      <c r="BD82" s="803"/>
      <c r="BE82" s="803"/>
      <c r="BF82" s="803"/>
    </row>
    <row s="10822" customFormat="1" customHeight="1" ht="11.25">
      <c r="A83" s="1243"/>
      <c r="B83" s="1949"/>
      <c r="C83" s="1949"/>
      <c r="D83" s="572"/>
      <c r="J83" s="7715"/>
      <c r="K83" s="7715"/>
      <c r="L83" s="7715"/>
      <c r="M83" s="7715"/>
      <c r="N83" s="7715"/>
      <c r="O83" s="7715"/>
      <c r="P83" s="7715"/>
      <c r="Q83" s="7715"/>
      <c r="R83" s="7715"/>
      <c r="S83" s="7715"/>
      <c r="T83" s="7715"/>
      <c r="U83" s="7715"/>
      <c r="V83" s="7715"/>
      <c r="W83" s="7715"/>
      <c r="X83" s="7715"/>
      <c r="Y83" s="7715"/>
      <c r="Z83" s="7715"/>
      <c r="AA83" s="7715"/>
      <c r="AB83" s="7715"/>
      <c r="AC83" s="7715"/>
      <c r="AD83" s="7715"/>
      <c r="AE83" s="7715"/>
      <c r="AF83" s="7715"/>
      <c r="AG83" s="7715"/>
      <c r="AH83" s="7715"/>
      <c r="AI83" s="7715"/>
      <c r="AJ83" s="7715"/>
      <c r="AK83" s="7715"/>
      <c r="AL83" s="1421"/>
      <c r="AM83" s="1949"/>
      <c r="AN83" s="1949"/>
      <c r="AO83" s="1421"/>
      <c r="AP83" s="1421"/>
      <c r="AQ83" s="1421"/>
      <c r="AR83" s="1421"/>
      <c r="AS83" s="1949"/>
      <c r="AT83" s="1421"/>
      <c r="AU83" s="1421"/>
      <c r="AV83" s="781"/>
      <c r="AW83" s="1421"/>
      <c r="AX83" s="1421"/>
      <c r="AY83" s="1421"/>
      <c r="AZ83" s="1421"/>
      <c r="BA83" s="1421"/>
      <c r="BB83" s="1945"/>
      <c r="BC83" s="803"/>
      <c r="BD83" s="803"/>
      <c r="BE83" s="803"/>
      <c r="BF83" s="803"/>
    </row>
    <row s="10822" customFormat="1" customHeight="1" ht="11.25">
      <c r="A84" s="1243"/>
      <c r="B84" s="1949"/>
      <c r="C84" s="1949"/>
      <c r="D84" s="572"/>
      <c r="J84" s="7715"/>
      <c r="K84" s="7715"/>
      <c r="L84" s="7715"/>
      <c r="M84" s="7715"/>
      <c r="N84" s="7715"/>
      <c r="O84" s="7715"/>
      <c r="P84" s="7715"/>
      <c r="Q84" s="7715"/>
      <c r="R84" s="7715"/>
      <c r="S84" s="7715"/>
      <c r="T84" s="7715"/>
      <c r="U84" s="7715"/>
      <c r="V84" s="7715"/>
      <c r="W84" s="7715"/>
      <c r="X84" s="7715"/>
      <c r="Y84" s="7715"/>
      <c r="Z84" s="7715"/>
      <c r="AA84" s="7715"/>
      <c r="AB84" s="7715"/>
      <c r="AC84" s="7715"/>
      <c r="AD84" s="7715"/>
      <c r="AE84" s="7715"/>
      <c r="AF84" s="7715"/>
      <c r="AG84" s="7715"/>
      <c r="AH84" s="7715"/>
      <c r="AI84" s="7715"/>
      <c r="AJ84" s="7715"/>
      <c r="AK84" s="7715"/>
      <c r="AL84" s="1421"/>
      <c r="AM84" s="1949"/>
      <c r="AN84" s="1949"/>
      <c r="AO84" s="1421"/>
      <c r="AP84" s="1421"/>
      <c r="AQ84" s="1421"/>
      <c r="AR84" s="1421"/>
      <c r="AS84" s="1949"/>
      <c r="AT84" s="1421"/>
      <c r="AU84" s="1421"/>
      <c r="AV84" s="781"/>
      <c r="AW84" s="1421"/>
      <c r="AX84" s="1421"/>
      <c r="AY84" s="1421"/>
      <c r="AZ84" s="1421"/>
      <c r="BA84" s="1421"/>
      <c r="BB84" s="1945"/>
      <c r="BC84" s="803"/>
      <c r="BD84" s="803"/>
      <c r="BE84" s="803"/>
      <c r="BF84" s="803"/>
    </row>
    <row s="10822" customFormat="1" customHeight="1" ht="11.25">
      <c r="A85" s="1243"/>
      <c r="B85" s="1949"/>
      <c r="C85" s="1949"/>
      <c r="D85" s="572"/>
      <c r="J85" s="7715"/>
      <c r="K85" s="7715"/>
      <c r="L85" s="7715"/>
      <c r="M85" s="7715"/>
      <c r="N85" s="7715"/>
      <c r="O85" s="7715"/>
      <c r="P85" s="7715"/>
      <c r="Q85" s="7715"/>
      <c r="R85" s="7715"/>
      <c r="S85" s="7715"/>
      <c r="T85" s="7715"/>
      <c r="U85" s="7715"/>
      <c r="V85" s="7715"/>
      <c r="W85" s="7715"/>
      <c r="X85" s="7715"/>
      <c r="Y85" s="7715"/>
      <c r="Z85" s="7715"/>
      <c r="AA85" s="7715"/>
      <c r="AB85" s="7715"/>
      <c r="AC85" s="7715"/>
      <c r="AD85" s="7715"/>
      <c r="AE85" s="7715"/>
      <c r="AF85" s="7715"/>
      <c r="AG85" s="7715"/>
      <c r="AH85" s="7715"/>
      <c r="AI85" s="7715"/>
      <c r="AJ85" s="7715"/>
      <c r="AK85" s="7715"/>
      <c r="AL85" s="1421"/>
      <c r="AM85" s="1949"/>
      <c r="AN85" s="1949"/>
      <c r="AO85" s="1421"/>
      <c r="AP85" s="1421"/>
      <c r="AQ85" s="1421"/>
      <c r="AR85" s="1421"/>
      <c r="AS85" s="1949"/>
      <c r="AT85" s="1421"/>
      <c r="AU85" s="1421"/>
      <c r="AV85" s="781"/>
      <c r="AW85" s="1421"/>
      <c r="AX85" s="1421"/>
      <c r="AY85" s="1421"/>
      <c r="AZ85" s="1421"/>
      <c r="BA85" s="1421"/>
      <c r="BB85" s="1945"/>
      <c r="BC85" s="803"/>
      <c r="BD85" s="803"/>
      <c r="BE85" s="803"/>
      <c r="BF85" s="803"/>
    </row>
    <row s="10822" customFormat="1" customHeight="1" ht="11.25">
      <c r="A86" s="1243"/>
      <c r="B86" s="1949"/>
      <c r="C86" s="1949"/>
      <c r="D86" s="572"/>
      <c r="J86" s="7715"/>
      <c r="K86" s="7715"/>
      <c r="L86" s="7715"/>
      <c r="M86" s="7715"/>
      <c r="N86" s="7715"/>
      <c r="O86" s="7715"/>
      <c r="P86" s="7715"/>
      <c r="Q86" s="7715"/>
      <c r="R86" s="7715"/>
      <c r="S86" s="7715"/>
      <c r="T86" s="7715"/>
      <c r="U86" s="7715"/>
      <c r="V86" s="7715"/>
      <c r="W86" s="7715"/>
      <c r="X86" s="7715"/>
      <c r="Y86" s="7715"/>
      <c r="Z86" s="7715"/>
      <c r="AA86" s="7715"/>
      <c r="AB86" s="7715"/>
      <c r="AC86" s="7715"/>
      <c r="AD86" s="7715"/>
      <c r="AE86" s="7715"/>
      <c r="AF86" s="7715"/>
      <c r="AG86" s="7715"/>
      <c r="AH86" s="7715"/>
      <c r="AI86" s="7715"/>
      <c r="AJ86" s="7715"/>
      <c r="AK86" s="7715"/>
      <c r="AL86" s="1421"/>
      <c r="AM86" s="1949"/>
      <c r="AN86" s="1949"/>
      <c r="AO86" s="1421"/>
      <c r="AP86" s="1421"/>
      <c r="AQ86" s="1421"/>
      <c r="AR86" s="1421"/>
      <c r="AS86" s="1949"/>
      <c r="AT86" s="1421"/>
      <c r="AU86" s="1421"/>
      <c r="AV86" s="781"/>
      <c r="AW86" s="1421"/>
      <c r="AX86" s="1421"/>
      <c r="AY86" s="1421"/>
      <c r="AZ86" s="1421"/>
      <c r="BA86" s="1421"/>
      <c r="BB86" s="1945"/>
      <c r="BC86" s="803"/>
      <c r="BD86" s="803"/>
      <c r="BE86" s="803"/>
      <c r="BF86" s="803"/>
    </row>
    <row s="10822" customFormat="1" customHeight="1" ht="11.25">
      <c r="A87" s="1243"/>
      <c r="B87" s="1949"/>
      <c r="C87" s="1949"/>
      <c r="D87" s="572"/>
      <c r="J87" s="7715"/>
      <c r="K87" s="7715"/>
      <c r="L87" s="7715"/>
      <c r="M87" s="7715"/>
      <c r="N87" s="7715"/>
      <c r="O87" s="7715"/>
      <c r="P87" s="7715"/>
      <c r="Q87" s="7715"/>
      <c r="R87" s="7715"/>
      <c r="S87" s="7715"/>
      <c r="T87" s="7715"/>
      <c r="U87" s="7715"/>
      <c r="V87" s="7715"/>
      <c r="W87" s="7715"/>
      <c r="X87" s="7715"/>
      <c r="Y87" s="7715"/>
      <c r="Z87" s="7715"/>
      <c r="AA87" s="7715"/>
      <c r="AB87" s="7715"/>
      <c r="AC87" s="7715"/>
      <c r="AD87" s="7715"/>
      <c r="AE87" s="7715"/>
      <c r="AF87" s="7715"/>
      <c r="AG87" s="7715"/>
      <c r="AH87" s="7715"/>
      <c r="AI87" s="7715"/>
      <c r="AJ87" s="7715"/>
      <c r="AK87" s="7715"/>
      <c r="AL87" s="1421"/>
      <c r="AM87" s="1949"/>
      <c r="AN87" s="1949"/>
      <c r="AO87" s="1421"/>
      <c r="AP87" s="1421"/>
      <c r="AQ87" s="1421"/>
      <c r="AR87" s="1421"/>
      <c r="AS87" s="1949"/>
      <c r="AT87" s="1421"/>
      <c r="AU87" s="1421"/>
      <c r="AV87" s="781"/>
      <c r="AW87" s="1421"/>
      <c r="AX87" s="1421"/>
      <c r="AY87" s="1421"/>
      <c r="AZ87" s="1421"/>
      <c r="BA87" s="1421"/>
      <c r="BB87" s="1945"/>
      <c r="BC87" s="803"/>
      <c r="BD87" s="803"/>
      <c r="BE87" s="803"/>
      <c r="BF87" s="803"/>
    </row>
    <row s="10822" customFormat="1" customHeight="1" ht="11.25">
      <c r="A88" s="1243"/>
      <c r="B88" s="1949"/>
      <c r="C88" s="1949"/>
      <c r="D88" s="572"/>
      <c r="J88" s="7715"/>
      <c r="K88" s="7715"/>
      <c r="L88" s="7715"/>
      <c r="M88" s="7715"/>
      <c r="N88" s="7715"/>
      <c r="O88" s="7715"/>
      <c r="P88" s="7715"/>
      <c r="Q88" s="7715"/>
      <c r="R88" s="7715"/>
      <c r="S88" s="7715"/>
      <c r="T88" s="7715"/>
      <c r="U88" s="7715"/>
      <c r="V88" s="7715"/>
      <c r="W88" s="7715"/>
      <c r="X88" s="7715"/>
      <c r="Y88" s="7715"/>
      <c r="Z88" s="7715"/>
      <c r="AA88" s="7715"/>
      <c r="AB88" s="7715"/>
      <c r="AC88" s="7715"/>
      <c r="AD88" s="7715"/>
      <c r="AE88" s="7715"/>
      <c r="AF88" s="7715"/>
      <c r="AG88" s="7715"/>
      <c r="AH88" s="7715"/>
      <c r="AI88" s="7715"/>
      <c r="AJ88" s="7715"/>
      <c r="AK88" s="7715"/>
      <c r="AL88" s="1421"/>
      <c r="AM88" s="1949"/>
      <c r="AN88" s="1949"/>
      <c r="AO88" s="1421"/>
      <c r="AP88" s="1421"/>
      <c r="AQ88" s="1421"/>
      <c r="AR88" s="1421"/>
      <c r="AS88" s="1949"/>
      <c r="AT88" s="1421"/>
      <c r="AU88" s="1421"/>
      <c r="AV88" s="781"/>
      <c r="AW88" s="1421"/>
      <c r="AX88" s="1421"/>
      <c r="AY88" s="1421"/>
      <c r="AZ88" s="1421"/>
      <c r="BA88" s="1421"/>
      <c r="BB88" s="1945"/>
      <c r="BC88" s="803"/>
      <c r="BD88" s="803"/>
      <c r="BE88" s="803"/>
      <c r="BF88" s="803"/>
    </row>
    <row s="10822" customFormat="1" customHeight="1" ht="11.25">
      <c r="A89" s="1243"/>
      <c r="B89" s="1949"/>
      <c r="C89" s="1949"/>
      <c r="D89" s="572"/>
      <c r="J89" s="7715"/>
      <c r="K89" s="7715"/>
      <c r="L89" s="7715"/>
      <c r="M89" s="7715"/>
      <c r="N89" s="7715"/>
      <c r="O89" s="7715"/>
      <c r="P89" s="7715"/>
      <c r="Q89" s="7715"/>
      <c r="R89" s="7715"/>
      <c r="S89" s="7715"/>
      <c r="T89" s="7715"/>
      <c r="U89" s="7715"/>
      <c r="V89" s="7715"/>
      <c r="W89" s="7715"/>
      <c r="X89" s="7715"/>
      <c r="Y89" s="7715"/>
      <c r="Z89" s="7715"/>
      <c r="AA89" s="7715"/>
      <c r="AB89" s="7715"/>
      <c r="AC89" s="7715"/>
      <c r="AD89" s="7715"/>
      <c r="AE89" s="7715"/>
      <c r="AF89" s="7715"/>
      <c r="AG89" s="7715"/>
      <c r="AH89" s="7715"/>
      <c r="AI89" s="7715"/>
      <c r="AJ89" s="7715"/>
      <c r="AK89" s="7715"/>
      <c r="AL89" s="1421"/>
      <c r="AM89" s="1949"/>
      <c r="AN89" s="1949"/>
      <c r="AO89" s="1421"/>
      <c r="AP89" s="1421"/>
      <c r="AQ89" s="1421"/>
      <c r="AR89" s="1421"/>
      <c r="AS89" s="1949"/>
      <c r="AT89" s="1421"/>
      <c r="AU89" s="1421"/>
      <c r="AV89" s="781"/>
      <c r="AW89" s="1421"/>
      <c r="AX89" s="1421"/>
      <c r="AY89" s="1421"/>
      <c r="AZ89" s="1421"/>
      <c r="BA89" s="1421"/>
      <c r="BB89" s="1945"/>
      <c r="BC89" s="803"/>
      <c r="BD89" s="803"/>
      <c r="BE89" s="803"/>
      <c r="BF89" s="803"/>
    </row>
    <row s="10822" customFormat="1" customHeight="1" ht="11.25">
      <c r="A90" s="1243"/>
      <c r="B90" s="1949"/>
      <c r="C90" s="1949"/>
      <c r="D90" s="572"/>
      <c r="J90" s="7715"/>
      <c r="K90" s="7715"/>
      <c r="L90" s="7715"/>
      <c r="M90" s="7715"/>
      <c r="N90" s="7715"/>
      <c r="O90" s="7715"/>
      <c r="P90" s="7715"/>
      <c r="Q90" s="7715"/>
      <c r="R90" s="7715"/>
      <c r="S90" s="7715"/>
      <c r="T90" s="7715"/>
      <c r="U90" s="7715"/>
      <c r="V90" s="7715"/>
      <c r="W90" s="7715"/>
      <c r="X90" s="7715"/>
      <c r="Y90" s="7715"/>
      <c r="Z90" s="7715"/>
      <c r="AA90" s="7715"/>
      <c r="AB90" s="7715"/>
      <c r="AC90" s="7715"/>
      <c r="AD90" s="7715"/>
      <c r="AE90" s="7715"/>
      <c r="AF90" s="7715"/>
      <c r="AG90" s="7715"/>
      <c r="AH90" s="7715"/>
      <c r="AI90" s="7715"/>
      <c r="AJ90" s="7715"/>
      <c r="AK90" s="7715"/>
      <c r="AL90" s="1421"/>
      <c r="AM90" s="1949"/>
      <c r="AN90" s="1949"/>
      <c r="AO90" s="1421"/>
      <c r="AP90" s="1421"/>
      <c r="AQ90" s="1421"/>
      <c r="AR90" s="1421"/>
      <c r="AS90" s="1949"/>
      <c r="AT90" s="1421"/>
      <c r="AU90" s="1421"/>
      <c r="AV90" s="781"/>
      <c r="AW90" s="1421"/>
      <c r="AX90" s="1421"/>
      <c r="AY90" s="1421"/>
      <c r="AZ90" s="1421"/>
      <c r="BA90" s="1421"/>
      <c r="BB90" s="1945"/>
      <c r="BC90" s="803"/>
      <c r="BD90" s="803"/>
      <c r="BE90" s="803"/>
      <c r="BF90" s="803"/>
    </row>
    <row s="10822" customFormat="1" customHeight="1" ht="11.25">
      <c r="A91" s="1243"/>
      <c r="B91" s="1949"/>
      <c r="C91" s="1949"/>
      <c r="D91" s="572"/>
      <c r="J91" s="7715"/>
      <c r="K91" s="7715"/>
      <c r="L91" s="7715"/>
      <c r="M91" s="7715"/>
      <c r="N91" s="7715"/>
      <c r="O91" s="7715"/>
      <c r="P91" s="7715"/>
      <c r="Q91" s="7715"/>
      <c r="R91" s="7715"/>
      <c r="S91" s="7715"/>
      <c r="T91" s="7715"/>
      <c r="U91" s="7715"/>
      <c r="V91" s="7715"/>
      <c r="W91" s="7715"/>
      <c r="X91" s="7715"/>
      <c r="Y91" s="7715"/>
      <c r="Z91" s="7715"/>
      <c r="AA91" s="7715"/>
      <c r="AB91" s="7715"/>
      <c r="AC91" s="7715"/>
      <c r="AD91" s="7715"/>
      <c r="AE91" s="7715"/>
      <c r="AF91" s="7715"/>
      <c r="AG91" s="7715"/>
      <c r="AH91" s="7715"/>
      <c r="AI91" s="7715"/>
      <c r="AJ91" s="7715"/>
      <c r="AK91" s="7715"/>
      <c r="AL91" s="1421"/>
      <c r="AM91" s="1949"/>
      <c r="AN91" s="1949"/>
      <c r="AO91" s="1421"/>
      <c r="AP91" s="1421"/>
      <c r="AQ91" s="1421"/>
      <c r="AR91" s="1421"/>
      <c r="AS91" s="1949"/>
      <c r="AT91" s="1421"/>
      <c r="AU91" s="1421"/>
      <c r="AV91" s="781"/>
      <c r="AW91" s="1421"/>
      <c r="AX91" s="1421"/>
      <c r="AY91" s="1421"/>
      <c r="AZ91" s="1421"/>
      <c r="BA91" s="1421"/>
      <c r="BB91" s="1945"/>
      <c r="BC91" s="803"/>
      <c r="BD91" s="803"/>
      <c r="BE91" s="803"/>
      <c r="BF91" s="803"/>
    </row>
    <row s="10822" customFormat="1" customHeight="1" ht="11.25">
      <c r="A92" s="1243"/>
      <c r="B92" s="1949"/>
      <c r="C92" s="1949"/>
      <c r="D92" s="572"/>
      <c r="J92" s="7715"/>
      <c r="K92" s="7715"/>
      <c r="L92" s="7715"/>
      <c r="M92" s="7715"/>
      <c r="N92" s="7715"/>
      <c r="O92" s="7715"/>
      <c r="P92" s="7715"/>
      <c r="Q92" s="7715"/>
      <c r="R92" s="7715"/>
      <c r="S92" s="7715"/>
      <c r="T92" s="7715"/>
      <c r="U92" s="7715"/>
      <c r="V92" s="7715"/>
      <c r="W92" s="7715"/>
      <c r="X92" s="7715"/>
      <c r="Y92" s="7715"/>
      <c r="Z92" s="7715"/>
      <c r="AA92" s="7715"/>
      <c r="AB92" s="7715"/>
      <c r="AC92" s="7715"/>
      <c r="AD92" s="7715"/>
      <c r="AE92" s="7715"/>
      <c r="AF92" s="7715"/>
      <c r="AG92" s="7715"/>
      <c r="AH92" s="7715"/>
      <c r="AI92" s="7715"/>
      <c r="AJ92" s="7715"/>
      <c r="AK92" s="7715"/>
      <c r="AL92" s="1421"/>
      <c r="AM92" s="1949"/>
      <c r="AN92" s="1949"/>
      <c r="AO92" s="1421"/>
      <c r="AP92" s="1421"/>
      <c r="AQ92" s="1421"/>
      <c r="AR92" s="1421"/>
      <c r="AS92" s="1949"/>
      <c r="AT92" s="1421"/>
      <c r="AU92" s="1421"/>
      <c r="AV92" s="781"/>
      <c r="AW92" s="1421"/>
      <c r="AX92" s="1421"/>
      <c r="AY92" s="1421"/>
      <c r="AZ92" s="1421"/>
      <c r="BA92" s="1421"/>
      <c r="BB92" s="1945"/>
      <c r="BC92" s="803"/>
      <c r="BD92" s="803"/>
      <c r="BE92" s="803"/>
      <c r="BF92" s="803"/>
    </row>
    <row s="10822" customFormat="1" customHeight="1" ht="11.25">
      <c r="A93" s="1243"/>
      <c r="B93" s="1949"/>
      <c r="C93" s="1949"/>
      <c r="D93" s="572"/>
      <c r="J93" s="7715"/>
      <c r="K93" s="7715"/>
      <c r="L93" s="7715"/>
      <c r="M93" s="7715"/>
      <c r="N93" s="7715"/>
      <c r="O93" s="7715"/>
      <c r="P93" s="7715"/>
      <c r="Q93" s="7715"/>
      <c r="R93" s="7715"/>
      <c r="S93" s="7715"/>
      <c r="T93" s="7715"/>
      <c r="U93" s="7715"/>
      <c r="V93" s="7715"/>
      <c r="W93" s="7715"/>
      <c r="X93" s="7715"/>
      <c r="Y93" s="7715"/>
      <c r="Z93" s="7715"/>
      <c r="AA93" s="7715"/>
      <c r="AB93" s="7715"/>
      <c r="AC93" s="7715"/>
      <c r="AD93" s="7715"/>
      <c r="AE93" s="7715"/>
      <c r="AF93" s="7715"/>
      <c r="AG93" s="7715"/>
      <c r="AH93" s="7715"/>
      <c r="AI93" s="7715"/>
      <c r="AJ93" s="7715"/>
      <c r="AK93" s="7715"/>
      <c r="AL93" s="1421"/>
      <c r="AM93" s="1949"/>
      <c r="AN93" s="1949"/>
      <c r="AO93" s="1421"/>
      <c r="AP93" s="1421"/>
      <c r="AQ93" s="1421"/>
      <c r="AR93" s="1421"/>
      <c r="AS93" s="1949"/>
      <c r="AT93" s="1421"/>
      <c r="AU93" s="1421"/>
      <c r="AV93" s="781"/>
      <c r="AW93" s="1421"/>
      <c r="AX93" s="1421"/>
      <c r="AY93" s="1421"/>
      <c r="AZ93" s="1421"/>
      <c r="BA93" s="1421"/>
      <c r="BB93" s="1945"/>
      <c r="BC93" s="803"/>
      <c r="BD93" s="803"/>
      <c r="BE93" s="803"/>
      <c r="BF93" s="803"/>
    </row>
    <row s="10822" customFormat="1" customHeight="1" ht="11.25">
      <c r="A94" s="1243"/>
      <c r="B94" s="1949"/>
      <c r="C94" s="1949"/>
      <c r="D94" s="572"/>
      <c r="J94" s="7715"/>
      <c r="K94" s="7715"/>
      <c r="L94" s="7715"/>
      <c r="M94" s="7715"/>
      <c r="N94" s="7715"/>
      <c r="O94" s="7715"/>
      <c r="P94" s="7715"/>
      <c r="Q94" s="7715"/>
      <c r="R94" s="7715"/>
      <c r="S94" s="7715"/>
      <c r="T94" s="7715"/>
      <c r="U94" s="7715"/>
      <c r="V94" s="7715"/>
      <c r="W94" s="7715"/>
      <c r="X94" s="7715"/>
      <c r="Y94" s="7715"/>
      <c r="Z94" s="7715"/>
      <c r="AA94" s="7715"/>
      <c r="AB94" s="7715"/>
      <c r="AC94" s="7715"/>
      <c r="AD94" s="7715"/>
      <c r="AE94" s="7715"/>
      <c r="AF94" s="7715"/>
      <c r="AG94" s="7715"/>
      <c r="AH94" s="7715"/>
      <c r="AI94" s="7715"/>
      <c r="AJ94" s="7715"/>
      <c r="AK94" s="7715"/>
      <c r="AL94" s="1421"/>
      <c r="AM94" s="1949"/>
      <c r="AN94" s="1949"/>
      <c r="AO94" s="1421"/>
      <c r="AP94" s="1421"/>
      <c r="AQ94" s="1421"/>
      <c r="AR94" s="1421"/>
      <c r="AS94" s="1949"/>
      <c r="AT94" s="1421"/>
      <c r="AU94" s="1421"/>
      <c r="AV94" s="781"/>
      <c r="AW94" s="1421"/>
      <c r="AX94" s="1421"/>
      <c r="AY94" s="1421"/>
      <c r="AZ94" s="1421"/>
      <c r="BA94" s="1421"/>
      <c r="BB94" s="1945"/>
      <c r="BC94" s="803"/>
      <c r="BD94" s="803"/>
      <c r="BE94" s="803"/>
      <c r="BF94" s="803"/>
    </row>
    <row s="10822" customFormat="1" customHeight="1" ht="11.25">
      <c r="A95" s="1243"/>
      <c r="B95" s="1949"/>
      <c r="C95" s="1949"/>
      <c r="D95" s="572"/>
      <c r="J95" s="7715"/>
      <c r="K95" s="7715"/>
      <c r="L95" s="7715"/>
      <c r="M95" s="7715"/>
      <c r="N95" s="7715"/>
      <c r="O95" s="7715"/>
      <c r="P95" s="7715"/>
      <c r="Q95" s="7715"/>
      <c r="R95" s="7715"/>
      <c r="S95" s="7715"/>
      <c r="T95" s="7715"/>
      <c r="U95" s="7715"/>
      <c r="V95" s="7715"/>
      <c r="W95" s="7715"/>
      <c r="X95" s="7715"/>
      <c r="Y95" s="7715"/>
      <c r="Z95" s="7715"/>
      <c r="AA95" s="7715"/>
      <c r="AB95" s="7715"/>
      <c r="AC95" s="7715"/>
      <c r="AD95" s="7715"/>
      <c r="AE95" s="7715"/>
      <c r="AF95" s="7715"/>
      <c r="AG95" s="7715"/>
      <c r="AH95" s="7715"/>
      <c r="AI95" s="7715"/>
      <c r="AJ95" s="7715"/>
      <c r="AK95" s="7715"/>
      <c r="AL95" s="1421"/>
      <c r="AM95" s="1949"/>
      <c r="AN95" s="1949"/>
      <c r="AO95" s="1421"/>
      <c r="AP95" s="1421"/>
      <c r="AQ95" s="1421"/>
      <c r="AR95" s="1421"/>
      <c r="AS95" s="1949"/>
      <c r="AT95" s="1421"/>
      <c r="AU95" s="1421"/>
      <c r="AV95" s="781"/>
      <c r="AW95" s="1421"/>
      <c r="AX95" s="1421"/>
      <c r="AY95" s="1421"/>
      <c r="AZ95" s="1421"/>
      <c r="BA95" s="1421"/>
      <c r="BB95" s="1945"/>
      <c r="BC95" s="803"/>
      <c r="BD95" s="803"/>
      <c r="BE95" s="803"/>
      <c r="BF95" s="803"/>
    </row>
    <row s="10822" customFormat="1" customHeight="1" ht="11.25">
      <c r="A96" s="1243"/>
      <c r="B96" s="1949"/>
      <c r="C96" s="1949"/>
      <c r="D96" s="572"/>
      <c r="J96" s="7715"/>
      <c r="K96" s="7715"/>
      <c r="L96" s="7715"/>
      <c r="M96" s="7715"/>
      <c r="N96" s="7715"/>
      <c r="O96" s="7715"/>
      <c r="P96" s="7715"/>
      <c r="Q96" s="7715"/>
      <c r="R96" s="7715"/>
      <c r="S96" s="7715"/>
      <c r="T96" s="7715"/>
      <c r="U96" s="7715"/>
      <c r="V96" s="7715"/>
      <c r="W96" s="7715"/>
      <c r="X96" s="7715"/>
      <c r="Y96" s="7715"/>
      <c r="Z96" s="7715"/>
      <c r="AA96" s="7715"/>
      <c r="AB96" s="7715"/>
      <c r="AC96" s="7715"/>
      <c r="AD96" s="7715"/>
      <c r="AE96" s="7715"/>
      <c r="AF96" s="7715"/>
      <c r="AG96" s="7715"/>
      <c r="AH96" s="7715"/>
      <c r="AI96" s="7715"/>
      <c r="AJ96" s="7715"/>
      <c r="AK96" s="7715"/>
      <c r="AL96" s="1421"/>
      <c r="AM96" s="1949"/>
      <c r="AN96" s="1949"/>
      <c r="AO96" s="1421"/>
      <c r="AP96" s="1421"/>
      <c r="AQ96" s="1421"/>
      <c r="AR96" s="1421"/>
      <c r="AS96" s="1949"/>
      <c r="AT96" s="1421"/>
      <c r="AU96" s="1421"/>
      <c r="AV96" s="781"/>
      <c r="AW96" s="1421"/>
      <c r="AX96" s="1421"/>
      <c r="AY96" s="1421"/>
      <c r="AZ96" s="1421"/>
      <c r="BA96" s="1421"/>
      <c r="BB96" s="1945"/>
      <c r="BC96" s="803"/>
      <c r="BD96" s="803"/>
      <c r="BE96" s="803"/>
      <c r="BF96" s="803"/>
    </row>
    <row s="10822" customFormat="1" customHeight="1" ht="11.25">
      <c r="A97" s="1243"/>
      <c r="B97" s="1949"/>
      <c r="C97" s="1949"/>
      <c r="D97" s="572"/>
      <c r="J97" s="7715"/>
      <c r="K97" s="7715"/>
      <c r="L97" s="7715"/>
      <c r="M97" s="7715"/>
      <c r="N97" s="7715"/>
      <c r="O97" s="7715"/>
      <c r="P97" s="7715"/>
      <c r="Q97" s="7715"/>
      <c r="R97" s="7715"/>
      <c r="S97" s="7715"/>
      <c r="T97" s="7715"/>
      <c r="U97" s="7715"/>
      <c r="V97" s="7715"/>
      <c r="W97" s="7715"/>
      <c r="X97" s="7715"/>
      <c r="Y97" s="7715"/>
      <c r="Z97" s="7715"/>
      <c r="AA97" s="7715"/>
      <c r="AB97" s="7715"/>
      <c r="AC97" s="7715"/>
      <c r="AD97" s="7715"/>
      <c r="AE97" s="7715"/>
      <c r="AF97" s="7715"/>
      <c r="AG97" s="7715"/>
      <c r="AH97" s="7715"/>
      <c r="AI97" s="7715"/>
      <c r="AJ97" s="7715"/>
      <c r="AK97" s="7715"/>
      <c r="AL97" s="1421"/>
      <c r="AM97" s="1949"/>
      <c r="AN97" s="1949"/>
      <c r="AO97" s="1421"/>
      <c r="AP97" s="1421"/>
      <c r="AQ97" s="1421"/>
      <c r="AR97" s="1421"/>
      <c r="AS97" s="1949"/>
      <c r="AT97" s="1421"/>
      <c r="AU97" s="1421"/>
      <c r="AV97" s="781"/>
      <c r="AW97" s="1421"/>
      <c r="AX97" s="1421"/>
      <c r="AY97" s="1421"/>
      <c r="AZ97" s="1421"/>
      <c r="BA97" s="1421"/>
      <c r="BB97" s="1945"/>
      <c r="BC97" s="803"/>
      <c r="BD97" s="803"/>
      <c r="BE97" s="803"/>
      <c r="BF97" s="803"/>
    </row>
    <row s="10822" customFormat="1" customHeight="1" ht="11.25">
      <c r="A98" s="1243"/>
      <c r="B98" s="1949"/>
      <c r="C98" s="1949"/>
      <c r="D98" s="572"/>
      <c r="J98" s="7715"/>
      <c r="K98" s="7715"/>
      <c r="L98" s="7715"/>
      <c r="M98" s="7715"/>
      <c r="N98" s="7715"/>
      <c r="O98" s="7715"/>
      <c r="P98" s="7715"/>
      <c r="Q98" s="7715"/>
      <c r="R98" s="7715"/>
      <c r="S98" s="7715"/>
      <c r="T98" s="7715"/>
      <c r="U98" s="7715"/>
      <c r="V98" s="7715"/>
      <c r="W98" s="7715"/>
      <c r="X98" s="7715"/>
      <c r="Y98" s="7715"/>
      <c r="Z98" s="7715"/>
      <c r="AA98" s="7715"/>
      <c r="AB98" s="7715"/>
      <c r="AC98" s="7715"/>
      <c r="AD98" s="7715"/>
      <c r="AE98" s="7715"/>
      <c r="AF98" s="7715"/>
      <c r="AG98" s="7715"/>
      <c r="AH98" s="7715"/>
      <c r="AI98" s="7715"/>
      <c r="AJ98" s="7715"/>
      <c r="AK98" s="7715"/>
      <c r="AL98" s="1421"/>
      <c r="AM98" s="1949"/>
      <c r="AN98" s="1949"/>
      <c r="AO98" s="1421"/>
      <c r="AP98" s="1421"/>
      <c r="AQ98" s="1421"/>
      <c r="AR98" s="1421"/>
      <c r="AS98" s="1949"/>
      <c r="AT98" s="1421"/>
      <c r="AU98" s="1421"/>
      <c r="AV98" s="781"/>
      <c r="AW98" s="1421"/>
      <c r="AX98" s="1421"/>
      <c r="AY98" s="1421"/>
      <c r="AZ98" s="1421"/>
      <c r="BA98" s="1421"/>
      <c r="BB98" s="1945"/>
      <c r="BC98" s="803"/>
      <c r="BD98" s="803"/>
      <c r="BE98" s="803"/>
      <c r="BF98" s="803"/>
    </row>
    <row s="10822" customFormat="1" customHeight="1" ht="11.25">
      <c r="A99" s="1243"/>
      <c r="B99" s="1949"/>
      <c r="C99" s="1949"/>
      <c r="D99" s="572"/>
      <c r="J99" s="7715"/>
      <c r="K99" s="7715"/>
      <c r="L99" s="7715"/>
      <c r="M99" s="7715"/>
      <c r="N99" s="7715"/>
      <c r="O99" s="7715"/>
      <c r="P99" s="7715"/>
      <c r="Q99" s="7715"/>
      <c r="R99" s="7715"/>
      <c r="S99" s="7715"/>
      <c r="T99" s="7715"/>
      <c r="U99" s="7715"/>
      <c r="V99" s="7715"/>
      <c r="W99" s="7715"/>
      <c r="X99" s="7715"/>
      <c r="Y99" s="7715"/>
      <c r="Z99" s="7715"/>
      <c r="AA99" s="7715"/>
      <c r="AB99" s="7715"/>
      <c r="AC99" s="7715"/>
      <c r="AD99" s="7715"/>
      <c r="AE99" s="7715"/>
      <c r="AF99" s="7715"/>
      <c r="AG99" s="7715"/>
      <c r="AH99" s="7715"/>
      <c r="AI99" s="7715"/>
      <c r="AJ99" s="7715"/>
      <c r="AK99" s="7715"/>
      <c r="AL99" s="1421"/>
      <c r="AM99" s="1949"/>
      <c r="AN99" s="1949"/>
      <c r="AO99" s="1421"/>
      <c r="AP99" s="1421"/>
      <c r="AQ99" s="1421"/>
      <c r="AR99" s="1421"/>
      <c r="AS99" s="1949"/>
      <c r="AT99" s="1421"/>
      <c r="AU99" s="1421"/>
      <c r="AV99" s="781"/>
      <c r="AW99" s="1421"/>
      <c r="AX99" s="1421"/>
      <c r="AY99" s="1421"/>
      <c r="AZ99" s="1421"/>
      <c r="BA99" s="1421"/>
      <c r="BB99" s="1945"/>
      <c r="BC99" s="803"/>
      <c r="BD99" s="803"/>
      <c r="BE99" s="803"/>
      <c r="BF99" s="803"/>
    </row>
    <row s="10822" customFormat="1" customHeight="1" ht="11.25">
      <c r="A100" s="1243"/>
      <c r="B100" s="1949"/>
      <c r="C100" s="1949"/>
      <c r="D100" s="572"/>
      <c r="J100" s="7715"/>
      <c r="K100" s="7715"/>
      <c r="L100" s="7715"/>
      <c r="M100" s="7715"/>
      <c r="N100" s="7715"/>
      <c r="O100" s="7715"/>
      <c r="P100" s="7715"/>
      <c r="Q100" s="7715"/>
      <c r="R100" s="7715"/>
      <c r="S100" s="7715"/>
      <c r="T100" s="7715"/>
      <c r="U100" s="7715"/>
      <c r="V100" s="7715"/>
      <c r="W100" s="7715"/>
      <c r="X100" s="7715"/>
      <c r="Y100" s="7715"/>
      <c r="Z100" s="7715"/>
      <c r="AA100" s="7715"/>
      <c r="AB100" s="7715"/>
      <c r="AC100" s="7715"/>
      <c r="AD100" s="7715"/>
      <c r="AE100" s="7715"/>
      <c r="AF100" s="7715"/>
      <c r="AG100" s="7715"/>
      <c r="AH100" s="7715"/>
      <c r="AI100" s="7715"/>
      <c r="AJ100" s="7715"/>
      <c r="AK100" s="7715"/>
      <c r="AL100" s="1421"/>
      <c r="AM100" s="1949"/>
      <c r="AN100" s="1949"/>
      <c r="AO100" s="1421"/>
      <c r="AP100" s="1421"/>
      <c r="AQ100" s="1421"/>
      <c r="AR100" s="1421"/>
      <c r="AS100" s="1949"/>
      <c r="AT100" s="1421"/>
      <c r="AU100" s="1421"/>
      <c r="AV100" s="781"/>
      <c r="AW100" s="1421"/>
      <c r="AX100" s="1421"/>
      <c r="AY100" s="1421"/>
      <c r="AZ100" s="1421"/>
      <c r="BA100" s="1421"/>
      <c r="BB100" s="1945"/>
      <c r="BC100" s="803"/>
      <c r="BD100" s="803"/>
      <c r="BE100" s="803"/>
      <c r="BF100" s="803"/>
    </row>
    <row s="10822" customFormat="1" customHeight="1" ht="11.25">
      <c r="A101" s="1243"/>
      <c r="B101" s="1949"/>
      <c r="C101" s="1949"/>
      <c r="D101" s="572"/>
      <c r="J101" s="7715"/>
      <c r="K101" s="7715"/>
      <c r="L101" s="7715"/>
      <c r="M101" s="7715"/>
      <c r="N101" s="7715"/>
      <c r="O101" s="7715"/>
      <c r="P101" s="7715"/>
      <c r="Q101" s="7715"/>
      <c r="R101" s="7715"/>
      <c r="S101" s="7715"/>
      <c r="T101" s="7715"/>
      <c r="U101" s="7715"/>
      <c r="V101" s="7715"/>
      <c r="W101" s="7715"/>
      <c r="X101" s="7715"/>
      <c r="Y101" s="7715"/>
      <c r="Z101" s="7715"/>
      <c r="AA101" s="7715"/>
      <c r="AB101" s="7715"/>
      <c r="AC101" s="7715"/>
      <c r="AD101" s="7715"/>
      <c r="AE101" s="7715"/>
      <c r="AF101" s="7715"/>
      <c r="AG101" s="7715"/>
      <c r="AH101" s="7715"/>
      <c r="AI101" s="7715"/>
      <c r="AJ101" s="7715"/>
      <c r="AK101" s="7715"/>
      <c r="AL101" s="1421"/>
      <c r="AM101" s="1949"/>
      <c r="AN101" s="1949"/>
      <c r="AO101" s="1421"/>
      <c r="AP101" s="1421"/>
      <c r="AQ101" s="1421"/>
      <c r="AR101" s="1421"/>
      <c r="AS101" s="1949"/>
      <c r="AT101" s="1421"/>
      <c r="AU101" s="1421"/>
      <c r="AV101" s="781"/>
      <c r="AW101" s="1421"/>
      <c r="AX101" s="1421"/>
      <c r="AY101" s="1421"/>
      <c r="AZ101" s="1421"/>
      <c r="BA101" s="1421"/>
      <c r="BB101" s="1945"/>
      <c r="BC101" s="803"/>
      <c r="BD101" s="803"/>
      <c r="BE101" s="803"/>
      <c r="BF101" s="803"/>
    </row>
    <row s="10822" customFormat="1" customHeight="1" ht="11.25">
      <c r="A102" s="1243"/>
      <c r="B102" s="1949"/>
      <c r="C102" s="1949"/>
      <c r="D102" s="572"/>
      <c r="J102" s="7715"/>
      <c r="K102" s="7715"/>
      <c r="L102" s="7715"/>
      <c r="M102" s="7715"/>
      <c r="N102" s="7715"/>
      <c r="O102" s="7715"/>
      <c r="P102" s="7715"/>
      <c r="Q102" s="7715"/>
      <c r="R102" s="7715"/>
      <c r="S102" s="7715"/>
      <c r="T102" s="7715"/>
      <c r="U102" s="7715"/>
      <c r="V102" s="7715"/>
      <c r="W102" s="7715"/>
      <c r="X102" s="7715"/>
      <c r="Y102" s="7715"/>
      <c r="Z102" s="7715"/>
      <c r="AA102" s="7715"/>
      <c r="AB102" s="7715"/>
      <c r="AC102" s="7715"/>
      <c r="AD102" s="7715"/>
      <c r="AE102" s="7715"/>
      <c r="AF102" s="7715"/>
      <c r="AG102" s="7715"/>
      <c r="AH102" s="7715"/>
      <c r="AI102" s="7715"/>
      <c r="AJ102" s="7715"/>
      <c r="AK102" s="7715"/>
      <c r="AL102" s="1421"/>
      <c r="AM102" s="1949"/>
      <c r="AN102" s="1949"/>
      <c r="AO102" s="1421"/>
      <c r="AP102" s="1421"/>
      <c r="AQ102" s="1421"/>
      <c r="AR102" s="1421"/>
      <c r="AS102" s="1949"/>
      <c r="AT102" s="1421"/>
      <c r="AU102" s="1421"/>
      <c r="AV102" s="781"/>
      <c r="AW102" s="1421"/>
      <c r="AX102" s="1421"/>
      <c r="AY102" s="1421"/>
      <c r="AZ102" s="1421"/>
      <c r="BA102" s="1421"/>
      <c r="BB102" s="1945"/>
      <c r="BC102" s="803"/>
      <c r="BD102" s="803"/>
      <c r="BE102" s="803"/>
      <c r="BF102" s="803"/>
    </row>
    <row s="10822" customFormat="1" customHeight="1" ht="11.25">
      <c r="A103" s="1243"/>
      <c r="B103" s="1949"/>
      <c r="C103" s="1949"/>
      <c r="D103" s="572"/>
      <c r="J103" s="7715"/>
      <c r="K103" s="7715"/>
      <c r="L103" s="7715"/>
      <c r="M103" s="7715"/>
      <c r="N103" s="7715"/>
      <c r="O103" s="7715"/>
      <c r="P103" s="7715"/>
      <c r="Q103" s="7715"/>
      <c r="R103" s="7715"/>
      <c r="S103" s="7715"/>
      <c r="T103" s="7715"/>
      <c r="U103" s="7715"/>
      <c r="V103" s="7715"/>
      <c r="W103" s="7715"/>
      <c r="X103" s="7715"/>
      <c r="Y103" s="7715"/>
      <c r="Z103" s="7715"/>
      <c r="AA103" s="7715"/>
      <c r="AB103" s="7715"/>
      <c r="AC103" s="7715"/>
      <c r="AD103" s="7715"/>
      <c r="AE103" s="7715"/>
      <c r="AF103" s="7715"/>
      <c r="AG103" s="7715"/>
      <c r="AH103" s="7715"/>
      <c r="AI103" s="7715"/>
      <c r="AJ103" s="7715"/>
      <c r="AK103" s="7715"/>
      <c r="AL103" s="1421"/>
      <c r="AM103" s="1949"/>
      <c r="AN103" s="1949"/>
      <c r="AO103" s="1421"/>
      <c r="AP103" s="1421"/>
      <c r="AQ103" s="1421"/>
      <c r="AR103" s="1421"/>
      <c r="AS103" s="1949"/>
      <c r="AT103" s="1421"/>
      <c r="AU103" s="1421"/>
      <c r="AV103" s="781"/>
      <c r="AW103" s="1421"/>
      <c r="AX103" s="1421"/>
      <c r="AY103" s="1421"/>
      <c r="AZ103" s="1421"/>
      <c r="BA103" s="1421"/>
      <c r="BB103" s="1945"/>
      <c r="BC103" s="803"/>
      <c r="BD103" s="803"/>
      <c r="BE103" s="803"/>
      <c r="BF103" s="803"/>
    </row>
    <row s="10822" customFormat="1" customHeight="1" ht="11.25">
      <c r="A104" s="1243"/>
      <c r="B104" s="1949"/>
      <c r="C104" s="1949"/>
      <c r="D104" s="572"/>
      <c r="J104" s="7715"/>
      <c r="K104" s="7715"/>
      <c r="L104" s="7715"/>
      <c r="M104" s="7715"/>
      <c r="N104" s="7715"/>
      <c r="O104" s="7715"/>
      <c r="P104" s="7715"/>
      <c r="Q104" s="7715"/>
      <c r="R104" s="7715"/>
      <c r="S104" s="7715"/>
      <c r="T104" s="7715"/>
      <c r="U104" s="7715"/>
      <c r="V104" s="7715"/>
      <c r="W104" s="7715"/>
      <c r="X104" s="7715"/>
      <c r="Y104" s="7715"/>
      <c r="Z104" s="7715"/>
      <c r="AA104" s="7715"/>
      <c r="AB104" s="7715"/>
      <c r="AC104" s="7715"/>
      <c r="AD104" s="7715"/>
      <c r="AE104" s="7715"/>
      <c r="AF104" s="7715"/>
      <c r="AG104" s="7715"/>
      <c r="AH104" s="7715"/>
      <c r="AI104" s="7715"/>
      <c r="AJ104" s="7715"/>
      <c r="AK104" s="7715"/>
      <c r="AL104" s="1421"/>
      <c r="AM104" s="1949"/>
      <c r="AN104" s="1949"/>
      <c r="AO104" s="1421"/>
      <c r="AP104" s="1421"/>
      <c r="AQ104" s="1421"/>
      <c r="AR104" s="1421"/>
      <c r="AS104" s="1949"/>
      <c r="AT104" s="1421"/>
      <c r="AU104" s="1421"/>
      <c r="AV104" s="781"/>
      <c r="AW104" s="1421"/>
      <c r="AX104" s="1421"/>
      <c r="AY104" s="1421"/>
      <c r="AZ104" s="1421"/>
      <c r="BA104" s="1421"/>
      <c r="BB104" s="1945"/>
      <c r="BC104" s="803"/>
      <c r="BD104" s="803"/>
      <c r="BE104" s="803"/>
      <c r="BF104" s="803"/>
    </row>
    <row s="10822" customFormat="1" customHeight="1" ht="11.25">
      <c r="A105" s="1243"/>
      <c r="B105" s="1949"/>
      <c r="C105" s="1949"/>
      <c r="D105" s="572"/>
      <c r="J105" s="7715"/>
      <c r="K105" s="7715"/>
      <c r="L105" s="7715"/>
      <c r="M105" s="7715"/>
      <c r="N105" s="7715"/>
      <c r="O105" s="7715"/>
      <c r="P105" s="7715"/>
      <c r="Q105" s="7715"/>
      <c r="R105" s="7715"/>
      <c r="S105" s="7715"/>
      <c r="T105" s="7715"/>
      <c r="U105" s="7715"/>
      <c r="V105" s="7715"/>
      <c r="W105" s="7715"/>
      <c r="X105" s="7715"/>
      <c r="Y105" s="7715"/>
      <c r="Z105" s="7715"/>
      <c r="AA105" s="7715"/>
      <c r="AB105" s="7715"/>
      <c r="AC105" s="7715"/>
      <c r="AD105" s="7715"/>
      <c r="AE105" s="7715"/>
      <c r="AF105" s="7715"/>
      <c r="AG105" s="7715"/>
      <c r="AH105" s="7715"/>
      <c r="AI105" s="7715"/>
      <c r="AJ105" s="7715"/>
      <c r="AK105" s="7715"/>
      <c r="AL105" s="1421"/>
      <c r="AM105" s="1949"/>
      <c r="AN105" s="1949"/>
      <c r="AO105" s="1421"/>
      <c r="AP105" s="1421"/>
      <c r="AQ105" s="1421"/>
      <c r="AR105" s="1421"/>
      <c r="AS105" s="1949"/>
      <c r="AT105" s="1421"/>
      <c r="AU105" s="1421"/>
      <c r="AV105" s="781"/>
      <c r="AW105" s="1421"/>
      <c r="AX105" s="1421"/>
      <c r="AY105" s="1421"/>
      <c r="AZ105" s="1421"/>
      <c r="BA105" s="1421"/>
      <c r="BB105" s="1945"/>
      <c r="BC105" s="803"/>
      <c r="BD105" s="803"/>
      <c r="BE105" s="803"/>
      <c r="BF105" s="803"/>
    </row>
    <row s="10822" customFormat="1" customHeight="1" ht="11.25">
      <c r="A106" s="1243"/>
      <c r="B106" s="1949"/>
      <c r="C106" s="1949"/>
      <c r="D106" s="572"/>
      <c r="J106" s="7715"/>
      <c r="K106" s="7715"/>
      <c r="L106" s="7715"/>
      <c r="M106" s="7715"/>
      <c r="N106" s="7715"/>
      <c r="O106" s="7715"/>
      <c r="P106" s="7715"/>
      <c r="Q106" s="7715"/>
      <c r="R106" s="7715"/>
      <c r="S106" s="7715"/>
      <c r="T106" s="7715"/>
      <c r="U106" s="7715"/>
      <c r="V106" s="7715"/>
      <c r="W106" s="7715"/>
      <c r="X106" s="7715"/>
      <c r="Y106" s="7715"/>
      <c r="Z106" s="7715"/>
      <c r="AA106" s="7715"/>
      <c r="AB106" s="7715"/>
      <c r="AC106" s="7715"/>
      <c r="AD106" s="7715"/>
      <c r="AE106" s="7715"/>
      <c r="AF106" s="7715"/>
      <c r="AG106" s="7715"/>
      <c r="AH106" s="7715"/>
      <c r="AI106" s="7715"/>
      <c r="AJ106" s="7715"/>
      <c r="AK106" s="7715"/>
      <c r="AL106" s="1421"/>
      <c r="AM106" s="1949"/>
      <c r="AN106" s="1949"/>
      <c r="AO106" s="1421"/>
      <c r="AP106" s="1421"/>
      <c r="AQ106" s="1421"/>
      <c r="AR106" s="1421"/>
      <c r="AS106" s="1949"/>
      <c r="AT106" s="1421"/>
      <c r="AU106" s="1421"/>
      <c r="AV106" s="781"/>
      <c r="AW106" s="1421"/>
      <c r="AX106" s="1421"/>
      <c r="AY106" s="1421"/>
      <c r="AZ106" s="1421"/>
      <c r="BA106" s="1421"/>
      <c r="BB106" s="1945"/>
      <c r="BC106" s="803"/>
      <c r="BD106" s="803"/>
      <c r="BE106" s="803"/>
      <c r="BF106" s="803"/>
    </row>
    <row s="10822" customFormat="1" customHeight="1" ht="11.25">
      <c r="A107" s="1243"/>
      <c r="B107" s="1949"/>
      <c r="C107" s="1949"/>
      <c r="D107" s="572"/>
      <c r="J107" s="7715"/>
      <c r="K107" s="7715"/>
      <c r="L107" s="7715"/>
      <c r="M107" s="7715"/>
      <c r="N107" s="7715"/>
      <c r="O107" s="7715"/>
      <c r="P107" s="7715"/>
      <c r="Q107" s="7715"/>
      <c r="R107" s="7715"/>
      <c r="S107" s="7715"/>
      <c r="T107" s="7715"/>
      <c r="U107" s="7715"/>
      <c r="V107" s="7715"/>
      <c r="W107" s="7715"/>
      <c r="X107" s="7715"/>
      <c r="Y107" s="7715"/>
      <c r="Z107" s="7715"/>
      <c r="AA107" s="7715"/>
      <c r="AB107" s="7715"/>
      <c r="AC107" s="7715"/>
      <c r="AD107" s="7715"/>
      <c r="AE107" s="7715"/>
      <c r="AF107" s="7715"/>
      <c r="AG107" s="7715"/>
      <c r="AH107" s="7715"/>
      <c r="AI107" s="7715"/>
      <c r="AJ107" s="7715"/>
      <c r="AK107" s="7715"/>
      <c r="AL107" s="1421"/>
      <c r="AM107" s="1949"/>
      <c r="AN107" s="1949"/>
      <c r="AO107" s="1421"/>
      <c r="AP107" s="1421"/>
      <c r="AQ107" s="1421"/>
      <c r="AR107" s="1421"/>
      <c r="AS107" s="1949"/>
      <c r="AT107" s="1421"/>
      <c r="AU107" s="1421"/>
      <c r="AV107" s="781"/>
      <c r="AW107" s="1421"/>
      <c r="AX107" s="1421"/>
      <c r="AY107" s="1421"/>
      <c r="AZ107" s="1421"/>
      <c r="BA107" s="1421"/>
      <c r="BB107" s="1945"/>
      <c r="BC107" s="803"/>
      <c r="BD107" s="803"/>
      <c r="BE107" s="803"/>
      <c r="BF107" s="803"/>
    </row>
    <row s="10822" customFormat="1" customHeight="1" ht="11.25">
      <c r="A108" s="1243"/>
      <c r="B108" s="1949"/>
      <c r="C108" s="1949"/>
      <c r="D108" s="572"/>
      <c r="J108" s="7715"/>
      <c r="K108" s="7715"/>
      <c r="L108" s="7715"/>
      <c r="M108" s="7715"/>
      <c r="N108" s="7715"/>
      <c r="O108" s="7715"/>
      <c r="P108" s="7715"/>
      <c r="Q108" s="7715"/>
      <c r="R108" s="7715"/>
      <c r="S108" s="7715"/>
      <c r="T108" s="7715"/>
      <c r="U108" s="7715"/>
      <c r="V108" s="7715"/>
      <c r="W108" s="7715"/>
      <c r="X108" s="7715"/>
      <c r="Y108" s="7715"/>
      <c r="Z108" s="7715"/>
      <c r="AA108" s="7715"/>
      <c r="AB108" s="7715"/>
      <c r="AC108" s="7715"/>
      <c r="AD108" s="7715"/>
      <c r="AE108" s="7715"/>
      <c r="AF108" s="7715"/>
      <c r="AG108" s="7715"/>
      <c r="AH108" s="7715"/>
      <c r="AI108" s="7715"/>
      <c r="AJ108" s="7715"/>
      <c r="AK108" s="7715"/>
      <c r="AL108" s="1421"/>
      <c r="AM108" s="1949"/>
      <c r="AN108" s="1949"/>
      <c r="AO108" s="1421"/>
      <c r="AP108" s="1421"/>
      <c r="AQ108" s="1421"/>
      <c r="AR108" s="1421"/>
      <c r="AS108" s="1949"/>
      <c r="AT108" s="1421"/>
      <c r="AU108" s="1421"/>
      <c r="AV108" s="781"/>
      <c r="AW108" s="1421"/>
      <c r="AX108" s="1421"/>
      <c r="AY108" s="1421"/>
      <c r="AZ108" s="1421"/>
      <c r="BA108" s="1421"/>
      <c r="BB108" s="1945"/>
      <c r="BC108" s="803"/>
      <c r="BD108" s="803"/>
      <c r="BE108" s="803"/>
      <c r="BF108" s="803"/>
    </row>
    <row s="10822" customFormat="1" customHeight="1" ht="11.25">
      <c r="A109" s="1243"/>
      <c r="B109" s="1949"/>
      <c r="C109" s="1949"/>
      <c r="D109" s="572"/>
      <c r="J109" s="7715"/>
      <c r="K109" s="7715"/>
      <c r="L109" s="7715"/>
      <c r="M109" s="7715"/>
      <c r="N109" s="7715"/>
      <c r="O109" s="7715"/>
      <c r="P109" s="7715"/>
      <c r="Q109" s="7715"/>
      <c r="R109" s="7715"/>
      <c r="S109" s="7715"/>
      <c r="T109" s="7715"/>
      <c r="U109" s="7715"/>
      <c r="V109" s="7715"/>
      <c r="W109" s="7715"/>
      <c r="X109" s="7715"/>
      <c r="Y109" s="7715"/>
      <c r="Z109" s="7715"/>
      <c r="AA109" s="7715"/>
      <c r="AB109" s="7715"/>
      <c r="AC109" s="7715"/>
      <c r="AD109" s="7715"/>
      <c r="AE109" s="7715"/>
      <c r="AF109" s="7715"/>
      <c r="AG109" s="7715"/>
      <c r="AH109" s="7715"/>
      <c r="AI109" s="7715"/>
      <c r="AJ109" s="7715"/>
      <c r="AK109" s="7715"/>
      <c r="AL109" s="1421"/>
      <c r="AM109" s="1949"/>
      <c r="AN109" s="1949"/>
      <c r="AO109" s="1421"/>
      <c r="AP109" s="1421"/>
      <c r="AQ109" s="1421"/>
      <c r="AR109" s="1421"/>
      <c r="AS109" s="1949"/>
      <c r="AT109" s="1421"/>
      <c r="AU109" s="1421"/>
      <c r="AV109" s="781"/>
      <c r="AW109" s="1421"/>
      <c r="AX109" s="1421"/>
      <c r="AY109" s="1421"/>
      <c r="AZ109" s="1421"/>
      <c r="BA109" s="1421"/>
      <c r="BB109" s="1945"/>
      <c r="BC109" s="803"/>
      <c r="BD109" s="803"/>
      <c r="BE109" s="803"/>
      <c r="BF109" s="803"/>
    </row>
    <row s="10822" customFormat="1" customHeight="1" ht="11.25">
      <c r="A110" s="1243"/>
      <c r="B110" s="1949"/>
      <c r="C110" s="1949"/>
      <c r="D110" s="572"/>
      <c r="J110" s="7715"/>
      <c r="K110" s="7715"/>
      <c r="L110" s="7715"/>
      <c r="M110" s="7715"/>
      <c r="N110" s="7715"/>
      <c r="O110" s="7715"/>
      <c r="P110" s="7715"/>
      <c r="Q110" s="7715"/>
      <c r="R110" s="7715"/>
      <c r="S110" s="7715"/>
      <c r="T110" s="7715"/>
      <c r="U110" s="7715"/>
      <c r="V110" s="7715"/>
      <c r="W110" s="7715"/>
      <c r="X110" s="7715"/>
      <c r="Y110" s="7715"/>
      <c r="Z110" s="7715"/>
      <c r="AA110" s="7715"/>
      <c r="AB110" s="7715"/>
      <c r="AC110" s="7715"/>
      <c r="AD110" s="7715"/>
      <c r="AE110" s="7715"/>
      <c r="AF110" s="7715"/>
      <c r="AG110" s="7715"/>
      <c r="AH110" s="7715"/>
      <c r="AI110" s="7715"/>
      <c r="AJ110" s="7715"/>
      <c r="AK110" s="7715"/>
      <c r="AL110" s="1421"/>
      <c r="AM110" s="1949"/>
      <c r="AN110" s="1949"/>
      <c r="AO110" s="1421"/>
      <c r="AP110" s="1421"/>
      <c r="AQ110" s="1421"/>
      <c r="AR110" s="1421"/>
      <c r="AS110" s="1949"/>
      <c r="AT110" s="1421"/>
      <c r="AU110" s="1421"/>
      <c r="AV110" s="781"/>
      <c r="AW110" s="1421"/>
      <c r="AX110" s="1421"/>
      <c r="AY110" s="1421"/>
      <c r="AZ110" s="1421"/>
      <c r="BA110" s="1421"/>
      <c r="BB110" s="1945"/>
      <c r="BC110" s="803"/>
      <c r="BD110" s="803"/>
      <c r="BE110" s="803"/>
      <c r="BF110" s="803"/>
    </row>
    <row s="10822" customFormat="1" customHeight="1" ht="11.25">
      <c r="A111" s="1243"/>
      <c r="B111" s="1949"/>
      <c r="C111" s="1949"/>
      <c r="D111" s="572"/>
      <c r="J111" s="7715"/>
      <c r="K111" s="7715"/>
      <c r="L111" s="7715"/>
      <c r="M111" s="7715"/>
      <c r="N111" s="7715"/>
      <c r="O111" s="7715"/>
      <c r="P111" s="7715"/>
      <c r="Q111" s="7715"/>
      <c r="R111" s="7715"/>
      <c r="S111" s="7715"/>
      <c r="T111" s="7715"/>
      <c r="U111" s="7715"/>
      <c r="V111" s="7715"/>
      <c r="W111" s="7715"/>
      <c r="X111" s="7715"/>
      <c r="Y111" s="7715"/>
      <c r="Z111" s="7715"/>
      <c r="AA111" s="7715"/>
      <c r="AB111" s="7715"/>
      <c r="AC111" s="7715"/>
      <c r="AD111" s="7715"/>
      <c r="AE111" s="7715"/>
      <c r="AF111" s="7715"/>
      <c r="AG111" s="7715"/>
      <c r="AH111" s="7715"/>
      <c r="AI111" s="7715"/>
      <c r="AJ111" s="7715"/>
      <c r="AK111" s="7715"/>
      <c r="AL111" s="1421"/>
      <c r="AM111" s="1949"/>
      <c r="AN111" s="1949"/>
      <c r="AO111" s="1421"/>
      <c r="AP111" s="1421"/>
      <c r="AQ111" s="1421"/>
      <c r="AR111" s="1421"/>
      <c r="AS111" s="1949"/>
      <c r="AT111" s="1421"/>
      <c r="AU111" s="1421"/>
      <c r="AV111" s="781"/>
      <c r="AW111" s="1421"/>
      <c r="AX111" s="1421"/>
      <c r="AY111" s="1421"/>
      <c r="AZ111" s="1421"/>
      <c r="BA111" s="1421"/>
      <c r="BB111" s="1945"/>
      <c r="BC111" s="803"/>
      <c r="BD111" s="803"/>
      <c r="BE111" s="803"/>
      <c r="BF111" s="803"/>
    </row>
    <row s="10822" customFormat="1" customHeight="1" ht="11.25">
      <c r="A112" s="1243"/>
      <c r="B112" s="1949"/>
      <c r="C112" s="1949"/>
      <c r="D112" s="572"/>
      <c r="J112" s="7715"/>
      <c r="K112" s="7715"/>
      <c r="L112" s="7715"/>
      <c r="M112" s="7715"/>
      <c r="N112" s="7715"/>
      <c r="O112" s="7715"/>
      <c r="P112" s="7715"/>
      <c r="Q112" s="7715"/>
      <c r="R112" s="7715"/>
      <c r="S112" s="7715"/>
      <c r="T112" s="7715"/>
      <c r="U112" s="7715"/>
      <c r="V112" s="7715"/>
      <c r="W112" s="7715"/>
      <c r="X112" s="7715"/>
      <c r="Y112" s="7715"/>
      <c r="Z112" s="7715"/>
      <c r="AA112" s="7715"/>
      <c r="AB112" s="7715"/>
      <c r="AC112" s="7715"/>
      <c r="AD112" s="7715"/>
      <c r="AE112" s="7715"/>
      <c r="AF112" s="7715"/>
      <c r="AG112" s="7715"/>
      <c r="AH112" s="7715"/>
      <c r="AI112" s="7715"/>
      <c r="AJ112" s="7715"/>
      <c r="AK112" s="7715"/>
      <c r="AL112" s="1421"/>
      <c r="AM112" s="1949"/>
      <c r="AN112" s="1949"/>
      <c r="AO112" s="1421"/>
      <c r="AP112" s="1421"/>
      <c r="AQ112" s="1421"/>
      <c r="AR112" s="1421"/>
      <c r="AS112" s="1949"/>
      <c r="AT112" s="1421"/>
      <c r="AU112" s="1421"/>
      <c r="AV112" s="781"/>
      <c r="AW112" s="1421"/>
      <c r="AX112" s="1421"/>
      <c r="AY112" s="1421"/>
      <c r="AZ112" s="1421"/>
      <c r="BA112" s="1421"/>
      <c r="BB112" s="1945"/>
      <c r="BC112" s="803"/>
      <c r="BD112" s="803"/>
      <c r="BE112" s="803"/>
      <c r="BF112" s="803"/>
    </row>
    <row s="10822" customFormat="1" customHeight="1" ht="11.25">
      <c r="A113" s="1243"/>
      <c r="B113" s="1949"/>
      <c r="C113" s="1949"/>
      <c r="D113" s="572"/>
      <c r="J113" s="7715"/>
      <c r="K113" s="7715"/>
      <c r="L113" s="7715"/>
      <c r="M113" s="7715"/>
      <c r="N113" s="7715"/>
      <c r="O113" s="7715"/>
      <c r="P113" s="7715"/>
      <c r="Q113" s="7715"/>
      <c r="R113" s="7715"/>
      <c r="S113" s="7715"/>
      <c r="T113" s="7715"/>
      <c r="U113" s="7715"/>
      <c r="V113" s="7715"/>
      <c r="W113" s="7715"/>
      <c r="X113" s="7715"/>
      <c r="Y113" s="7715"/>
      <c r="Z113" s="7715"/>
      <c r="AA113" s="7715"/>
      <c r="AB113" s="7715"/>
      <c r="AC113" s="7715"/>
      <c r="AD113" s="7715"/>
      <c r="AE113" s="7715"/>
      <c r="AF113" s="7715"/>
      <c r="AG113" s="7715"/>
      <c r="AH113" s="7715"/>
      <c r="AI113" s="7715"/>
      <c r="AJ113" s="7715"/>
      <c r="AK113" s="7715"/>
      <c r="AL113" s="1421"/>
      <c r="AM113" s="1949"/>
      <c r="AN113" s="1949"/>
      <c r="AO113" s="1421"/>
      <c r="AP113" s="1421"/>
      <c r="AQ113" s="1421"/>
      <c r="AR113" s="1421"/>
      <c r="AS113" s="1949"/>
      <c r="AT113" s="1421"/>
      <c r="AU113" s="1421"/>
      <c r="AV113" s="781"/>
      <c r="AW113" s="1421"/>
      <c r="AX113" s="1421"/>
      <c r="AY113" s="1421"/>
      <c r="AZ113" s="1421"/>
      <c r="BA113" s="1421"/>
      <c r="BB113" s="1945"/>
      <c r="BC113" s="803"/>
      <c r="BD113" s="803"/>
      <c r="BE113" s="803"/>
      <c r="BF113" s="803"/>
    </row>
    <row s="10822" customFormat="1" customHeight="1" ht="11.25">
      <c r="A114" s="1243"/>
      <c r="B114" s="1949"/>
      <c r="C114" s="1949"/>
      <c r="D114" s="572"/>
      <c r="J114" s="7715"/>
      <c r="K114" s="7715"/>
      <c r="L114" s="7715"/>
      <c r="M114" s="7715"/>
      <c r="N114" s="7715"/>
      <c r="O114" s="7715"/>
      <c r="P114" s="7715"/>
      <c r="Q114" s="7715"/>
      <c r="R114" s="7715"/>
      <c r="S114" s="7715"/>
      <c r="T114" s="7715"/>
      <c r="U114" s="7715"/>
      <c r="V114" s="7715"/>
      <c r="W114" s="7715"/>
      <c r="X114" s="7715"/>
      <c r="Y114" s="7715"/>
      <c r="Z114" s="7715"/>
      <c r="AA114" s="7715"/>
      <c r="AB114" s="7715"/>
      <c r="AC114" s="7715"/>
      <c r="AD114" s="7715"/>
      <c r="AE114" s="7715"/>
      <c r="AF114" s="7715"/>
      <c r="AG114" s="7715"/>
      <c r="AH114" s="7715"/>
      <c r="AI114" s="7715"/>
      <c r="AJ114" s="7715"/>
      <c r="AK114" s="7715"/>
      <c r="AL114" s="1421"/>
      <c r="AM114" s="1949"/>
      <c r="AN114" s="1949"/>
      <c r="AO114" s="1421"/>
      <c r="AP114" s="1421"/>
      <c r="AQ114" s="1421"/>
      <c r="AR114" s="1421"/>
      <c r="AS114" s="1949"/>
      <c r="AT114" s="1421"/>
      <c r="AU114" s="1421"/>
      <c r="AV114" s="781"/>
      <c r="AW114" s="1421"/>
      <c r="AX114" s="1421"/>
      <c r="AY114" s="1421"/>
      <c r="AZ114" s="1421"/>
      <c r="BA114" s="1421"/>
      <c r="BB114" s="1945"/>
      <c r="BC114" s="803"/>
      <c r="BD114" s="803"/>
      <c r="BE114" s="803"/>
      <c r="BF114" s="803"/>
    </row>
    <row s="10822" customFormat="1" customHeight="1" ht="11.25">
      <c r="A115" s="1243"/>
      <c r="B115" s="1949"/>
      <c r="C115" s="1949"/>
      <c r="D115" s="572"/>
      <c r="J115" s="7715"/>
      <c r="K115" s="7715"/>
      <c r="L115" s="7715"/>
      <c r="M115" s="7715"/>
      <c r="N115" s="7715"/>
      <c r="O115" s="7715"/>
      <c r="P115" s="7715"/>
      <c r="Q115" s="7715"/>
      <c r="R115" s="7715"/>
      <c r="S115" s="7715"/>
      <c r="T115" s="7715"/>
      <c r="U115" s="7715"/>
      <c r="V115" s="7715"/>
      <c r="W115" s="7715"/>
      <c r="X115" s="7715"/>
      <c r="Y115" s="7715"/>
      <c r="Z115" s="7715"/>
      <c r="AA115" s="7715"/>
      <c r="AB115" s="7715"/>
      <c r="AC115" s="7715"/>
      <c r="AD115" s="7715"/>
      <c r="AE115" s="7715"/>
      <c r="AF115" s="7715"/>
      <c r="AG115" s="7715"/>
      <c r="AH115" s="7715"/>
      <c r="AI115" s="7715"/>
      <c r="AJ115" s="7715"/>
      <c r="AK115" s="7715"/>
      <c r="AL115" s="1421"/>
      <c r="AM115" s="1949"/>
      <c r="AN115" s="1949"/>
      <c r="AO115" s="1421"/>
      <c r="AP115" s="1421"/>
      <c r="AQ115" s="1421"/>
      <c r="AR115" s="1421"/>
      <c r="AS115" s="1949"/>
      <c r="AT115" s="1421"/>
      <c r="AU115" s="1421"/>
      <c r="AV115" s="781"/>
      <c r="AW115" s="1421"/>
      <c r="AX115" s="1421"/>
      <c r="AY115" s="1421"/>
      <c r="AZ115" s="1421"/>
      <c r="BA115" s="1421"/>
      <c r="BB115" s="1945"/>
      <c r="BC115" s="803"/>
      <c r="BD115" s="803"/>
      <c r="BE115" s="803"/>
      <c r="BF115" s="803"/>
    </row>
    <row s="10822" customFormat="1" customHeight="1" ht="11.25">
      <c r="A116" s="1243"/>
      <c r="B116" s="1949"/>
      <c r="C116" s="1949"/>
      <c r="D116" s="572"/>
      <c r="J116" s="7715"/>
      <c r="K116" s="7715"/>
      <c r="L116" s="7715"/>
      <c r="M116" s="7715"/>
      <c r="N116" s="7715"/>
      <c r="O116" s="7715"/>
      <c r="P116" s="7715"/>
      <c r="Q116" s="7715"/>
      <c r="R116" s="7715"/>
      <c r="S116" s="7715"/>
      <c r="T116" s="7715"/>
      <c r="U116" s="7715"/>
      <c r="V116" s="7715"/>
      <c r="W116" s="7715"/>
      <c r="X116" s="7715"/>
      <c r="Y116" s="7715"/>
      <c r="Z116" s="7715"/>
      <c r="AA116" s="7715"/>
      <c r="AB116" s="7715"/>
      <c r="AC116" s="7715"/>
      <c r="AD116" s="7715"/>
      <c r="AE116" s="7715"/>
      <c r="AF116" s="7715"/>
      <c r="AG116" s="7715"/>
      <c r="AH116" s="7715"/>
      <c r="AI116" s="7715"/>
      <c r="AJ116" s="7715"/>
      <c r="AK116" s="7715"/>
      <c r="AL116" s="1421"/>
      <c r="AM116" s="1949"/>
      <c r="AN116" s="1949"/>
      <c r="AO116" s="1421"/>
      <c r="AP116" s="1421"/>
      <c r="AQ116" s="1421"/>
      <c r="AR116" s="1421"/>
      <c r="AS116" s="1949"/>
      <c r="AT116" s="1421"/>
      <c r="AU116" s="1421"/>
      <c r="AV116" s="781"/>
      <c r="AW116" s="1421"/>
      <c r="AX116" s="1421"/>
      <c r="AY116" s="1421"/>
      <c r="AZ116" s="1421"/>
      <c r="BA116" s="1421"/>
      <c r="BB116" s="1945"/>
      <c r="BC116" s="803"/>
      <c r="BD116" s="803"/>
      <c r="BE116" s="803"/>
      <c r="BF116" s="803"/>
    </row>
    <row s="10822" customFormat="1" customHeight="1" ht="11.25">
      <c r="A117" s="1243"/>
      <c r="B117" s="1949"/>
      <c r="C117" s="1949"/>
      <c r="D117" s="572"/>
      <c r="J117" s="7715"/>
      <c r="K117" s="7715"/>
      <c r="L117" s="7715"/>
      <c r="M117" s="7715"/>
      <c r="N117" s="7715"/>
      <c r="O117" s="7715"/>
      <c r="P117" s="7715"/>
      <c r="Q117" s="7715"/>
      <c r="R117" s="7715"/>
      <c r="S117" s="7715"/>
      <c r="T117" s="7715"/>
      <c r="U117" s="7715"/>
      <c r="V117" s="7715"/>
      <c r="W117" s="7715"/>
      <c r="X117" s="7715"/>
      <c r="Y117" s="7715"/>
      <c r="Z117" s="7715"/>
      <c r="AA117" s="7715"/>
      <c r="AB117" s="7715"/>
      <c r="AC117" s="7715"/>
      <c r="AD117" s="7715"/>
      <c r="AE117" s="7715"/>
      <c r="AF117" s="7715"/>
      <c r="AG117" s="7715"/>
      <c r="AH117" s="7715"/>
      <c r="AI117" s="7715"/>
      <c r="AJ117" s="7715"/>
      <c r="AK117" s="7715"/>
      <c r="AL117" s="1421"/>
      <c r="AM117" s="1949"/>
      <c r="AN117" s="1949"/>
      <c r="AO117" s="1421"/>
      <c r="AP117" s="1421"/>
      <c r="AQ117" s="1421"/>
      <c r="AR117" s="1421"/>
      <c r="AS117" s="1949"/>
      <c r="AT117" s="1421"/>
      <c r="AU117" s="1421"/>
      <c r="AV117" s="781"/>
      <c r="AW117" s="1421"/>
      <c r="AX117" s="1421"/>
      <c r="AY117" s="1421"/>
      <c r="AZ117" s="1421"/>
      <c r="BA117" s="1421"/>
      <c r="BB117" s="1945"/>
      <c r="BC117" s="803"/>
      <c r="BD117" s="803"/>
      <c r="BE117" s="803"/>
      <c r="BF117" s="803"/>
    </row>
    <row s="10822" customFormat="1" customHeight="1" ht="11.25">
      <c r="A118" s="1243"/>
      <c r="B118" s="1949"/>
      <c r="C118" s="1949"/>
      <c r="D118" s="572"/>
      <c r="J118" s="7715"/>
      <c r="K118" s="7715"/>
      <c r="L118" s="7715"/>
      <c r="M118" s="7715"/>
      <c r="N118" s="7715"/>
      <c r="O118" s="7715"/>
      <c r="P118" s="7715"/>
      <c r="Q118" s="7715"/>
      <c r="R118" s="7715"/>
      <c r="S118" s="7715"/>
      <c r="T118" s="7715"/>
      <c r="U118" s="7715"/>
      <c r="V118" s="7715"/>
      <c r="W118" s="7715"/>
      <c r="X118" s="7715"/>
      <c r="Y118" s="7715"/>
      <c r="Z118" s="7715"/>
      <c r="AA118" s="7715"/>
      <c r="AB118" s="7715"/>
      <c r="AC118" s="7715"/>
      <c r="AD118" s="7715"/>
      <c r="AE118" s="7715"/>
      <c r="AF118" s="7715"/>
      <c r="AG118" s="7715"/>
      <c r="AH118" s="7715"/>
      <c r="AI118" s="7715"/>
      <c r="AJ118" s="7715"/>
      <c r="AK118" s="7715"/>
      <c r="AL118" s="1421"/>
      <c r="AM118" s="1949"/>
      <c r="AN118" s="1949"/>
      <c r="AO118" s="1421"/>
      <c r="AP118" s="1421"/>
      <c r="AQ118" s="1421"/>
      <c r="AR118" s="1421"/>
      <c r="AS118" s="1949"/>
      <c r="AT118" s="1421"/>
      <c r="AU118" s="1421"/>
      <c r="AV118" s="781"/>
      <c r="AW118" s="1421"/>
      <c r="AX118" s="1421"/>
      <c r="AY118" s="1421"/>
      <c r="AZ118" s="1421"/>
      <c r="BA118" s="1421"/>
      <c r="BB118" s="1945"/>
      <c r="BC118" s="803"/>
      <c r="BD118" s="803"/>
      <c r="BE118" s="803"/>
      <c r="BF118" s="803"/>
    </row>
    <row s="10822" customFormat="1" customHeight="1" ht="11.25">
      <c r="A119" s="1243"/>
      <c r="B119" s="1949"/>
      <c r="C119" s="1949"/>
      <c r="D119" s="572"/>
      <c r="J119" s="7715"/>
      <c r="K119" s="7715"/>
      <c r="L119" s="7715"/>
      <c r="M119" s="7715"/>
      <c r="N119" s="7715"/>
      <c r="O119" s="7715"/>
      <c r="P119" s="7715"/>
      <c r="Q119" s="7715"/>
      <c r="R119" s="7715"/>
      <c r="S119" s="7715"/>
      <c r="T119" s="7715"/>
      <c r="U119" s="7715"/>
      <c r="V119" s="7715"/>
      <c r="W119" s="7715"/>
      <c r="X119" s="7715"/>
      <c r="Y119" s="7715"/>
      <c r="Z119" s="7715"/>
      <c r="AA119" s="7715"/>
      <c r="AB119" s="7715"/>
      <c r="AC119" s="7715"/>
      <c r="AD119" s="7715"/>
      <c r="AE119" s="7715"/>
      <c r="AF119" s="7715"/>
      <c r="AG119" s="7715"/>
      <c r="AH119" s="7715"/>
      <c r="AI119" s="7715"/>
      <c r="AJ119" s="7715"/>
      <c r="AK119" s="7715"/>
      <c r="AL119" s="1421"/>
      <c r="AM119" s="1949"/>
      <c r="AN119" s="1949"/>
      <c r="AO119" s="1421"/>
      <c r="AP119" s="1421"/>
      <c r="AQ119" s="1421"/>
      <c r="AR119" s="1421"/>
      <c r="AS119" s="1949"/>
      <c r="AT119" s="1421"/>
      <c r="AU119" s="1421"/>
      <c r="AV119" s="781"/>
      <c r="AW119" s="1421"/>
      <c r="AX119" s="1421"/>
      <c r="AY119" s="1421"/>
      <c r="AZ119" s="1421"/>
      <c r="BA119" s="1421"/>
      <c r="BB119" s="1945"/>
      <c r="BC119" s="803"/>
      <c r="BD119" s="803"/>
      <c r="BE119" s="803"/>
      <c r="BF119" s="803"/>
    </row>
    <row s="10822" customFormat="1" customHeight="1" ht="11.25">
      <c r="A120" s="1243"/>
      <c r="B120" s="1949"/>
      <c r="C120" s="1949"/>
      <c r="D120" s="572"/>
      <c r="J120" s="7715"/>
      <c r="K120" s="7715"/>
      <c r="L120" s="7715"/>
      <c r="M120" s="7715"/>
      <c r="N120" s="7715"/>
      <c r="O120" s="7715"/>
      <c r="P120" s="7715"/>
      <c r="Q120" s="7715"/>
      <c r="R120" s="7715"/>
      <c r="S120" s="7715"/>
      <c r="T120" s="7715"/>
      <c r="U120" s="7715"/>
      <c r="V120" s="7715"/>
      <c r="W120" s="7715"/>
      <c r="X120" s="7715"/>
      <c r="Y120" s="7715"/>
      <c r="Z120" s="7715"/>
      <c r="AA120" s="7715"/>
      <c r="AB120" s="7715"/>
      <c r="AC120" s="7715"/>
      <c r="AD120" s="7715"/>
      <c r="AE120" s="7715"/>
      <c r="AF120" s="7715"/>
      <c r="AG120" s="7715"/>
      <c r="AH120" s="7715"/>
      <c r="AI120" s="7715"/>
      <c r="AJ120" s="7715"/>
      <c r="AK120" s="7715"/>
      <c r="AL120" s="1421"/>
      <c r="AM120" s="1949"/>
      <c r="AN120" s="1949"/>
      <c r="AO120" s="1421"/>
      <c r="AP120" s="1421"/>
      <c r="AQ120" s="1421"/>
      <c r="AR120" s="1421"/>
      <c r="AS120" s="1949"/>
      <c r="AT120" s="1421"/>
      <c r="AU120" s="1421"/>
      <c r="AV120" s="781"/>
      <c r="AW120" s="1421"/>
      <c r="AX120" s="1421"/>
      <c r="AY120" s="1421"/>
      <c r="AZ120" s="1421"/>
      <c r="BA120" s="1421"/>
      <c r="BB120" s="1945"/>
      <c r="BC120" s="803"/>
      <c r="BD120" s="803"/>
      <c r="BE120" s="803"/>
      <c r="BF120" s="803"/>
    </row>
    <row s="10822" customFormat="1" customHeight="1" ht="11.25">
      <c r="A121" s="1243"/>
      <c r="B121" s="1949"/>
      <c r="C121" s="1949"/>
      <c r="D121" s="572"/>
      <c r="J121" s="7715"/>
      <c r="K121" s="7715"/>
      <c r="L121" s="7715"/>
      <c r="M121" s="7715"/>
      <c r="N121" s="7715"/>
      <c r="O121" s="7715"/>
      <c r="P121" s="7715"/>
      <c r="Q121" s="7715"/>
      <c r="R121" s="7715"/>
      <c r="S121" s="7715"/>
      <c r="T121" s="7715"/>
      <c r="U121" s="7715"/>
      <c r="V121" s="7715"/>
      <c r="W121" s="7715"/>
      <c r="X121" s="7715"/>
      <c r="Y121" s="7715"/>
      <c r="Z121" s="7715"/>
      <c r="AA121" s="7715"/>
      <c r="AB121" s="7715"/>
      <c r="AC121" s="7715"/>
      <c r="AD121" s="7715"/>
      <c r="AE121" s="7715"/>
      <c r="AF121" s="7715"/>
      <c r="AG121" s="7715"/>
      <c r="AH121" s="7715"/>
      <c r="AI121" s="7715"/>
      <c r="AJ121" s="7715"/>
      <c r="AK121" s="7715"/>
      <c r="AL121" s="1421"/>
      <c r="AM121" s="1949"/>
      <c r="AN121" s="1949"/>
      <c r="AO121" s="1421"/>
      <c r="AP121" s="1421"/>
      <c r="AQ121" s="1421"/>
      <c r="AR121" s="1421"/>
      <c r="AS121" s="1949"/>
      <c r="AT121" s="1421"/>
      <c r="AU121" s="1421"/>
      <c r="AV121" s="781"/>
      <c r="AW121" s="1421"/>
      <c r="AX121" s="1421"/>
      <c r="AY121" s="1421"/>
      <c r="AZ121" s="1421"/>
      <c r="BA121" s="1421"/>
      <c r="BB121" s="1945"/>
      <c r="BC121" s="803"/>
      <c r="BD121" s="803"/>
      <c r="BE121" s="803"/>
      <c r="BF121" s="803"/>
    </row>
    <row s="10822" customFormat="1" customHeight="1" ht="11.25">
      <c r="A122" s="1243"/>
      <c r="B122" s="1949"/>
      <c r="C122" s="1949"/>
      <c r="D122" s="572"/>
      <c r="J122" s="7715"/>
      <c r="K122" s="7715"/>
      <c r="L122" s="7715"/>
      <c r="M122" s="7715"/>
      <c r="N122" s="7715"/>
      <c r="O122" s="7715"/>
      <c r="P122" s="7715"/>
      <c r="Q122" s="7715"/>
      <c r="R122" s="7715"/>
      <c r="S122" s="7715"/>
      <c r="T122" s="7715"/>
      <c r="U122" s="7715"/>
      <c r="V122" s="7715"/>
      <c r="W122" s="7715"/>
      <c r="X122" s="7715"/>
      <c r="Y122" s="7715"/>
      <c r="Z122" s="7715"/>
      <c r="AA122" s="7715"/>
      <c r="AB122" s="7715"/>
      <c r="AC122" s="7715"/>
      <c r="AD122" s="7715"/>
      <c r="AE122" s="7715"/>
      <c r="AF122" s="7715"/>
      <c r="AG122" s="7715"/>
      <c r="AH122" s="7715"/>
      <c r="AI122" s="7715"/>
      <c r="AJ122" s="7715"/>
      <c r="AK122" s="7715"/>
      <c r="AL122" s="1421"/>
      <c r="AM122" s="1949"/>
      <c r="AN122" s="1949"/>
      <c r="AO122" s="1421"/>
      <c r="AP122" s="1421"/>
      <c r="AQ122" s="1421"/>
      <c r="AR122" s="1421"/>
      <c r="AS122" s="1949"/>
      <c r="AT122" s="1421"/>
      <c r="AU122" s="1421"/>
      <c r="AV122" s="781"/>
      <c r="AW122" s="1421"/>
      <c r="AX122" s="1421"/>
      <c r="AY122" s="1421"/>
      <c r="AZ122" s="1421"/>
      <c r="BA122" s="1421"/>
      <c r="BB122" s="1945"/>
      <c r="BC122" s="803"/>
      <c r="BD122" s="803"/>
      <c r="BE122" s="803"/>
      <c r="BF122" s="803"/>
    </row>
    <row s="10822" customFormat="1" customHeight="1" ht="11.25">
      <c r="A123" s="1243"/>
      <c r="B123" s="1949"/>
      <c r="C123" s="1949"/>
      <c r="D123" s="572"/>
      <c r="J123" s="7715"/>
      <c r="K123" s="7715"/>
      <c r="L123" s="7715"/>
      <c r="M123" s="7715"/>
      <c r="N123" s="7715"/>
      <c r="O123" s="7715"/>
      <c r="P123" s="7715"/>
      <c r="Q123" s="7715"/>
      <c r="R123" s="7715"/>
      <c r="S123" s="7715"/>
      <c r="T123" s="7715"/>
      <c r="U123" s="7715"/>
      <c r="V123" s="7715"/>
      <c r="W123" s="7715"/>
      <c r="X123" s="7715"/>
      <c r="Y123" s="7715"/>
      <c r="Z123" s="7715"/>
      <c r="AA123" s="7715"/>
      <c r="AB123" s="7715"/>
      <c r="AC123" s="7715"/>
      <c r="AD123" s="7715"/>
      <c r="AE123" s="7715"/>
      <c r="AF123" s="7715"/>
      <c r="AG123" s="7715"/>
      <c r="AH123" s="7715"/>
      <c r="AI123" s="7715"/>
      <c r="AJ123" s="7715"/>
      <c r="AK123" s="7715"/>
      <c r="AL123" s="1421"/>
      <c r="AM123" s="1949"/>
      <c r="AN123" s="1949"/>
      <c r="AO123" s="1421"/>
      <c r="AP123" s="1421"/>
      <c r="AQ123" s="1421"/>
      <c r="AR123" s="1421"/>
      <c r="AS123" s="1949"/>
      <c r="AT123" s="1421"/>
      <c r="AU123" s="1421"/>
      <c r="AV123" s="781"/>
      <c r="AW123" s="1421"/>
      <c r="AX123" s="1421"/>
      <c r="AY123" s="1421"/>
      <c r="AZ123" s="1421"/>
      <c r="BA123" s="1421"/>
      <c r="BB123" s="1945"/>
      <c r="BC123" s="803"/>
      <c r="BD123" s="803"/>
      <c r="BE123" s="803"/>
      <c r="BF123" s="803"/>
    </row>
    <row s="10822" customFormat="1" customHeight="1" ht="11.25">
      <c r="A124" s="1243"/>
      <c r="B124" s="1949"/>
      <c r="C124" s="1949"/>
      <c r="D124" s="572"/>
      <c r="J124" s="7715"/>
      <c r="K124" s="7715"/>
      <c r="L124" s="7715"/>
      <c r="M124" s="7715"/>
      <c r="N124" s="7715"/>
      <c r="O124" s="7715"/>
      <c r="P124" s="7715"/>
      <c r="Q124" s="7715"/>
      <c r="R124" s="7715"/>
      <c r="S124" s="7715"/>
      <c r="T124" s="7715"/>
      <c r="U124" s="7715"/>
      <c r="V124" s="7715"/>
      <c r="W124" s="7715"/>
      <c r="X124" s="7715"/>
      <c r="Y124" s="7715"/>
      <c r="Z124" s="7715"/>
      <c r="AA124" s="7715"/>
      <c r="AB124" s="7715"/>
      <c r="AC124" s="7715"/>
      <c r="AD124" s="7715"/>
      <c r="AE124" s="7715"/>
      <c r="AF124" s="7715"/>
      <c r="AG124" s="7715"/>
      <c r="AH124" s="7715"/>
      <c r="AI124" s="7715"/>
      <c r="AJ124" s="7715"/>
      <c r="AK124" s="7715"/>
      <c r="AL124" s="1421"/>
      <c r="AM124" s="1949"/>
      <c r="AN124" s="1949"/>
      <c r="AO124" s="1421"/>
      <c r="AP124" s="1421"/>
      <c r="AQ124" s="1421"/>
      <c r="AR124" s="1421"/>
      <c r="AS124" s="1949"/>
      <c r="AT124" s="1421"/>
      <c r="AU124" s="1421"/>
      <c r="AV124" s="781"/>
      <c r="AW124" s="1421"/>
      <c r="AX124" s="1421"/>
      <c r="AY124" s="1421"/>
      <c r="AZ124" s="1421"/>
      <c r="BA124" s="1421"/>
      <c r="BB124" s="1945"/>
      <c r="BC124" s="803"/>
      <c r="BD124" s="803"/>
      <c r="BE124" s="803"/>
      <c r="BF124" s="803"/>
    </row>
    <row s="10822" customFormat="1" customHeight="1" ht="11.25">
      <c r="A125" s="1243"/>
      <c r="B125" s="1949"/>
      <c r="C125" s="1949"/>
      <c r="D125" s="572"/>
      <c r="J125" s="7715"/>
      <c r="K125" s="7715"/>
      <c r="L125" s="7715"/>
      <c r="M125" s="7715"/>
      <c r="N125" s="7715"/>
      <c r="O125" s="7715"/>
      <c r="P125" s="7715"/>
      <c r="Q125" s="7715"/>
      <c r="R125" s="7715"/>
      <c r="S125" s="7715"/>
      <c r="T125" s="7715"/>
      <c r="U125" s="7715"/>
      <c r="V125" s="7715"/>
      <c r="W125" s="7715"/>
      <c r="X125" s="7715"/>
      <c r="Y125" s="7715"/>
      <c r="Z125" s="7715"/>
      <c r="AA125" s="7715"/>
      <c r="AB125" s="7715"/>
      <c r="AC125" s="7715"/>
      <c r="AD125" s="7715"/>
      <c r="AE125" s="7715"/>
      <c r="AF125" s="7715"/>
      <c r="AG125" s="7715"/>
      <c r="AH125" s="7715"/>
      <c r="AI125" s="7715"/>
      <c r="AJ125" s="7715"/>
      <c r="AK125" s="7715"/>
      <c r="AL125" s="1421"/>
      <c r="AM125" s="1949"/>
      <c r="AN125" s="1949"/>
      <c r="AO125" s="1421"/>
      <c r="AP125" s="1421"/>
      <c r="AQ125" s="1421"/>
      <c r="AR125" s="1421"/>
      <c r="AS125" s="1949"/>
      <c r="AT125" s="1421"/>
      <c r="AU125" s="1421"/>
      <c r="AV125" s="781"/>
      <c r="AW125" s="1421"/>
      <c r="AX125" s="1421"/>
      <c r="AY125" s="1421"/>
      <c r="AZ125" s="1421"/>
      <c r="BA125" s="1421"/>
      <c r="BB125" s="1945"/>
      <c r="BC125" s="803"/>
      <c r="BD125" s="803"/>
      <c r="BE125" s="803"/>
      <c r="BF125" s="803"/>
    </row>
    <row s="10822" customFormat="1" customHeight="1" ht="11.25">
      <c r="A126" s="1243"/>
      <c r="B126" s="1949"/>
      <c r="C126" s="1949"/>
      <c r="D126" s="572"/>
      <c r="J126" s="7715"/>
      <c r="K126" s="7715"/>
      <c r="L126" s="7715"/>
      <c r="M126" s="7715"/>
      <c r="N126" s="7715"/>
      <c r="O126" s="7715"/>
      <c r="P126" s="7715"/>
      <c r="Q126" s="7715"/>
      <c r="R126" s="7715"/>
      <c r="S126" s="7715"/>
      <c r="T126" s="7715"/>
      <c r="U126" s="7715"/>
      <c r="V126" s="7715"/>
      <c r="W126" s="7715"/>
      <c r="X126" s="7715"/>
      <c r="Y126" s="7715"/>
      <c r="Z126" s="7715"/>
      <c r="AA126" s="7715"/>
      <c r="AB126" s="7715"/>
      <c r="AC126" s="7715"/>
      <c r="AD126" s="7715"/>
      <c r="AE126" s="7715"/>
      <c r="AF126" s="7715"/>
      <c r="AG126" s="7715"/>
      <c r="AH126" s="7715"/>
      <c r="AI126" s="7715"/>
      <c r="AJ126" s="7715"/>
      <c r="AK126" s="7715"/>
      <c r="AL126" s="1421"/>
      <c r="AM126" s="1949"/>
      <c r="AN126" s="1949"/>
      <c r="AO126" s="1421"/>
      <c r="AP126" s="1421"/>
      <c r="AQ126" s="1421"/>
      <c r="AR126" s="1421"/>
      <c r="AS126" s="1949"/>
      <c r="AT126" s="1421"/>
      <c r="AU126" s="1421"/>
      <c r="AV126" s="781"/>
      <c r="AW126" s="1421"/>
      <c r="AX126" s="1421"/>
      <c r="AY126" s="1421"/>
      <c r="AZ126" s="1421"/>
      <c r="BA126" s="1421"/>
      <c r="BB126" s="1945"/>
      <c r="BC126" s="803"/>
      <c r="BD126" s="803"/>
      <c r="BE126" s="803"/>
      <c r="BF126" s="803"/>
    </row>
    <row s="10822" customFormat="1" customHeight="1" ht="11.25">
      <c r="A127" s="1243"/>
      <c r="B127" s="1949"/>
      <c r="C127" s="1949"/>
      <c r="D127" s="572"/>
      <c r="J127" s="7715"/>
      <c r="K127" s="7715"/>
      <c r="L127" s="7715"/>
      <c r="M127" s="7715"/>
      <c r="N127" s="7715"/>
      <c r="O127" s="7715"/>
      <c r="P127" s="7715"/>
      <c r="Q127" s="7715"/>
      <c r="R127" s="7715"/>
      <c r="S127" s="7715"/>
      <c r="T127" s="7715"/>
      <c r="U127" s="7715"/>
      <c r="V127" s="7715"/>
      <c r="W127" s="7715"/>
      <c r="X127" s="7715"/>
      <c r="Y127" s="7715"/>
      <c r="Z127" s="7715"/>
      <c r="AA127" s="7715"/>
      <c r="AB127" s="7715"/>
      <c r="AC127" s="7715"/>
      <c r="AD127" s="7715"/>
      <c r="AE127" s="7715"/>
      <c r="AF127" s="7715"/>
      <c r="AG127" s="7715"/>
      <c r="AH127" s="7715"/>
      <c r="AI127" s="7715"/>
      <c r="AJ127" s="7715"/>
      <c r="AK127" s="7715"/>
      <c r="AL127" s="1421"/>
      <c r="AM127" s="1949"/>
      <c r="AN127" s="1949"/>
      <c r="AO127" s="1421"/>
      <c r="AP127" s="1421"/>
      <c r="AQ127" s="1421"/>
      <c r="AR127" s="1421"/>
      <c r="AS127" s="1949"/>
      <c r="AT127" s="1421"/>
      <c r="AU127" s="1421"/>
      <c r="AV127" s="781"/>
      <c r="AW127" s="1421"/>
      <c r="AX127" s="1421"/>
      <c r="AY127" s="1421"/>
      <c r="AZ127" s="1421"/>
      <c r="BA127" s="1421"/>
      <c r="BB127" s="1945"/>
      <c r="BC127" s="803"/>
      <c r="BD127" s="803"/>
      <c r="BE127" s="803"/>
      <c r="BF127" s="803"/>
    </row>
    <row s="10822" customFormat="1" customHeight="1" ht="11.25">
      <c r="A128" s="1243"/>
      <c r="B128" s="1949"/>
      <c r="C128" s="1949"/>
      <c r="D128" s="572"/>
      <c r="J128" s="7715"/>
      <c r="K128" s="7715"/>
      <c r="L128" s="7715"/>
      <c r="M128" s="7715"/>
      <c r="N128" s="7715"/>
      <c r="O128" s="7715"/>
      <c r="P128" s="7715"/>
      <c r="Q128" s="7715"/>
      <c r="R128" s="7715"/>
      <c r="S128" s="7715"/>
      <c r="T128" s="7715"/>
      <c r="U128" s="7715"/>
      <c r="V128" s="7715"/>
      <c r="W128" s="7715"/>
      <c r="X128" s="7715"/>
      <c r="Y128" s="7715"/>
      <c r="Z128" s="7715"/>
      <c r="AA128" s="7715"/>
      <c r="AB128" s="7715"/>
      <c r="AC128" s="7715"/>
      <c r="AD128" s="7715"/>
      <c r="AE128" s="7715"/>
      <c r="AF128" s="7715"/>
      <c r="AG128" s="7715"/>
      <c r="AH128" s="7715"/>
      <c r="AI128" s="7715"/>
      <c r="AJ128" s="7715"/>
      <c r="AK128" s="7715"/>
      <c r="AL128" s="1421"/>
      <c r="AM128" s="1949"/>
      <c r="AN128" s="1949"/>
      <c r="AO128" s="1421"/>
      <c r="AP128" s="1421"/>
      <c r="AQ128" s="1421"/>
      <c r="AR128" s="1421"/>
      <c r="AS128" s="1949"/>
      <c r="AT128" s="1421"/>
      <c r="AU128" s="1421"/>
      <c r="AV128" s="781"/>
      <c r="AW128" s="1421"/>
      <c r="AX128" s="1421"/>
      <c r="AY128" s="1421"/>
      <c r="AZ128" s="1421"/>
      <c r="BA128" s="1421"/>
      <c r="BB128" s="1945"/>
      <c r="BC128" s="803"/>
      <c r="BD128" s="803"/>
      <c r="BE128" s="803"/>
      <c r="BF128" s="803"/>
    </row>
    <row s="10822" customFormat="1" customHeight="1" ht="11.25">
      <c r="A129" s="1243"/>
      <c r="B129" s="1949"/>
      <c r="C129" s="1949"/>
      <c r="D129" s="572"/>
      <c r="J129" s="7715"/>
      <c r="K129" s="7715"/>
      <c r="L129" s="7715"/>
      <c r="M129" s="7715"/>
      <c r="N129" s="7715"/>
      <c r="O129" s="7715"/>
      <c r="P129" s="7715"/>
      <c r="Q129" s="7715"/>
      <c r="R129" s="7715"/>
      <c r="S129" s="7715"/>
      <c r="T129" s="7715"/>
      <c r="U129" s="7715"/>
      <c r="V129" s="7715"/>
      <c r="W129" s="7715"/>
      <c r="X129" s="7715"/>
      <c r="Y129" s="7715"/>
      <c r="Z129" s="7715"/>
      <c r="AA129" s="7715"/>
      <c r="AB129" s="7715"/>
      <c r="AC129" s="7715"/>
      <c r="AD129" s="7715"/>
      <c r="AE129" s="7715"/>
      <c r="AF129" s="7715"/>
      <c r="AG129" s="7715"/>
      <c r="AH129" s="7715"/>
      <c r="AI129" s="7715"/>
      <c r="AJ129" s="7715"/>
      <c r="AK129" s="7715"/>
      <c r="AL129" s="1421"/>
      <c r="AM129" s="1949"/>
      <c r="AN129" s="1949"/>
      <c r="AO129" s="1421"/>
      <c r="AP129" s="1421"/>
      <c r="AQ129" s="1421"/>
      <c r="AR129" s="1421"/>
      <c r="AS129" s="1949"/>
      <c r="AT129" s="1421"/>
      <c r="AU129" s="1421"/>
      <c r="AV129" s="781"/>
      <c r="AW129" s="1421"/>
      <c r="AX129" s="1421"/>
      <c r="AY129" s="1421"/>
      <c r="AZ129" s="1421"/>
      <c r="BA129" s="1421"/>
      <c r="BB129" s="1945"/>
      <c r="BC129" s="803"/>
      <c r="BD129" s="803"/>
      <c r="BE129" s="803"/>
      <c r="BF129" s="803"/>
    </row>
    <row s="10822" customFormat="1" customHeight="1" ht="11.25">
      <c r="A130" s="1243"/>
      <c r="B130" s="1949"/>
      <c r="C130" s="1949"/>
      <c r="D130" s="572"/>
      <c r="J130" s="7715"/>
      <c r="K130" s="7715"/>
      <c r="L130" s="7715"/>
      <c r="M130" s="7715"/>
      <c r="N130" s="7715"/>
      <c r="O130" s="7715"/>
      <c r="P130" s="7715"/>
      <c r="Q130" s="7715"/>
      <c r="R130" s="7715"/>
      <c r="S130" s="7715"/>
      <c r="T130" s="7715"/>
      <c r="U130" s="7715"/>
      <c r="V130" s="7715"/>
      <c r="W130" s="7715"/>
      <c r="X130" s="7715"/>
      <c r="Y130" s="7715"/>
      <c r="Z130" s="7715"/>
      <c r="AA130" s="7715"/>
      <c r="AB130" s="7715"/>
      <c r="AC130" s="7715"/>
      <c r="AD130" s="7715"/>
      <c r="AE130" s="7715"/>
      <c r="AF130" s="7715"/>
      <c r="AG130" s="7715"/>
      <c r="AH130" s="7715"/>
      <c r="AI130" s="7715"/>
      <c r="AJ130" s="7715"/>
      <c r="AK130" s="7715"/>
      <c r="AL130" s="1421"/>
      <c r="AM130" s="1949"/>
      <c r="AN130" s="1949"/>
      <c r="AO130" s="1421"/>
      <c r="AP130" s="1421"/>
      <c r="AQ130" s="1421"/>
      <c r="AR130" s="1421"/>
      <c r="AS130" s="1949"/>
      <c r="AT130" s="1421"/>
      <c r="AU130" s="1421"/>
      <c r="AV130" s="781"/>
      <c r="AW130" s="1421"/>
      <c r="AX130" s="1421"/>
      <c r="AY130" s="1421"/>
      <c r="AZ130" s="1421"/>
      <c r="BA130" s="1421"/>
      <c r="BB130" s="1945"/>
      <c r="BC130" s="803"/>
      <c r="BD130" s="803"/>
      <c r="BE130" s="803"/>
      <c r="BF130" s="803"/>
    </row>
    <row s="10822" customFormat="1" customHeight="1" ht="11.25">
      <c r="A131" s="1243"/>
      <c r="B131" s="1949"/>
      <c r="C131" s="1949"/>
      <c r="D131" s="572"/>
      <c r="J131" s="7715"/>
      <c r="K131" s="7715"/>
      <c r="L131" s="7715"/>
      <c r="M131" s="7715"/>
      <c r="N131" s="7715"/>
      <c r="O131" s="7715"/>
      <c r="P131" s="7715"/>
      <c r="Q131" s="7715"/>
      <c r="R131" s="7715"/>
      <c r="S131" s="7715"/>
      <c r="T131" s="7715"/>
      <c r="U131" s="7715"/>
      <c r="V131" s="7715"/>
      <c r="W131" s="7715"/>
      <c r="X131" s="7715"/>
      <c r="Y131" s="7715"/>
      <c r="Z131" s="7715"/>
      <c r="AA131" s="7715"/>
      <c r="AB131" s="7715"/>
      <c r="AC131" s="7715"/>
      <c r="AD131" s="7715"/>
      <c r="AE131" s="7715"/>
      <c r="AF131" s="7715"/>
      <c r="AG131" s="7715"/>
      <c r="AH131" s="7715"/>
      <c r="AI131" s="7715"/>
      <c r="AJ131" s="7715"/>
      <c r="AK131" s="7715"/>
      <c r="AL131" s="1421"/>
      <c r="AM131" s="1949"/>
      <c r="AN131" s="1949"/>
      <c r="AO131" s="1421"/>
      <c r="AP131" s="1421"/>
      <c r="AQ131" s="1421"/>
      <c r="AR131" s="1421"/>
      <c r="AS131" s="1949"/>
      <c r="AT131" s="1421"/>
      <c r="AU131" s="1421"/>
      <c r="AV131" s="781"/>
      <c r="AW131" s="1421"/>
      <c r="AX131" s="1421"/>
      <c r="AY131" s="1421"/>
      <c r="AZ131" s="1421"/>
      <c r="BA131" s="1421"/>
      <c r="BB131" s="1945"/>
      <c r="BC131" s="803"/>
      <c r="BD131" s="803"/>
      <c r="BE131" s="803"/>
      <c r="BF131" s="803"/>
    </row>
    <row s="10822" customFormat="1" customHeight="1" ht="11.25">
      <c r="A132" s="1243"/>
      <c r="B132" s="1949"/>
      <c r="C132" s="1949"/>
      <c r="D132" s="572"/>
      <c r="J132" s="7715"/>
      <c r="K132" s="7715"/>
      <c r="L132" s="7715"/>
      <c r="M132" s="7715"/>
      <c r="N132" s="7715"/>
      <c r="O132" s="7715"/>
      <c r="P132" s="7715"/>
      <c r="Q132" s="7715"/>
      <c r="R132" s="7715"/>
      <c r="S132" s="7715"/>
      <c r="T132" s="7715"/>
      <c r="U132" s="7715"/>
      <c r="V132" s="7715"/>
      <c r="W132" s="7715"/>
      <c r="X132" s="7715"/>
      <c r="Y132" s="7715"/>
      <c r="Z132" s="7715"/>
      <c r="AA132" s="7715"/>
      <c r="AB132" s="7715"/>
      <c r="AC132" s="7715"/>
      <c r="AD132" s="7715"/>
      <c r="AE132" s="7715"/>
      <c r="AF132" s="7715"/>
      <c r="AG132" s="7715"/>
      <c r="AH132" s="7715"/>
      <c r="AI132" s="7715"/>
      <c r="AJ132" s="7715"/>
      <c r="AK132" s="7715"/>
      <c r="AL132" s="1421"/>
      <c r="AM132" s="1949"/>
      <c r="AN132" s="1949"/>
      <c r="AO132" s="1421"/>
      <c r="AP132" s="1421"/>
      <c r="AQ132" s="1421"/>
      <c r="AR132" s="1421"/>
      <c r="AS132" s="1949"/>
      <c r="AT132" s="1421"/>
      <c r="AU132" s="1421"/>
      <c r="AV132" s="781"/>
      <c r="AW132" s="1421"/>
      <c r="AX132" s="1421"/>
      <c r="AY132" s="1421"/>
      <c r="AZ132" s="1421"/>
      <c r="BA132" s="1421"/>
      <c r="BB132" s="1945"/>
      <c r="BC132" s="803"/>
      <c r="BD132" s="803"/>
      <c r="BE132" s="803"/>
      <c r="BF132" s="803"/>
    </row>
    <row s="10822" customFormat="1" customHeight="1" ht="11.25">
      <c r="A133" s="1243"/>
      <c r="B133" s="1949"/>
      <c r="C133" s="1949"/>
      <c r="D133" s="572"/>
      <c r="J133" s="7715"/>
      <c r="K133" s="7715"/>
      <c r="L133" s="7715"/>
      <c r="M133" s="7715"/>
      <c r="N133" s="7715"/>
      <c r="O133" s="7715"/>
      <c r="P133" s="7715"/>
      <c r="Q133" s="7715"/>
      <c r="R133" s="7715"/>
      <c r="S133" s="7715"/>
      <c r="T133" s="7715"/>
      <c r="U133" s="7715"/>
      <c r="V133" s="7715"/>
      <c r="W133" s="7715"/>
      <c r="X133" s="7715"/>
      <c r="Y133" s="7715"/>
      <c r="Z133" s="7715"/>
      <c r="AA133" s="7715"/>
      <c r="AB133" s="7715"/>
      <c r="AC133" s="7715"/>
      <c r="AD133" s="7715"/>
      <c r="AE133" s="7715"/>
      <c r="AF133" s="7715"/>
      <c r="AG133" s="7715"/>
      <c r="AH133" s="7715"/>
      <c r="AI133" s="7715"/>
      <c r="AJ133" s="7715"/>
      <c r="AK133" s="7715"/>
      <c r="AL133" s="1421"/>
      <c r="AM133" s="1949"/>
      <c r="AN133" s="1949"/>
      <c r="AO133" s="1421"/>
      <c r="AP133" s="1421"/>
      <c r="AQ133" s="1421"/>
      <c r="AR133" s="1421"/>
      <c r="AS133" s="1949"/>
      <c r="AT133" s="1421"/>
      <c r="AU133" s="1421"/>
      <c r="AV133" s="781"/>
      <c r="AW133" s="1421"/>
      <c r="AX133" s="1421"/>
      <c r="AY133" s="1421"/>
      <c r="AZ133" s="1421"/>
      <c r="BA133" s="1421"/>
      <c r="BB133" s="1945"/>
      <c r="BC133" s="803"/>
      <c r="BD133" s="803"/>
      <c r="BE133" s="803"/>
      <c r="BF133" s="803"/>
    </row>
    <row s="10822" customFormat="1" customHeight="1" ht="11.25">
      <c r="A134" s="1243"/>
      <c r="B134" s="1949"/>
      <c r="C134" s="1949"/>
      <c r="D134" s="572"/>
      <c r="J134" s="7715"/>
      <c r="K134" s="7715"/>
      <c r="L134" s="7715"/>
      <c r="M134" s="7715"/>
      <c r="N134" s="7715"/>
      <c r="O134" s="7715"/>
      <c r="P134" s="7715"/>
      <c r="Q134" s="7715"/>
      <c r="R134" s="7715"/>
      <c r="S134" s="7715"/>
      <c r="T134" s="7715"/>
      <c r="U134" s="7715"/>
      <c r="V134" s="7715"/>
      <c r="W134" s="7715"/>
      <c r="X134" s="7715"/>
      <c r="Y134" s="7715"/>
      <c r="Z134" s="7715"/>
      <c r="AA134" s="7715"/>
      <c r="AB134" s="7715"/>
      <c r="AC134" s="7715"/>
      <c r="AD134" s="7715"/>
      <c r="AE134" s="7715"/>
      <c r="AF134" s="7715"/>
      <c r="AG134" s="7715"/>
      <c r="AH134" s="7715"/>
      <c r="AI134" s="7715"/>
      <c r="AJ134" s="7715"/>
      <c r="AK134" s="7715"/>
      <c r="AL134" s="1421"/>
      <c r="AM134" s="1949"/>
      <c r="AN134" s="1949"/>
      <c r="AO134" s="1421"/>
      <c r="AP134" s="1421"/>
      <c r="AQ134" s="1421"/>
      <c r="AR134" s="1421"/>
      <c r="AS134" s="1949"/>
      <c r="AT134" s="1421"/>
      <c r="AU134" s="1421"/>
      <c r="AV134" s="781"/>
      <c r="AW134" s="1421"/>
      <c r="AX134" s="1421"/>
      <c r="AY134" s="1421"/>
      <c r="AZ134" s="1421"/>
      <c r="BA134" s="1421"/>
      <c r="BB134" s="1945"/>
      <c r="BC134" s="803"/>
      <c r="BD134" s="803"/>
      <c r="BE134" s="803"/>
      <c r="BF134" s="803"/>
    </row>
    <row s="10822" customFormat="1" customHeight="1" ht="11.25">
      <c r="A135" s="1243"/>
      <c r="B135" s="1949"/>
      <c r="C135" s="1949"/>
      <c r="D135" s="572"/>
      <c r="J135" s="7715"/>
      <c r="K135" s="7715"/>
      <c r="L135" s="7715"/>
      <c r="M135" s="7715"/>
      <c r="N135" s="7715"/>
      <c r="O135" s="7715"/>
      <c r="P135" s="7715"/>
      <c r="Q135" s="7715"/>
      <c r="R135" s="7715"/>
      <c r="S135" s="7715"/>
      <c r="T135" s="7715"/>
      <c r="U135" s="7715"/>
      <c r="V135" s="7715"/>
      <c r="W135" s="7715"/>
      <c r="X135" s="7715"/>
      <c r="Y135" s="7715"/>
      <c r="Z135" s="7715"/>
      <c r="AA135" s="7715"/>
      <c r="AB135" s="7715"/>
      <c r="AC135" s="7715"/>
      <c r="AD135" s="7715"/>
      <c r="AE135" s="7715"/>
      <c r="AF135" s="7715"/>
      <c r="AG135" s="7715"/>
      <c r="AH135" s="7715"/>
      <c r="AI135" s="7715"/>
      <c r="AJ135" s="7715"/>
      <c r="AK135" s="7715"/>
      <c r="AL135" s="1421"/>
      <c r="AM135" s="1949"/>
      <c r="AN135" s="1949"/>
      <c r="AO135" s="1421"/>
      <c r="AP135" s="1421"/>
      <c r="AQ135" s="1421"/>
      <c r="AR135" s="1421"/>
      <c r="AS135" s="1949"/>
      <c r="AT135" s="1421"/>
      <c r="AU135" s="1421"/>
      <c r="AV135" s="781"/>
      <c r="AW135" s="1421"/>
      <c r="AX135" s="1421"/>
      <c r="AY135" s="1421"/>
      <c r="AZ135" s="1421"/>
      <c r="BA135" s="1421"/>
      <c r="BB135" s="1945"/>
      <c r="BC135" s="803"/>
      <c r="BD135" s="803"/>
      <c r="BE135" s="803"/>
      <c r="BF135" s="803"/>
    </row>
    <row s="10822" customFormat="1" customHeight="1" ht="11.25">
      <c r="A136" s="1243"/>
      <c r="B136" s="1949"/>
      <c r="C136" s="1949"/>
      <c r="D136" s="572"/>
      <c r="J136" s="7715"/>
      <c r="K136" s="7715"/>
      <c r="L136" s="7715"/>
      <c r="M136" s="7715"/>
      <c r="N136" s="7715"/>
      <c r="O136" s="7715"/>
      <c r="P136" s="7715"/>
      <c r="Q136" s="7715"/>
      <c r="R136" s="7715"/>
      <c r="S136" s="7715"/>
      <c r="T136" s="7715"/>
      <c r="U136" s="7715"/>
      <c r="V136" s="7715"/>
      <c r="W136" s="7715"/>
      <c r="X136" s="7715"/>
      <c r="Y136" s="7715"/>
      <c r="Z136" s="7715"/>
      <c r="AA136" s="7715"/>
      <c r="AB136" s="7715"/>
      <c r="AC136" s="7715"/>
      <c r="AD136" s="7715"/>
      <c r="AE136" s="7715"/>
      <c r="AF136" s="7715"/>
      <c r="AG136" s="7715"/>
      <c r="AH136" s="7715"/>
      <c r="AI136" s="7715"/>
      <c r="AJ136" s="7715"/>
      <c r="AK136" s="7715"/>
      <c r="AL136" s="1421"/>
      <c r="AM136" s="1949"/>
      <c r="AN136" s="1949"/>
      <c r="AO136" s="1421"/>
      <c r="AP136" s="1421"/>
      <c r="AQ136" s="1421"/>
      <c r="AR136" s="1421"/>
      <c r="AS136" s="1949"/>
      <c r="AT136" s="1421"/>
      <c r="AU136" s="1421"/>
      <c r="AV136" s="781"/>
      <c r="AW136" s="1421"/>
      <c r="AX136" s="1421"/>
      <c r="AY136" s="1421"/>
      <c r="AZ136" s="1421"/>
      <c r="BA136" s="1421"/>
      <c r="BB136" s="1945"/>
      <c r="BC136" s="803"/>
      <c r="BD136" s="803"/>
      <c r="BE136" s="803"/>
      <c r="BF136" s="803"/>
    </row>
    <row s="10822" customFormat="1" customHeight="1" ht="11.25">
      <c r="A137" s="1243"/>
      <c r="B137" s="1949"/>
      <c r="C137" s="1949"/>
      <c r="D137" s="572"/>
      <c r="J137" s="7715"/>
      <c r="K137" s="7715"/>
      <c r="L137" s="7715"/>
      <c r="M137" s="7715"/>
      <c r="N137" s="7715"/>
      <c r="O137" s="7715"/>
      <c r="P137" s="7715"/>
      <c r="Q137" s="7715"/>
      <c r="R137" s="7715"/>
      <c r="S137" s="7715"/>
      <c r="T137" s="7715"/>
      <c r="U137" s="7715"/>
      <c r="V137" s="7715"/>
      <c r="W137" s="7715"/>
      <c r="X137" s="7715"/>
      <c r="Y137" s="7715"/>
      <c r="Z137" s="7715"/>
      <c r="AA137" s="7715"/>
      <c r="AB137" s="7715"/>
      <c r="AC137" s="7715"/>
      <c r="AD137" s="7715"/>
      <c r="AE137" s="7715"/>
      <c r="AF137" s="7715"/>
      <c r="AG137" s="7715"/>
      <c r="AH137" s="7715"/>
      <c r="AI137" s="7715"/>
      <c r="AJ137" s="7715"/>
      <c r="AK137" s="7715"/>
      <c r="AL137" s="1421"/>
      <c r="AM137" s="1949"/>
      <c r="AN137" s="1949"/>
      <c r="AO137" s="1421"/>
      <c r="AP137" s="1421"/>
      <c r="AQ137" s="1421"/>
      <c r="AR137" s="1421"/>
      <c r="AS137" s="1949"/>
      <c r="AT137" s="1421"/>
      <c r="AU137" s="1421"/>
      <c r="AV137" s="781"/>
      <c r="AW137" s="1421"/>
      <c r="AX137" s="1421"/>
      <c r="AY137" s="1421"/>
      <c r="AZ137" s="1421"/>
      <c r="BA137" s="1421"/>
      <c r="BB137" s="1945"/>
      <c r="BC137" s="803"/>
      <c r="BD137" s="803"/>
      <c r="BE137" s="803"/>
      <c r="BF137" s="803"/>
    </row>
    <row s="10822" customFormat="1" customHeight="1" ht="11.25">
      <c r="A138" s="1243"/>
      <c r="B138" s="1949"/>
      <c r="C138" s="1949"/>
      <c r="D138" s="572"/>
      <c r="J138" s="7715"/>
      <c r="K138" s="7715"/>
      <c r="L138" s="7715"/>
      <c r="M138" s="7715"/>
      <c r="N138" s="7715"/>
      <c r="O138" s="7715"/>
      <c r="P138" s="7715"/>
      <c r="Q138" s="7715"/>
      <c r="R138" s="7715"/>
      <c r="S138" s="7715"/>
      <c r="T138" s="7715"/>
      <c r="U138" s="7715"/>
      <c r="V138" s="7715"/>
      <c r="W138" s="7715"/>
      <c r="X138" s="7715"/>
      <c r="Y138" s="7715"/>
      <c r="Z138" s="7715"/>
      <c r="AA138" s="7715"/>
      <c r="AB138" s="7715"/>
      <c r="AC138" s="7715"/>
      <c r="AD138" s="7715"/>
      <c r="AE138" s="7715"/>
      <c r="AF138" s="7715"/>
      <c r="AG138" s="7715"/>
      <c r="AH138" s="7715"/>
      <c r="AI138" s="7715"/>
      <c r="AJ138" s="7715"/>
      <c r="AK138" s="7715"/>
      <c r="AL138" s="1421"/>
      <c r="AM138" s="1949"/>
      <c r="AN138" s="1949"/>
      <c r="AO138" s="1421"/>
      <c r="AP138" s="1421"/>
      <c r="AQ138" s="1421"/>
      <c r="AR138" s="1421"/>
      <c r="AS138" s="1949"/>
      <c r="AT138" s="1421"/>
      <c r="AU138" s="1421"/>
      <c r="AV138" s="781"/>
      <c r="AW138" s="1421"/>
      <c r="AX138" s="1421"/>
      <c r="AY138" s="1421"/>
      <c r="AZ138" s="1421"/>
      <c r="BA138" s="1421"/>
      <c r="BB138" s="1945"/>
      <c r="BC138" s="803"/>
      <c r="BD138" s="803"/>
      <c r="BE138" s="803"/>
      <c r="BF138" s="803"/>
    </row>
    <row s="10822" customFormat="1" customHeight="1" ht="11.25">
      <c r="A139" s="1243"/>
      <c r="B139" s="1949"/>
      <c r="C139" s="1949"/>
      <c r="D139" s="572"/>
      <c r="J139" s="7715"/>
      <c r="K139" s="7715"/>
      <c r="L139" s="7715"/>
      <c r="M139" s="7715"/>
      <c r="N139" s="7715"/>
      <c r="O139" s="7715"/>
      <c r="P139" s="7715"/>
      <c r="Q139" s="7715"/>
      <c r="R139" s="7715"/>
      <c r="S139" s="7715"/>
      <c r="T139" s="7715"/>
      <c r="U139" s="7715"/>
      <c r="V139" s="7715"/>
      <c r="W139" s="7715"/>
      <c r="X139" s="7715"/>
      <c r="Y139" s="7715"/>
      <c r="Z139" s="7715"/>
      <c r="AA139" s="7715"/>
      <c r="AB139" s="7715"/>
      <c r="AC139" s="7715"/>
      <c r="AD139" s="7715"/>
      <c r="AE139" s="7715"/>
      <c r="AF139" s="7715"/>
      <c r="AG139" s="7715"/>
      <c r="AH139" s="7715"/>
      <c r="AI139" s="7715"/>
      <c r="AJ139" s="7715"/>
      <c r="AK139" s="7715"/>
      <c r="AL139" s="1421"/>
      <c r="AM139" s="1949"/>
      <c r="AN139" s="1949"/>
      <c r="AO139" s="1421"/>
      <c r="AP139" s="1421"/>
      <c r="AQ139" s="1421"/>
      <c r="AR139" s="1421"/>
      <c r="AS139" s="1949"/>
      <c r="AT139" s="1421"/>
      <c r="AU139" s="1421"/>
      <c r="AV139" s="781"/>
      <c r="AW139" s="1421"/>
      <c r="AX139" s="1421"/>
      <c r="AY139" s="1421"/>
      <c r="AZ139" s="1421"/>
      <c r="BA139" s="1421"/>
      <c r="BB139" s="1945"/>
      <c r="BC139" s="803"/>
      <c r="BD139" s="803"/>
      <c r="BE139" s="803"/>
      <c r="BF139" s="803"/>
    </row>
    <row s="10822" customFormat="1" customHeight="1" ht="11.25">
      <c r="A140" s="1243"/>
      <c r="B140" s="1949"/>
      <c r="C140" s="1949"/>
      <c r="D140" s="572"/>
      <c r="J140" s="7715"/>
      <c r="K140" s="7715"/>
      <c r="L140" s="7715"/>
      <c r="M140" s="7715"/>
      <c r="N140" s="7715"/>
      <c r="O140" s="7715"/>
      <c r="P140" s="7715"/>
      <c r="Q140" s="7715"/>
      <c r="R140" s="7715"/>
      <c r="S140" s="7715"/>
      <c r="T140" s="7715"/>
      <c r="U140" s="7715"/>
      <c r="V140" s="7715"/>
      <c r="W140" s="7715"/>
      <c r="X140" s="7715"/>
      <c r="Y140" s="7715"/>
      <c r="Z140" s="7715"/>
      <c r="AA140" s="7715"/>
      <c r="AB140" s="7715"/>
      <c r="AC140" s="7715"/>
      <c r="AD140" s="7715"/>
      <c r="AE140" s="7715"/>
      <c r="AF140" s="7715"/>
      <c r="AG140" s="7715"/>
      <c r="AH140" s="7715"/>
      <c r="AI140" s="7715"/>
      <c r="AJ140" s="7715"/>
      <c r="AK140" s="7715"/>
      <c r="AL140" s="1421"/>
      <c r="AM140" s="1949"/>
      <c r="AN140" s="1949"/>
      <c r="AO140" s="1421"/>
      <c r="AP140" s="1421"/>
      <c r="AQ140" s="1421"/>
      <c r="AR140" s="1421"/>
      <c r="AS140" s="1949"/>
      <c r="AT140" s="1421"/>
      <c r="AU140" s="1421"/>
      <c r="AV140" s="781"/>
      <c r="AW140" s="1421"/>
      <c r="AX140" s="1421"/>
      <c r="AY140" s="1421"/>
      <c r="AZ140" s="1421"/>
      <c r="BA140" s="1421"/>
      <c r="BB140" s="1945"/>
      <c r="BC140" s="803"/>
      <c r="BD140" s="803"/>
      <c r="BE140" s="803"/>
      <c r="BF140" s="803"/>
    </row>
    <row s="10822" customFormat="1" customHeight="1" ht="11.25">
      <c r="A141" s="1243"/>
      <c r="B141" s="1949"/>
      <c r="C141" s="1949"/>
      <c r="D141" s="572"/>
      <c r="J141" s="7715"/>
      <c r="K141" s="7715"/>
      <c r="L141" s="7715"/>
      <c r="M141" s="7715"/>
      <c r="N141" s="7715"/>
      <c r="O141" s="7715"/>
      <c r="P141" s="7715"/>
      <c r="Q141" s="7715"/>
      <c r="R141" s="7715"/>
      <c r="S141" s="7715"/>
      <c r="T141" s="7715"/>
      <c r="U141" s="7715"/>
      <c r="V141" s="7715"/>
      <c r="W141" s="7715"/>
      <c r="X141" s="7715"/>
      <c r="Y141" s="7715"/>
      <c r="Z141" s="7715"/>
      <c r="AA141" s="7715"/>
      <c r="AB141" s="7715"/>
      <c r="AC141" s="7715"/>
      <c r="AD141" s="7715"/>
      <c r="AE141" s="7715"/>
      <c r="AF141" s="7715"/>
      <c r="AG141" s="7715"/>
      <c r="AH141" s="7715"/>
      <c r="AI141" s="7715"/>
      <c r="AJ141" s="7715"/>
      <c r="AK141" s="7715"/>
      <c r="AL141" s="1421"/>
      <c r="AM141" s="1949"/>
      <c r="AN141" s="1949"/>
      <c r="AO141" s="1421"/>
      <c r="AP141" s="1421"/>
      <c r="AQ141" s="1421"/>
      <c r="AR141" s="1421"/>
      <c r="AS141" s="1949"/>
      <c r="AT141" s="1421"/>
      <c r="AU141" s="1421"/>
      <c r="AV141" s="781"/>
      <c r="AW141" s="1421"/>
      <c r="AX141" s="1421"/>
      <c r="AY141" s="1421"/>
      <c r="AZ141" s="1421"/>
      <c r="BA141" s="1421"/>
      <c r="BB141" s="1945"/>
      <c r="BC141" s="803"/>
      <c r="BD141" s="803"/>
      <c r="BE141" s="803"/>
      <c r="BF141" s="803"/>
    </row>
    <row s="10822" customFormat="1" customHeight="1" ht="11.25">
      <c r="A142" s="1243"/>
      <c r="B142" s="1949"/>
      <c r="C142" s="1949"/>
      <c r="D142" s="572"/>
      <c r="J142" s="7715"/>
      <c r="K142" s="7715"/>
      <c r="L142" s="7715"/>
      <c r="M142" s="7715"/>
      <c r="N142" s="7715"/>
      <c r="O142" s="7715"/>
      <c r="P142" s="7715"/>
      <c r="Q142" s="7715"/>
      <c r="R142" s="7715"/>
      <c r="S142" s="7715"/>
      <c r="T142" s="7715"/>
      <c r="U142" s="7715"/>
      <c r="V142" s="7715"/>
      <c r="W142" s="7715"/>
      <c r="X142" s="7715"/>
      <c r="Y142" s="7715"/>
      <c r="Z142" s="7715"/>
      <c r="AA142" s="7715"/>
      <c r="AB142" s="7715"/>
      <c r="AC142" s="7715"/>
      <c r="AD142" s="7715"/>
      <c r="AE142" s="7715"/>
      <c r="AF142" s="7715"/>
      <c r="AG142" s="7715"/>
      <c r="AH142" s="7715"/>
      <c r="AI142" s="7715"/>
      <c r="AJ142" s="7715"/>
      <c r="AK142" s="7715"/>
      <c r="AL142" s="1421"/>
      <c r="AM142" s="1949"/>
      <c r="AN142" s="1949"/>
      <c r="AO142" s="1421"/>
      <c r="AP142" s="1421"/>
      <c r="AQ142" s="1421"/>
      <c r="AR142" s="1421"/>
      <c r="AS142" s="1949"/>
      <c r="AT142" s="1421"/>
      <c r="AU142" s="1421"/>
      <c r="AV142" s="781"/>
      <c r="AW142" s="1421"/>
      <c r="AX142" s="1421"/>
      <c r="AY142" s="1421"/>
      <c r="AZ142" s="1421"/>
      <c r="BA142" s="1421"/>
      <c r="BB142" s="1945"/>
      <c r="BC142" s="803"/>
      <c r="BD142" s="803"/>
      <c r="BE142" s="803"/>
      <c r="BF142" s="803"/>
    </row>
    <row s="10822" customFormat="1" customHeight="1" ht="11.25">
      <c r="A143" s="1243"/>
      <c r="B143" s="1949"/>
      <c r="C143" s="1949"/>
      <c r="D143" s="572"/>
      <c r="J143" s="7715"/>
      <c r="K143" s="7715"/>
      <c r="L143" s="7715"/>
      <c r="M143" s="7715"/>
      <c r="N143" s="7715"/>
      <c r="O143" s="7715"/>
      <c r="P143" s="7715"/>
      <c r="Q143" s="7715"/>
      <c r="R143" s="7715"/>
      <c r="S143" s="7715"/>
      <c r="T143" s="7715"/>
      <c r="U143" s="7715"/>
      <c r="V143" s="7715"/>
      <c r="W143" s="7715"/>
      <c r="X143" s="7715"/>
      <c r="Y143" s="7715"/>
      <c r="Z143" s="7715"/>
      <c r="AA143" s="7715"/>
      <c r="AB143" s="7715"/>
      <c r="AC143" s="7715"/>
      <c r="AD143" s="7715"/>
      <c r="AE143" s="7715"/>
      <c r="AF143" s="7715"/>
      <c r="AG143" s="7715"/>
      <c r="AH143" s="7715"/>
      <c r="AI143" s="7715"/>
      <c r="AJ143" s="7715"/>
      <c r="AK143" s="7715"/>
      <c r="AL143" s="1421"/>
      <c r="AM143" s="1949"/>
      <c r="AN143" s="1949"/>
      <c r="AO143" s="1421"/>
      <c r="AP143" s="1421"/>
      <c r="AQ143" s="1421"/>
      <c r="AR143" s="1421"/>
      <c r="AS143" s="1949"/>
      <c r="AT143" s="1421"/>
      <c r="AU143" s="1421"/>
      <c r="AV143" s="781"/>
      <c r="AW143" s="1421"/>
      <c r="AX143" s="1421"/>
      <c r="AY143" s="1421"/>
      <c r="AZ143" s="1421"/>
      <c r="BA143" s="1421"/>
      <c r="BB143" s="1945"/>
      <c r="BC143" s="803"/>
      <c r="BD143" s="803"/>
      <c r="BE143" s="803"/>
      <c r="BF143" s="803"/>
    </row>
    <row s="10822" customFormat="1" customHeight="1" ht="11.25">
      <c r="A144" s="1243"/>
      <c r="B144" s="1949"/>
      <c r="C144" s="1949"/>
      <c r="D144" s="572"/>
      <c r="J144" s="7715"/>
      <c r="K144" s="7715"/>
      <c r="L144" s="7715"/>
      <c r="M144" s="7715"/>
      <c r="N144" s="7715"/>
      <c r="O144" s="7715"/>
      <c r="P144" s="7715"/>
      <c r="Q144" s="7715"/>
      <c r="R144" s="7715"/>
      <c r="S144" s="7715"/>
      <c r="T144" s="7715"/>
      <c r="U144" s="7715"/>
      <c r="V144" s="7715"/>
      <c r="W144" s="7715"/>
      <c r="X144" s="7715"/>
      <c r="Y144" s="7715"/>
      <c r="Z144" s="7715"/>
      <c r="AA144" s="7715"/>
      <c r="AB144" s="7715"/>
      <c r="AC144" s="7715"/>
      <c r="AD144" s="7715"/>
      <c r="AE144" s="7715"/>
      <c r="AF144" s="7715"/>
      <c r="AG144" s="7715"/>
      <c r="AH144" s="7715"/>
      <c r="AI144" s="7715"/>
      <c r="AJ144" s="7715"/>
      <c r="AK144" s="7715"/>
      <c r="AL144" s="1421"/>
      <c r="AM144" s="1949"/>
      <c r="AN144" s="1949"/>
      <c r="AO144" s="1421"/>
      <c r="AP144" s="1421"/>
      <c r="AQ144" s="1421"/>
      <c r="AR144" s="1421"/>
      <c r="AS144" s="1949"/>
      <c r="AT144" s="1421"/>
      <c r="AU144" s="1421"/>
      <c r="AV144" s="781"/>
      <c r="AW144" s="1421"/>
      <c r="AX144" s="1421"/>
      <c r="AY144" s="1421"/>
      <c r="AZ144" s="1421"/>
      <c r="BA144" s="1421"/>
      <c r="BB144" s="1945"/>
      <c r="BC144" s="803"/>
      <c r="BD144" s="803"/>
      <c r="BE144" s="803"/>
      <c r="BF144" s="803"/>
    </row>
    <row s="10822" customFormat="1" customHeight="1" ht="11.25">
      <c r="A145" s="1243"/>
      <c r="B145" s="1949"/>
      <c r="C145" s="1949"/>
      <c r="D145" s="572"/>
      <c r="J145" s="7715"/>
      <c r="K145" s="7715"/>
      <c r="L145" s="7715"/>
      <c r="M145" s="7715"/>
      <c r="N145" s="7715"/>
      <c r="O145" s="7715"/>
      <c r="P145" s="7715"/>
      <c r="Q145" s="7715"/>
      <c r="R145" s="7715"/>
      <c r="S145" s="7715"/>
      <c r="T145" s="7715"/>
      <c r="U145" s="7715"/>
      <c r="V145" s="7715"/>
      <c r="W145" s="7715"/>
      <c r="X145" s="7715"/>
      <c r="Y145" s="7715"/>
      <c r="Z145" s="7715"/>
      <c r="AA145" s="7715"/>
      <c r="AB145" s="7715"/>
      <c r="AC145" s="7715"/>
      <c r="AD145" s="7715"/>
      <c r="AE145" s="7715"/>
      <c r="AF145" s="7715"/>
      <c r="AG145" s="7715"/>
      <c r="AH145" s="7715"/>
      <c r="AI145" s="7715"/>
      <c r="AJ145" s="7715"/>
      <c r="AK145" s="7715"/>
      <c r="AL145" s="1421"/>
      <c r="AM145" s="1949"/>
      <c r="AN145" s="1949"/>
      <c r="AO145" s="1421"/>
      <c r="AP145" s="1421"/>
      <c r="AQ145" s="1421"/>
      <c r="AR145" s="1421"/>
      <c r="AS145" s="1949"/>
      <c r="AT145" s="1421"/>
      <c r="AU145" s="1421"/>
      <c r="AV145" s="781"/>
      <c r="AW145" s="1421"/>
      <c r="AX145" s="1421"/>
      <c r="AY145" s="1421"/>
      <c r="AZ145" s="1421"/>
      <c r="BA145" s="1421"/>
      <c r="BB145" s="1945"/>
      <c r="BC145" s="803"/>
      <c r="BD145" s="803"/>
      <c r="BE145" s="803"/>
      <c r="BF145" s="803"/>
    </row>
    <row s="10822" customFormat="1" customHeight="1" ht="11.25">
      <c r="A146" s="1243"/>
      <c r="B146" s="1949"/>
      <c r="C146" s="1949"/>
      <c r="D146" s="572"/>
      <c r="J146" s="7715"/>
      <c r="K146" s="7715"/>
      <c r="L146" s="7715"/>
      <c r="M146" s="7715"/>
      <c r="N146" s="7715"/>
      <c r="O146" s="7715"/>
      <c r="P146" s="7715"/>
      <c r="Q146" s="7715"/>
      <c r="R146" s="7715"/>
      <c r="S146" s="7715"/>
      <c r="T146" s="7715"/>
      <c r="U146" s="7715"/>
      <c r="V146" s="7715"/>
      <c r="W146" s="7715"/>
      <c r="X146" s="7715"/>
      <c r="Y146" s="7715"/>
      <c r="Z146" s="7715"/>
      <c r="AA146" s="7715"/>
      <c r="AB146" s="7715"/>
      <c r="AC146" s="7715"/>
      <c r="AD146" s="7715"/>
      <c r="AE146" s="7715"/>
      <c r="AF146" s="7715"/>
      <c r="AG146" s="7715"/>
      <c r="AH146" s="7715"/>
      <c r="AI146" s="7715"/>
      <c r="AJ146" s="7715"/>
      <c r="AK146" s="7715"/>
      <c r="AL146" s="1421"/>
      <c r="AM146" s="1949"/>
      <c r="AN146" s="1949"/>
      <c r="AO146" s="1421"/>
      <c r="AP146" s="1421"/>
      <c r="AQ146" s="1421"/>
      <c r="AR146" s="1421"/>
      <c r="AS146" s="1949"/>
      <c r="AT146" s="1421"/>
      <c r="AU146" s="1421"/>
      <c r="AV146" s="781"/>
      <c r="AW146" s="1421"/>
      <c r="AX146" s="1421"/>
      <c r="AY146" s="1421"/>
      <c r="AZ146" s="1421"/>
      <c r="BA146" s="1421"/>
      <c r="BB146" s="1945"/>
      <c r="BC146" s="803"/>
      <c r="BD146" s="803"/>
      <c r="BE146" s="803"/>
      <c r="BF146" s="803"/>
    </row>
    <row s="10822" customFormat="1" customHeight="1" ht="11.25">
      <c r="A147" s="1243"/>
      <c r="B147" s="1949"/>
      <c r="C147" s="1949"/>
      <c r="D147" s="572"/>
      <c r="J147" s="7715"/>
      <c r="K147" s="7715"/>
      <c r="L147" s="7715"/>
      <c r="M147" s="7715"/>
      <c r="N147" s="7715"/>
      <c r="O147" s="7715"/>
      <c r="P147" s="7715"/>
      <c r="Q147" s="7715"/>
      <c r="R147" s="7715"/>
      <c r="S147" s="7715"/>
      <c r="T147" s="7715"/>
      <c r="U147" s="7715"/>
      <c r="V147" s="7715"/>
      <c r="W147" s="7715"/>
      <c r="X147" s="7715"/>
      <c r="Y147" s="7715"/>
      <c r="Z147" s="7715"/>
      <c r="AA147" s="7715"/>
      <c r="AB147" s="7715"/>
      <c r="AC147" s="7715"/>
      <c r="AD147" s="7715"/>
      <c r="AE147" s="7715"/>
      <c r="AF147" s="7715"/>
      <c r="AG147" s="7715"/>
      <c r="AH147" s="7715"/>
      <c r="AI147" s="7715"/>
      <c r="AJ147" s="7715"/>
      <c r="AK147" s="7715"/>
      <c r="AL147" s="1421"/>
      <c r="AM147" s="1949"/>
      <c r="AN147" s="1949"/>
      <c r="AO147" s="1421"/>
      <c r="AP147" s="1421"/>
      <c r="AQ147" s="1421"/>
      <c r="AR147" s="1421"/>
      <c r="AS147" s="1949"/>
      <c r="AT147" s="1421"/>
      <c r="AU147" s="1421"/>
      <c r="AV147" s="781"/>
      <c r="AW147" s="1421"/>
      <c r="AX147" s="1421"/>
      <c r="AY147" s="1421"/>
      <c r="AZ147" s="1421"/>
      <c r="BA147" s="1421"/>
      <c r="BB147" s="1945"/>
      <c r="BC147" s="803"/>
      <c r="BD147" s="803"/>
      <c r="BE147" s="803"/>
      <c r="BF147" s="803"/>
    </row>
    <row s="10822" customFormat="1" customHeight="1" ht="11.25">
      <c r="A148" s="1243"/>
      <c r="B148" s="1949"/>
      <c r="C148" s="1949"/>
      <c r="D148" s="572"/>
      <c r="J148" s="7715"/>
      <c r="K148" s="7715"/>
      <c r="L148" s="7715"/>
      <c r="M148" s="7715"/>
      <c r="N148" s="7715"/>
      <c r="O148" s="7715"/>
      <c r="P148" s="7715"/>
      <c r="Q148" s="7715"/>
      <c r="R148" s="7715"/>
      <c r="S148" s="7715"/>
      <c r="T148" s="7715"/>
      <c r="U148" s="7715"/>
      <c r="V148" s="7715"/>
      <c r="W148" s="7715"/>
      <c r="X148" s="7715"/>
      <c r="Y148" s="7715"/>
      <c r="Z148" s="7715"/>
      <c r="AA148" s="7715"/>
      <c r="AB148" s="7715"/>
      <c r="AC148" s="7715"/>
      <c r="AD148" s="7715"/>
      <c r="AE148" s="7715"/>
      <c r="AF148" s="7715"/>
      <c r="AG148" s="7715"/>
      <c r="AH148" s="7715"/>
      <c r="AI148" s="7715"/>
      <c r="AJ148" s="7715"/>
      <c r="AK148" s="7715"/>
      <c r="AL148" s="1421"/>
      <c r="AM148" s="1949"/>
      <c r="AN148" s="1949"/>
      <c r="AO148" s="1421"/>
      <c r="AP148" s="1421"/>
      <c r="AQ148" s="1421"/>
      <c r="AR148" s="1421"/>
      <c r="AS148" s="1949"/>
      <c r="AT148" s="1421"/>
      <c r="AU148" s="1421"/>
      <c r="AV148" s="781"/>
      <c r="AW148" s="1421"/>
      <c r="AX148" s="1421"/>
      <c r="AY148" s="1421"/>
      <c r="AZ148" s="1421"/>
      <c r="BA148" s="1421"/>
      <c r="BB148" s="1945"/>
      <c r="BC148" s="803"/>
      <c r="BD148" s="803"/>
      <c r="BE148" s="803"/>
      <c r="BF148" s="803"/>
    </row>
    <row s="10822" customFormat="1" customHeight="1" ht="11.25">
      <c r="A149" s="1243"/>
      <c r="B149" s="1949"/>
      <c r="C149" s="1949"/>
      <c r="D149" s="572"/>
      <c r="J149" s="7715"/>
      <c r="K149" s="7715"/>
      <c r="L149" s="7715"/>
      <c r="M149" s="7715"/>
      <c r="N149" s="7715"/>
      <c r="O149" s="7715"/>
      <c r="P149" s="7715"/>
      <c r="Q149" s="7715"/>
      <c r="R149" s="7715"/>
      <c r="S149" s="7715"/>
      <c r="T149" s="7715"/>
      <c r="U149" s="7715"/>
      <c r="V149" s="7715"/>
      <c r="W149" s="7715"/>
      <c r="X149" s="7715"/>
      <c r="Y149" s="7715"/>
      <c r="Z149" s="7715"/>
      <c r="AA149" s="7715"/>
      <c r="AB149" s="7715"/>
      <c r="AC149" s="7715"/>
      <c r="AD149" s="7715"/>
      <c r="AE149" s="7715"/>
      <c r="AF149" s="7715"/>
      <c r="AG149" s="7715"/>
      <c r="AH149" s="7715"/>
      <c r="AI149" s="7715"/>
      <c r="AJ149" s="7715"/>
      <c r="AK149" s="7715"/>
      <c r="AL149" s="1421"/>
      <c r="AM149" s="1949"/>
      <c r="AN149" s="1949"/>
      <c r="AO149" s="1421"/>
      <c r="AP149" s="1421"/>
      <c r="AQ149" s="1421"/>
      <c r="AR149" s="1421"/>
      <c r="AS149" s="1949"/>
      <c r="AT149" s="1421"/>
      <c r="AU149" s="1421"/>
      <c r="AV149" s="781"/>
      <c r="AW149" s="1421"/>
      <c r="AX149" s="1421"/>
      <c r="AY149" s="1421"/>
      <c r="AZ149" s="1421"/>
      <c r="BA149" s="1421"/>
      <c r="BB149" s="1945"/>
      <c r="BC149" s="803"/>
      <c r="BD149" s="803"/>
      <c r="BE149" s="803"/>
      <c r="BF149" s="803"/>
    </row>
    <row s="10822" customFormat="1" customHeight="1" ht="11.25">
      <c r="A150" s="1243"/>
      <c r="B150" s="1949"/>
      <c r="C150" s="1949"/>
      <c r="D150" s="572"/>
      <c r="J150" s="7715"/>
      <c r="K150" s="7715"/>
      <c r="L150" s="7715"/>
      <c r="M150" s="7715"/>
      <c r="N150" s="7715"/>
      <c r="O150" s="7715"/>
      <c r="P150" s="7715"/>
      <c r="Q150" s="7715"/>
      <c r="R150" s="7715"/>
      <c r="S150" s="7715"/>
      <c r="T150" s="7715"/>
      <c r="U150" s="7715"/>
      <c r="V150" s="7715"/>
      <c r="W150" s="7715"/>
      <c r="X150" s="7715"/>
      <c r="Y150" s="7715"/>
      <c r="Z150" s="7715"/>
      <c r="AA150" s="7715"/>
      <c r="AB150" s="7715"/>
      <c r="AC150" s="7715"/>
      <c r="AD150" s="7715"/>
      <c r="AE150" s="7715"/>
      <c r="AF150" s="7715"/>
      <c r="AG150" s="7715"/>
      <c r="AH150" s="7715"/>
      <c r="AI150" s="7715"/>
      <c r="AJ150" s="7715"/>
      <c r="AK150" s="7715"/>
      <c r="AL150" s="1421"/>
      <c r="AM150" s="1949"/>
      <c r="AN150" s="1949"/>
      <c r="AO150" s="1421"/>
      <c r="AP150" s="1421"/>
      <c r="AQ150" s="1421"/>
      <c r="AR150" s="1421"/>
      <c r="AS150" s="1949"/>
      <c r="AT150" s="1421"/>
      <c r="AU150" s="1421"/>
      <c r="AV150" s="781"/>
      <c r="AW150" s="1421"/>
      <c r="AX150" s="1421"/>
      <c r="AY150" s="1421"/>
      <c r="AZ150" s="1421"/>
      <c r="BA150" s="1421"/>
      <c r="BB150" s="1945"/>
      <c r="BC150" s="803"/>
      <c r="BD150" s="803"/>
      <c r="BE150" s="803"/>
      <c r="BF150" s="803"/>
    </row>
    <row s="10822" customFormat="1" customHeight="1" ht="11.25">
      <c r="A151" s="1243"/>
      <c r="B151" s="1949"/>
      <c r="C151" s="1949"/>
      <c r="D151" s="572"/>
      <c r="J151" s="7715"/>
      <c r="K151" s="7715"/>
      <c r="L151" s="7715"/>
      <c r="M151" s="7715"/>
      <c r="N151" s="7715"/>
      <c r="O151" s="7715"/>
      <c r="P151" s="7715"/>
      <c r="Q151" s="7715"/>
      <c r="R151" s="7715"/>
      <c r="S151" s="7715"/>
      <c r="T151" s="7715"/>
      <c r="U151" s="7715"/>
      <c r="V151" s="7715"/>
      <c r="W151" s="7715"/>
      <c r="X151" s="7715"/>
      <c r="Y151" s="7715"/>
      <c r="Z151" s="7715"/>
      <c r="AA151" s="7715"/>
      <c r="AB151" s="7715"/>
      <c r="AC151" s="7715"/>
      <c r="AD151" s="7715"/>
      <c r="AE151" s="7715"/>
      <c r="AF151" s="7715"/>
      <c r="AG151" s="7715"/>
      <c r="AH151" s="7715"/>
      <c r="AI151" s="7715"/>
      <c r="AJ151" s="7715"/>
      <c r="AK151" s="7715"/>
      <c r="AL151" s="1421"/>
      <c r="AM151" s="1949"/>
      <c r="AN151" s="1949"/>
      <c r="AO151" s="1421"/>
      <c r="AP151" s="1421"/>
      <c r="AQ151" s="1421"/>
      <c r="AR151" s="1421"/>
      <c r="AS151" s="1949"/>
      <c r="AT151" s="1421"/>
      <c r="AU151" s="1421"/>
      <c r="AV151" s="781"/>
      <c r="AW151" s="1421"/>
      <c r="AX151" s="1421"/>
      <c r="AY151" s="1421"/>
      <c r="AZ151" s="1421"/>
      <c r="BA151" s="1421"/>
      <c r="BB151" s="1945"/>
      <c r="BC151" s="803"/>
      <c r="BD151" s="803"/>
      <c r="BE151" s="803"/>
      <c r="BF151" s="803"/>
    </row>
    <row s="10822" customFormat="1" customHeight="1" ht="11.25">
      <c r="A152" s="1243"/>
      <c r="B152" s="1949"/>
      <c r="C152" s="1949"/>
      <c r="D152" s="572"/>
      <c r="J152" s="7715"/>
      <c r="K152" s="7715"/>
      <c r="L152" s="7715"/>
      <c r="M152" s="7715"/>
      <c r="N152" s="7715"/>
      <c r="O152" s="7715"/>
      <c r="P152" s="7715"/>
      <c r="Q152" s="7715"/>
      <c r="R152" s="7715"/>
      <c r="S152" s="7715"/>
      <c r="T152" s="7715"/>
      <c r="U152" s="7715"/>
      <c r="V152" s="7715"/>
      <c r="W152" s="7715"/>
      <c r="X152" s="7715"/>
      <c r="Y152" s="7715"/>
      <c r="Z152" s="7715"/>
      <c r="AA152" s="7715"/>
      <c r="AB152" s="7715"/>
      <c r="AC152" s="7715"/>
      <c r="AD152" s="7715"/>
      <c r="AE152" s="7715"/>
      <c r="AF152" s="7715"/>
      <c r="AG152" s="7715"/>
      <c r="AH152" s="7715"/>
      <c r="AI152" s="7715"/>
      <c r="AJ152" s="7715"/>
      <c r="AK152" s="7715"/>
      <c r="AL152" s="1421"/>
      <c r="AM152" s="1949"/>
      <c r="AN152" s="1949"/>
      <c r="AO152" s="1421"/>
      <c r="AP152" s="1421"/>
      <c r="AQ152" s="1421"/>
      <c r="AR152" s="1421"/>
      <c r="AS152" s="1949"/>
      <c r="AT152" s="1421"/>
      <c r="AU152" s="1421"/>
      <c r="AV152" s="781"/>
      <c r="AW152" s="1421"/>
      <c r="AX152" s="1421"/>
      <c r="AY152" s="1421"/>
      <c r="AZ152" s="1421"/>
      <c r="BA152" s="1421"/>
      <c r="BB152" s="1945"/>
      <c r="BC152" s="803"/>
      <c r="BD152" s="803"/>
      <c r="BE152" s="803"/>
      <c r="BF152" s="803"/>
    </row>
    <row s="10822" customFormat="1" customHeight="1" ht="11.25">
      <c r="A153" s="1243"/>
      <c r="B153" s="1949"/>
      <c r="C153" s="1949"/>
      <c r="D153" s="572"/>
      <c r="J153" s="7715"/>
      <c r="K153" s="7715"/>
      <c r="L153" s="7715"/>
      <c r="M153" s="7715"/>
      <c r="N153" s="7715"/>
      <c r="O153" s="7715"/>
      <c r="P153" s="7715"/>
      <c r="Q153" s="7715"/>
      <c r="R153" s="7715"/>
      <c r="S153" s="7715"/>
      <c r="T153" s="7715"/>
      <c r="U153" s="7715"/>
      <c r="V153" s="7715"/>
      <c r="W153" s="7715"/>
      <c r="X153" s="7715"/>
      <c r="Y153" s="7715"/>
      <c r="Z153" s="7715"/>
      <c r="AA153" s="7715"/>
      <c r="AB153" s="7715"/>
      <c r="AC153" s="7715"/>
      <c r="AD153" s="7715"/>
      <c r="AE153" s="7715"/>
      <c r="AF153" s="7715"/>
      <c r="AG153" s="7715"/>
      <c r="AH153" s="7715"/>
      <c r="AI153" s="7715"/>
      <c r="AJ153" s="7715"/>
      <c r="AK153" s="7715"/>
      <c r="AL153" s="1421"/>
      <c r="AM153" s="1949"/>
      <c r="AN153" s="1949"/>
      <c r="AO153" s="1421"/>
      <c r="AP153" s="1421"/>
      <c r="AQ153" s="1421"/>
      <c r="AR153" s="1421"/>
      <c r="AS153" s="1949"/>
      <c r="AT153" s="1421"/>
      <c r="AU153" s="1421"/>
      <c r="AV153" s="781"/>
      <c r="AW153" s="1421"/>
      <c r="AX153" s="1421"/>
      <c r="AY153" s="1421"/>
      <c r="AZ153" s="1421"/>
      <c r="BA153" s="1421"/>
      <c r="BB153" s="1945"/>
      <c r="BC153" s="803"/>
      <c r="BD153" s="803"/>
      <c r="BE153" s="803"/>
      <c r="BF153" s="803"/>
    </row>
    <row s="10822" customFormat="1" customHeight="1" ht="11.25">
      <c r="A154" s="1243"/>
      <c r="B154" s="1949"/>
      <c r="C154" s="1949"/>
      <c r="D154" s="572"/>
      <c r="J154" s="7715"/>
      <c r="K154" s="7715"/>
      <c r="L154" s="7715"/>
      <c r="M154" s="7715"/>
      <c r="N154" s="7715"/>
      <c r="O154" s="7715"/>
      <c r="P154" s="7715"/>
      <c r="Q154" s="7715"/>
      <c r="R154" s="7715"/>
      <c r="S154" s="7715"/>
      <c r="T154" s="7715"/>
      <c r="U154" s="7715"/>
      <c r="V154" s="7715"/>
      <c r="W154" s="7715"/>
      <c r="X154" s="7715"/>
      <c r="Y154" s="7715"/>
      <c r="Z154" s="7715"/>
      <c r="AA154" s="7715"/>
      <c r="AB154" s="7715"/>
      <c r="AC154" s="7715"/>
      <c r="AD154" s="7715"/>
      <c r="AE154" s="7715"/>
      <c r="AF154" s="7715"/>
      <c r="AG154" s="7715"/>
      <c r="AH154" s="7715"/>
      <c r="AI154" s="7715"/>
      <c r="AJ154" s="7715"/>
      <c r="AK154" s="7715"/>
      <c r="AL154" s="1421"/>
      <c r="AM154" s="1949"/>
      <c r="AN154" s="1949"/>
      <c r="AO154" s="1421"/>
      <c r="AP154" s="1421"/>
      <c r="AQ154" s="1421"/>
      <c r="AR154" s="1421"/>
      <c r="AS154" s="1949"/>
      <c r="AT154" s="1421"/>
      <c r="AU154" s="1421"/>
      <c r="AV154" s="781"/>
      <c r="AW154" s="1421"/>
      <c r="AX154" s="1421"/>
      <c r="AY154" s="1421"/>
      <c r="AZ154" s="1421"/>
      <c r="BA154" s="1421"/>
      <c r="BB154" s="1945"/>
      <c r="BC154" s="803"/>
      <c r="BD154" s="803"/>
      <c r="BE154" s="803"/>
      <c r="BF154" s="803"/>
    </row>
    <row s="10822" customFormat="1" customHeight="1" ht="11.25">
      <c r="A155" s="1243"/>
      <c r="B155" s="1949"/>
      <c r="C155" s="1949"/>
      <c r="D155" s="572"/>
      <c r="J155" s="7715"/>
      <c r="K155" s="7715"/>
      <c r="L155" s="7715"/>
      <c r="M155" s="7715"/>
      <c r="N155" s="7715"/>
      <c r="O155" s="7715"/>
      <c r="P155" s="7715"/>
      <c r="Q155" s="7715"/>
      <c r="R155" s="7715"/>
      <c r="S155" s="7715"/>
      <c r="T155" s="7715"/>
      <c r="U155" s="7715"/>
      <c r="V155" s="7715"/>
      <c r="W155" s="7715"/>
      <c r="X155" s="7715"/>
      <c r="Y155" s="7715"/>
      <c r="Z155" s="7715"/>
      <c r="AA155" s="7715"/>
      <c r="AB155" s="7715"/>
      <c r="AC155" s="7715"/>
      <c r="AD155" s="7715"/>
      <c r="AE155" s="7715"/>
      <c r="AF155" s="7715"/>
      <c r="AG155" s="7715"/>
      <c r="AH155" s="7715"/>
      <c r="AI155" s="7715"/>
      <c r="AJ155" s="7715"/>
      <c r="AK155" s="7715"/>
      <c r="AL155" s="1421"/>
      <c r="AM155" s="1949"/>
      <c r="AN155" s="1949"/>
      <c r="AO155" s="1421"/>
      <c r="AP155" s="1421"/>
      <c r="AQ155" s="1421"/>
      <c r="AR155" s="1421"/>
      <c r="AS155" s="1949"/>
      <c r="AT155" s="1421"/>
      <c r="AU155" s="1421"/>
      <c r="AV155" s="781"/>
      <c r="AW155" s="1421"/>
      <c r="AX155" s="1421"/>
      <c r="AY155" s="1421"/>
      <c r="AZ155" s="1421"/>
      <c r="BA155" s="1421"/>
      <c r="BB155" s="1945"/>
      <c r="BC155" s="803"/>
      <c r="BD155" s="803"/>
      <c r="BE155" s="803"/>
      <c r="BF155" s="803"/>
    </row>
    <row s="10822" customFormat="1" customHeight="1" ht="11.25">
      <c r="A156" s="1243"/>
      <c r="B156" s="1949"/>
      <c r="C156" s="1949"/>
      <c r="D156" s="572"/>
      <c r="J156" s="7715"/>
      <c r="K156" s="7715"/>
      <c r="L156" s="7715"/>
      <c r="M156" s="7715"/>
      <c r="N156" s="7715"/>
      <c r="O156" s="7715"/>
      <c r="P156" s="7715"/>
      <c r="Q156" s="7715"/>
      <c r="R156" s="7715"/>
      <c r="S156" s="7715"/>
      <c r="T156" s="7715"/>
      <c r="U156" s="7715"/>
      <c r="V156" s="7715"/>
      <c r="W156" s="7715"/>
      <c r="X156" s="7715"/>
      <c r="Y156" s="7715"/>
      <c r="Z156" s="7715"/>
      <c r="AA156" s="7715"/>
      <c r="AB156" s="7715"/>
      <c r="AC156" s="7715"/>
      <c r="AD156" s="7715"/>
      <c r="AE156" s="7715"/>
      <c r="AF156" s="7715"/>
      <c r="AG156" s="7715"/>
      <c r="AH156" s="7715"/>
      <c r="AI156" s="7715"/>
      <c r="AJ156" s="7715"/>
      <c r="AK156" s="7715"/>
      <c r="AL156" s="1421"/>
      <c r="AM156" s="1949"/>
      <c r="AN156" s="1949"/>
      <c r="AO156" s="1421"/>
      <c r="AP156" s="1421"/>
      <c r="AQ156" s="1421"/>
      <c r="AR156" s="1421"/>
      <c r="AS156" s="1949"/>
      <c r="AT156" s="1421"/>
      <c r="AU156" s="1421"/>
      <c r="AV156" s="781"/>
      <c r="AW156" s="1421"/>
      <c r="AX156" s="1421"/>
      <c r="AY156" s="1421"/>
      <c r="AZ156" s="1421"/>
      <c r="BA156" s="1421"/>
      <c r="BB156" s="1945"/>
      <c r="BC156" s="803"/>
      <c r="BD156" s="803"/>
      <c r="BE156" s="803"/>
      <c r="BF156" s="803"/>
    </row>
    <row s="10822" customFormat="1" customHeight="1" ht="11.25">
      <c r="A157" s="1243"/>
      <c r="B157" s="1949"/>
      <c r="C157" s="1949"/>
      <c r="D157" s="572"/>
      <c r="J157" s="7715"/>
      <c r="K157" s="7715"/>
      <c r="L157" s="7715"/>
      <c r="M157" s="7715"/>
      <c r="N157" s="7715"/>
      <c r="O157" s="7715"/>
      <c r="P157" s="7715"/>
      <c r="Q157" s="7715"/>
      <c r="R157" s="7715"/>
      <c r="S157" s="7715"/>
      <c r="T157" s="7715"/>
      <c r="U157" s="7715"/>
      <c r="V157" s="7715"/>
      <c r="W157" s="7715"/>
      <c r="X157" s="7715"/>
      <c r="Y157" s="7715"/>
      <c r="Z157" s="7715"/>
      <c r="AA157" s="7715"/>
      <c r="AB157" s="7715"/>
      <c r="AC157" s="7715"/>
      <c r="AD157" s="7715"/>
      <c r="AE157" s="7715"/>
      <c r="AF157" s="7715"/>
      <c r="AG157" s="7715"/>
      <c r="AH157" s="7715"/>
      <c r="AI157" s="7715"/>
      <c r="AJ157" s="7715"/>
      <c r="AK157" s="7715"/>
      <c r="AL157" s="1421"/>
      <c r="AM157" s="1949"/>
      <c r="AN157" s="1949"/>
      <c r="AO157" s="1421"/>
      <c r="AP157" s="1421"/>
      <c r="AQ157" s="1421"/>
      <c r="AR157" s="1421"/>
      <c r="AS157" s="1949"/>
      <c r="AT157" s="1421"/>
      <c r="AU157" s="1421"/>
      <c r="AV157" s="781"/>
      <c r="AW157" s="1421"/>
      <c r="AX157" s="1421"/>
      <c r="AY157" s="1421"/>
      <c r="AZ157" s="1421"/>
      <c r="BA157" s="1421"/>
      <c r="BB157" s="1945"/>
      <c r="BC157" s="803"/>
      <c r="BD157" s="803"/>
      <c r="BE157" s="803"/>
      <c r="BF157" s="803"/>
    </row>
    <row s="10822" customFormat="1" customHeight="1" ht="11.25">
      <c r="A158" s="1243"/>
      <c r="B158" s="1949"/>
      <c r="C158" s="1949"/>
      <c r="D158" s="572"/>
      <c r="J158" s="7715"/>
      <c r="K158" s="7715"/>
      <c r="L158" s="7715"/>
      <c r="M158" s="7715"/>
      <c r="N158" s="7715"/>
      <c r="O158" s="7715"/>
      <c r="P158" s="7715"/>
      <c r="Q158" s="7715"/>
      <c r="R158" s="7715"/>
      <c r="S158" s="7715"/>
      <c r="T158" s="7715"/>
      <c r="U158" s="7715"/>
      <c r="V158" s="7715"/>
      <c r="W158" s="7715"/>
      <c r="X158" s="7715"/>
      <c r="Y158" s="7715"/>
      <c r="Z158" s="7715"/>
      <c r="AA158" s="7715"/>
      <c r="AB158" s="7715"/>
      <c r="AC158" s="7715"/>
      <c r="AD158" s="7715"/>
      <c r="AE158" s="7715"/>
      <c r="AF158" s="7715"/>
      <c r="AG158" s="7715"/>
      <c r="AH158" s="7715"/>
      <c r="AI158" s="7715"/>
      <c r="AJ158" s="7715"/>
      <c r="AK158" s="7715"/>
      <c r="AL158" s="1421"/>
      <c r="AM158" s="1949"/>
      <c r="AN158" s="1949"/>
      <c r="AO158" s="1421"/>
      <c r="AP158" s="1421"/>
      <c r="AQ158" s="1421"/>
      <c r="AR158" s="1421"/>
      <c r="AS158" s="1949"/>
      <c r="AT158" s="1421"/>
      <c r="AU158" s="1421"/>
      <c r="AV158" s="781"/>
      <c r="AW158" s="1421"/>
      <c r="AX158" s="1421"/>
      <c r="AY158" s="1421"/>
      <c r="AZ158" s="1421"/>
      <c r="BA158" s="1421"/>
      <c r="BB158" s="1945"/>
      <c r="BC158" s="803"/>
      <c r="BD158" s="803"/>
      <c r="BE158" s="803"/>
      <c r="BF158" s="803"/>
    </row>
    <row s="10822" customFormat="1" customHeight="1" ht="11.25">
      <c r="A159" s="1243"/>
      <c r="B159" s="1949"/>
      <c r="C159" s="1949"/>
      <c r="D159" s="572"/>
      <c r="J159" s="7715"/>
      <c r="K159" s="7715"/>
      <c r="L159" s="7715"/>
      <c r="M159" s="7715"/>
      <c r="N159" s="7715"/>
      <c r="O159" s="7715"/>
      <c r="P159" s="7715"/>
      <c r="Q159" s="7715"/>
      <c r="R159" s="7715"/>
      <c r="S159" s="7715"/>
      <c r="T159" s="7715"/>
      <c r="U159" s="7715"/>
      <c r="V159" s="7715"/>
      <c r="W159" s="7715"/>
      <c r="X159" s="7715"/>
      <c r="Y159" s="7715"/>
      <c r="Z159" s="7715"/>
      <c r="AA159" s="7715"/>
      <c r="AB159" s="7715"/>
      <c r="AC159" s="7715"/>
      <c r="AD159" s="7715"/>
      <c r="AE159" s="7715"/>
      <c r="AF159" s="7715"/>
      <c r="AG159" s="7715"/>
      <c r="AH159" s="7715"/>
      <c r="AI159" s="7715"/>
      <c r="AJ159" s="7715"/>
      <c r="AK159" s="7715"/>
      <c r="AL159" s="1421"/>
      <c r="AM159" s="1949"/>
      <c r="AN159" s="1949"/>
      <c r="AO159" s="1421"/>
      <c r="AP159" s="1421"/>
      <c r="AQ159" s="1421"/>
      <c r="AR159" s="1421"/>
      <c r="AS159" s="1949"/>
      <c r="AT159" s="1421"/>
      <c r="AU159" s="1421"/>
      <c r="AV159" s="781"/>
      <c r="AW159" s="1421"/>
      <c r="AX159" s="1421"/>
      <c r="AY159" s="1421"/>
      <c r="AZ159" s="1421"/>
      <c r="BA159" s="1421"/>
      <c r="BB159" s="1945"/>
      <c r="BC159" s="803"/>
      <c r="BD159" s="803"/>
      <c r="BE159" s="803"/>
      <c r="BF159" s="803"/>
    </row>
    <row s="10822" customFormat="1" customHeight="1" ht="11.25">
      <c r="A160" s="1243"/>
      <c r="B160" s="1949"/>
      <c r="C160" s="1949"/>
      <c r="D160" s="572"/>
      <c r="J160" s="7715"/>
      <c r="K160" s="7715"/>
      <c r="L160" s="7715"/>
      <c r="M160" s="7715"/>
      <c r="N160" s="7715"/>
      <c r="O160" s="7715"/>
      <c r="P160" s="7715"/>
      <c r="Q160" s="7715"/>
      <c r="R160" s="7715"/>
      <c r="S160" s="7715"/>
      <c r="T160" s="7715"/>
      <c r="U160" s="7715"/>
      <c r="V160" s="7715"/>
      <c r="W160" s="7715"/>
      <c r="X160" s="7715"/>
      <c r="Y160" s="7715"/>
      <c r="Z160" s="7715"/>
      <c r="AA160" s="7715"/>
      <c r="AB160" s="7715"/>
      <c r="AC160" s="7715"/>
      <c r="AD160" s="7715"/>
      <c r="AE160" s="7715"/>
      <c r="AF160" s="7715"/>
      <c r="AG160" s="7715"/>
      <c r="AH160" s="7715"/>
      <c r="AI160" s="7715"/>
      <c r="AJ160" s="7715"/>
      <c r="AK160" s="7715"/>
      <c r="AL160" s="1421"/>
      <c r="AM160" s="1949"/>
      <c r="AN160" s="1949"/>
      <c r="AO160" s="1421"/>
      <c r="AP160" s="1421"/>
      <c r="AQ160" s="1421"/>
      <c r="AR160" s="1421"/>
      <c r="AS160" s="1949"/>
      <c r="AT160" s="1421"/>
      <c r="AU160" s="1421"/>
      <c r="AV160" s="781"/>
      <c r="AW160" s="1421"/>
      <c r="AX160" s="1421"/>
      <c r="AY160" s="1421"/>
      <c r="AZ160" s="1421"/>
      <c r="BA160" s="1421"/>
      <c r="BB160" s="1945"/>
      <c r="BC160" s="803"/>
      <c r="BD160" s="803"/>
      <c r="BE160" s="803"/>
      <c r="BF160" s="803"/>
    </row>
    <row s="10822" customFormat="1" customHeight="1" ht="11.25">
      <c r="A161" s="1243"/>
      <c r="B161" s="1949"/>
      <c r="C161" s="1949"/>
      <c r="D161" s="572"/>
      <c r="J161" s="7715"/>
      <c r="K161" s="7715"/>
      <c r="L161" s="7715"/>
      <c r="M161" s="7715"/>
      <c r="N161" s="7715"/>
      <c r="O161" s="7715"/>
      <c r="P161" s="7715"/>
      <c r="Q161" s="7715"/>
      <c r="R161" s="7715"/>
      <c r="S161" s="7715"/>
      <c r="T161" s="7715"/>
      <c r="U161" s="7715"/>
      <c r="V161" s="7715"/>
      <c r="W161" s="7715"/>
      <c r="X161" s="7715"/>
      <c r="Y161" s="7715"/>
      <c r="Z161" s="7715"/>
      <c r="AA161" s="7715"/>
      <c r="AB161" s="7715"/>
      <c r="AC161" s="7715"/>
      <c r="AD161" s="7715"/>
      <c r="AE161" s="7715"/>
      <c r="AF161" s="7715"/>
      <c r="AG161" s="7715"/>
      <c r="AH161" s="7715"/>
      <c r="AI161" s="7715"/>
      <c r="AJ161" s="7715"/>
      <c r="AK161" s="7715"/>
      <c r="AL161" s="1421"/>
      <c r="AM161" s="1949"/>
      <c r="AN161" s="1949"/>
      <c r="AO161" s="1421"/>
      <c r="AP161" s="1421"/>
      <c r="AQ161" s="1421"/>
      <c r="AR161" s="1421"/>
      <c r="AS161" s="1949"/>
      <c r="AT161" s="1421"/>
      <c r="AU161" s="1421"/>
      <c r="AV161" s="781"/>
      <c r="AW161" s="1421"/>
      <c r="AX161" s="1421"/>
      <c r="AY161" s="1421"/>
      <c r="AZ161" s="1421"/>
      <c r="BA161" s="1421"/>
      <c r="BB161" s="1945"/>
      <c r="BC161" s="803"/>
      <c r="BD161" s="803"/>
      <c r="BE161" s="803"/>
      <c r="BF161" s="803"/>
    </row>
    <row s="10822" customFormat="1" customHeight="1" ht="11.25">
      <c r="A162" s="1243"/>
      <c r="B162" s="1949"/>
      <c r="C162" s="1949"/>
      <c r="D162" s="572"/>
      <c r="J162" s="7715"/>
      <c r="K162" s="7715"/>
      <c r="L162" s="7715"/>
      <c r="M162" s="7715"/>
      <c r="N162" s="7715"/>
      <c r="O162" s="7715"/>
      <c r="P162" s="7715"/>
      <c r="Q162" s="7715"/>
      <c r="R162" s="7715"/>
      <c r="S162" s="7715"/>
      <c r="T162" s="7715"/>
      <c r="U162" s="7715"/>
      <c r="V162" s="7715"/>
      <c r="W162" s="7715"/>
      <c r="X162" s="7715"/>
      <c r="Y162" s="7715"/>
      <c r="Z162" s="7715"/>
      <c r="AA162" s="7715"/>
      <c r="AB162" s="7715"/>
      <c r="AC162" s="7715"/>
      <c r="AD162" s="7715"/>
      <c r="AE162" s="7715"/>
      <c r="AF162" s="7715"/>
      <c r="AG162" s="7715"/>
      <c r="AH162" s="7715"/>
      <c r="AI162" s="7715"/>
      <c r="AJ162" s="7715"/>
      <c r="AK162" s="7715"/>
      <c r="AL162" s="1421"/>
      <c r="AM162" s="1949"/>
      <c r="AN162" s="1949"/>
      <c r="AO162" s="1421"/>
      <c r="AP162" s="1421"/>
      <c r="AQ162" s="1421"/>
      <c r="AR162" s="1421"/>
      <c r="AS162" s="1949"/>
      <c r="AT162" s="1421"/>
      <c r="AU162" s="1421"/>
      <c r="AV162" s="781"/>
      <c r="AW162" s="1421"/>
      <c r="AX162" s="1421"/>
      <c r="AY162" s="1421"/>
      <c r="AZ162" s="1421"/>
      <c r="BA162" s="1421"/>
      <c r="BB162" s="1945"/>
      <c r="BC162" s="803"/>
      <c r="BD162" s="803"/>
      <c r="BE162" s="803"/>
      <c r="BF162" s="803"/>
    </row>
    <row s="10822" customFormat="1" customHeight="1" ht="11.25">
      <c r="A163" s="1243"/>
      <c r="B163" s="1949"/>
      <c r="C163" s="1949"/>
      <c r="D163" s="572"/>
      <c r="J163" s="7715"/>
      <c r="K163" s="7715"/>
      <c r="L163" s="7715"/>
      <c r="M163" s="7715"/>
      <c r="N163" s="7715"/>
      <c r="O163" s="7715"/>
      <c r="P163" s="7715"/>
      <c r="Q163" s="7715"/>
      <c r="R163" s="7715"/>
      <c r="S163" s="7715"/>
      <c r="T163" s="7715"/>
      <c r="U163" s="7715"/>
      <c r="V163" s="7715"/>
      <c r="W163" s="7715"/>
      <c r="X163" s="7715"/>
      <c r="Y163" s="7715"/>
      <c r="Z163" s="7715"/>
      <c r="AA163" s="7715"/>
      <c r="AB163" s="7715"/>
      <c r="AC163" s="7715"/>
      <c r="AD163" s="7715"/>
      <c r="AE163" s="7715"/>
      <c r="AF163" s="7715"/>
      <c r="AG163" s="7715"/>
      <c r="AH163" s="7715"/>
      <c r="AI163" s="7715"/>
      <c r="AJ163" s="7715"/>
      <c r="AK163" s="7715"/>
      <c r="AL163" s="1421"/>
      <c r="AM163" s="1949"/>
      <c r="AN163" s="1949"/>
      <c r="AO163" s="1421"/>
      <c r="AP163" s="1421"/>
      <c r="AQ163" s="1421"/>
      <c r="AR163" s="1421"/>
      <c r="AS163" s="1949"/>
      <c r="AT163" s="1421"/>
      <c r="AU163" s="1421"/>
      <c r="AV163" s="781"/>
      <c r="AW163" s="1421"/>
      <c r="AX163" s="1421"/>
      <c r="AY163" s="1421"/>
      <c r="AZ163" s="1421"/>
      <c r="BA163" s="1421"/>
      <c r="BB163" s="1945"/>
      <c r="BC163" s="803"/>
      <c r="BD163" s="803"/>
      <c r="BE163" s="803"/>
      <c r="BF163" s="803"/>
    </row>
    <row s="10822" customFormat="1" customHeight="1" ht="11.25">
      <c r="A164" s="1243"/>
      <c r="B164" s="1949"/>
      <c r="C164" s="1949"/>
      <c r="D164" s="572"/>
      <c r="J164" s="7715"/>
      <c r="K164" s="7715"/>
      <c r="L164" s="7715"/>
      <c r="M164" s="7715"/>
      <c r="N164" s="7715"/>
      <c r="O164" s="7715"/>
      <c r="P164" s="7715"/>
      <c r="Q164" s="7715"/>
      <c r="R164" s="7715"/>
      <c r="S164" s="7715"/>
      <c r="T164" s="7715"/>
      <c r="U164" s="7715"/>
      <c r="V164" s="7715"/>
      <c r="W164" s="7715"/>
      <c r="X164" s="7715"/>
      <c r="Y164" s="7715"/>
      <c r="Z164" s="7715"/>
      <c r="AA164" s="7715"/>
      <c r="AB164" s="7715"/>
      <c r="AC164" s="7715"/>
      <c r="AD164" s="7715"/>
      <c r="AE164" s="7715"/>
      <c r="AF164" s="7715"/>
      <c r="AG164" s="7715"/>
      <c r="AH164" s="7715"/>
      <c r="AI164" s="7715"/>
      <c r="AJ164" s="7715"/>
      <c r="AK164" s="7715"/>
      <c r="AL164" s="1421"/>
      <c r="AM164" s="1949"/>
      <c r="AN164" s="1949"/>
      <c r="AO164" s="1421"/>
      <c r="AP164" s="1421"/>
      <c r="AQ164" s="1421"/>
      <c r="AR164" s="1421"/>
      <c r="AS164" s="1949"/>
      <c r="AT164" s="1421"/>
      <c r="AU164" s="1421"/>
      <c r="AV164" s="781"/>
      <c r="AW164" s="1421"/>
      <c r="AX164" s="1421"/>
      <c r="AY164" s="1421"/>
      <c r="AZ164" s="1421"/>
      <c r="BA164" s="1421"/>
      <c r="BB164" s="1945"/>
      <c r="BC164" s="803"/>
      <c r="BD164" s="803"/>
      <c r="BE164" s="803"/>
      <c r="BF164" s="803"/>
    </row>
    <row s="10822" customFormat="1" customHeight="1" ht="11.25">
      <c r="A165" s="1243"/>
      <c r="B165" s="1949"/>
      <c r="C165" s="1949"/>
      <c r="D165" s="572"/>
      <c r="J165" s="7715"/>
      <c r="K165" s="7715"/>
      <c r="L165" s="7715"/>
      <c r="M165" s="7715"/>
      <c r="N165" s="7715"/>
      <c r="O165" s="7715"/>
      <c r="P165" s="7715"/>
      <c r="Q165" s="7715"/>
      <c r="R165" s="7715"/>
      <c r="S165" s="7715"/>
      <c r="T165" s="7715"/>
      <c r="U165" s="7715"/>
      <c r="V165" s="7715"/>
      <c r="W165" s="7715"/>
      <c r="X165" s="7715"/>
      <c r="Y165" s="7715"/>
      <c r="Z165" s="7715"/>
      <c r="AA165" s="7715"/>
      <c r="AB165" s="7715"/>
      <c r="AC165" s="7715"/>
      <c r="AD165" s="7715"/>
      <c r="AE165" s="7715"/>
      <c r="AF165" s="7715"/>
      <c r="AG165" s="7715"/>
      <c r="AH165" s="7715"/>
      <c r="AI165" s="7715"/>
      <c r="AJ165" s="7715"/>
      <c r="AK165" s="7715"/>
      <c r="AL165" s="1421"/>
      <c r="AM165" s="1949"/>
      <c r="AN165" s="1949"/>
      <c r="AO165" s="1421"/>
      <c r="AP165" s="1421"/>
      <c r="AQ165" s="1421"/>
      <c r="AR165" s="1421"/>
      <c r="AS165" s="1949"/>
      <c r="AT165" s="1421"/>
      <c r="AU165" s="1421"/>
      <c r="AV165" s="781"/>
      <c r="AW165" s="1421"/>
      <c r="AX165" s="1421"/>
      <c r="AY165" s="1421"/>
      <c r="AZ165" s="1421"/>
      <c r="BA165" s="1421"/>
      <c r="BB165" s="1945"/>
      <c r="BC165" s="803"/>
      <c r="BD165" s="803"/>
      <c r="BE165" s="803"/>
      <c r="BF165" s="803"/>
    </row>
    <row s="10822" customFormat="1" customHeight="1" ht="11.25">
      <c r="A166" s="1243"/>
      <c r="B166" s="1949"/>
      <c r="C166" s="1949"/>
      <c r="D166" s="572"/>
      <c r="J166" s="7715"/>
      <c r="K166" s="7715"/>
      <c r="L166" s="7715"/>
      <c r="M166" s="7715"/>
      <c r="N166" s="7715"/>
      <c r="O166" s="7715"/>
      <c r="P166" s="7715"/>
      <c r="Q166" s="7715"/>
      <c r="R166" s="7715"/>
      <c r="S166" s="7715"/>
      <c r="T166" s="7715"/>
      <c r="U166" s="7715"/>
      <c r="V166" s="7715"/>
      <c r="W166" s="7715"/>
      <c r="X166" s="7715"/>
      <c r="Y166" s="7715"/>
      <c r="Z166" s="7715"/>
      <c r="AA166" s="7715"/>
      <c r="AB166" s="7715"/>
      <c r="AC166" s="7715"/>
      <c r="AD166" s="7715"/>
      <c r="AE166" s="7715"/>
      <c r="AF166" s="7715"/>
      <c r="AG166" s="7715"/>
      <c r="AH166" s="7715"/>
      <c r="AI166" s="7715"/>
      <c r="AJ166" s="7715"/>
      <c r="AK166" s="7715"/>
      <c r="AL166" s="1421"/>
      <c r="AM166" s="1949"/>
      <c r="AN166" s="1949"/>
      <c r="AO166" s="1421"/>
      <c r="AP166" s="1421"/>
      <c r="AQ166" s="1421"/>
      <c r="AR166" s="1421"/>
      <c r="AS166" s="1949"/>
      <c r="AT166" s="1421"/>
      <c r="AU166" s="1421"/>
      <c r="AV166" s="781"/>
      <c r="AW166" s="1421"/>
      <c r="AX166" s="1421"/>
      <c r="AY166" s="1421"/>
      <c r="AZ166" s="1421"/>
      <c r="BA166" s="1421"/>
      <c r="BB166" s="1945"/>
      <c r="BC166" s="803"/>
      <c r="BD166" s="803"/>
      <c r="BE166" s="803"/>
      <c r="BF166" s="803"/>
    </row>
    <row s="10822" customFormat="1" customHeight="1" ht="11.25">
      <c r="A167" s="1243"/>
      <c r="B167" s="1949"/>
      <c r="C167" s="1949"/>
      <c r="D167" s="572"/>
      <c r="J167" s="7715"/>
      <c r="K167" s="7715"/>
      <c r="L167" s="7715"/>
      <c r="M167" s="7715"/>
      <c r="N167" s="7715"/>
      <c r="O167" s="7715"/>
      <c r="P167" s="7715"/>
      <c r="Q167" s="7715"/>
      <c r="R167" s="7715"/>
      <c r="S167" s="7715"/>
      <c r="T167" s="7715"/>
      <c r="U167" s="7715"/>
      <c r="V167" s="7715"/>
      <c r="W167" s="7715"/>
      <c r="X167" s="7715"/>
      <c r="Y167" s="7715"/>
      <c r="Z167" s="7715"/>
      <c r="AA167" s="7715"/>
      <c r="AB167" s="7715"/>
      <c r="AC167" s="7715"/>
      <c r="AD167" s="7715"/>
      <c r="AE167" s="7715"/>
      <c r="AF167" s="7715"/>
      <c r="AG167" s="7715"/>
      <c r="AH167" s="7715"/>
      <c r="AI167" s="7715"/>
      <c r="AJ167" s="7715"/>
      <c r="AK167" s="7715"/>
      <c r="AL167" s="1421"/>
      <c r="AM167" s="1949"/>
      <c r="AN167" s="1949"/>
      <c r="AO167" s="1421"/>
      <c r="AP167" s="1421"/>
      <c r="AQ167" s="1421"/>
      <c r="AR167" s="1421"/>
      <c r="AS167" s="1949"/>
      <c r="AT167" s="1421"/>
      <c r="AU167" s="1421"/>
      <c r="AV167" s="781"/>
      <c r="AW167" s="1421"/>
      <c r="AX167" s="1421"/>
      <c r="AY167" s="1421"/>
      <c r="AZ167" s="1421"/>
      <c r="BA167" s="1421"/>
      <c r="BB167" s="1945"/>
      <c r="BC167" s="803"/>
      <c r="BD167" s="803"/>
      <c r="BE167" s="803"/>
      <c r="BF167" s="803"/>
    </row>
    <row s="10822" customFormat="1" customHeight="1" ht="11.25">
      <c r="A168" s="1243"/>
      <c r="B168" s="1949"/>
      <c r="C168" s="1949"/>
      <c r="D168" s="572"/>
      <c r="J168" s="7715"/>
      <c r="K168" s="7715"/>
      <c r="L168" s="7715"/>
      <c r="M168" s="7715"/>
      <c r="N168" s="7715"/>
      <c r="O168" s="7715"/>
      <c r="P168" s="7715"/>
      <c r="Q168" s="7715"/>
      <c r="R168" s="7715"/>
      <c r="S168" s="7715"/>
      <c r="T168" s="7715"/>
      <c r="U168" s="7715"/>
      <c r="V168" s="7715"/>
      <c r="W168" s="7715"/>
      <c r="X168" s="7715"/>
      <c r="Y168" s="7715"/>
      <c r="Z168" s="7715"/>
      <c r="AA168" s="7715"/>
      <c r="AB168" s="7715"/>
      <c r="AC168" s="7715"/>
      <c r="AD168" s="7715"/>
      <c r="AE168" s="7715"/>
      <c r="AF168" s="7715"/>
      <c r="AG168" s="7715"/>
      <c r="AH168" s="7715"/>
      <c r="AI168" s="7715"/>
      <c r="AJ168" s="7715"/>
      <c r="AK168" s="7715"/>
      <c r="AL168" s="1421"/>
      <c r="AM168" s="1949"/>
      <c r="AN168" s="1949"/>
      <c r="AO168" s="1421"/>
      <c r="AP168" s="1421"/>
      <c r="AQ168" s="1421"/>
      <c r="AR168" s="1421"/>
      <c r="AS168" s="1949"/>
      <c r="AT168" s="1421"/>
      <c r="AU168" s="1421"/>
      <c r="AV168" s="781"/>
      <c r="AW168" s="1421"/>
      <c r="AX168" s="1421"/>
      <c r="AY168" s="1421"/>
      <c r="AZ168" s="1421"/>
      <c r="BA168" s="1421"/>
      <c r="BB168" s="1945"/>
      <c r="BC168" s="803"/>
      <c r="BD168" s="803"/>
      <c r="BE168" s="803"/>
      <c r="BF168" s="803"/>
    </row>
    <row s="10822" customFormat="1" customHeight="1" ht="11.25">
      <c r="A169" s="1243"/>
      <c r="B169" s="1949"/>
      <c r="C169" s="1949"/>
      <c r="D169" s="572"/>
      <c r="J169" s="7715"/>
      <c r="K169" s="7715"/>
      <c r="L169" s="7715"/>
      <c r="M169" s="7715"/>
      <c r="N169" s="7715"/>
      <c r="O169" s="7715"/>
      <c r="P169" s="7715"/>
      <c r="Q169" s="7715"/>
      <c r="R169" s="7715"/>
      <c r="S169" s="7715"/>
      <c r="T169" s="7715"/>
      <c r="U169" s="7715"/>
      <c r="V169" s="7715"/>
      <c r="W169" s="7715"/>
      <c r="X169" s="7715"/>
      <c r="Y169" s="7715"/>
      <c r="Z169" s="7715"/>
      <c r="AA169" s="7715"/>
      <c r="AB169" s="7715"/>
      <c r="AC169" s="7715"/>
      <c r="AD169" s="7715"/>
      <c r="AE169" s="7715"/>
      <c r="AF169" s="7715"/>
      <c r="AG169" s="7715"/>
      <c r="AH169" s="7715"/>
      <c r="AI169" s="7715"/>
      <c r="AJ169" s="7715"/>
      <c r="AK169" s="7715"/>
      <c r="AL169" s="1421"/>
      <c r="AM169" s="1949"/>
      <c r="AN169" s="1949"/>
      <c r="AO169" s="1421"/>
      <c r="AP169" s="1421"/>
      <c r="AQ169" s="1421"/>
      <c r="AR169" s="1421"/>
      <c r="AS169" s="1949"/>
      <c r="AT169" s="1421"/>
      <c r="AU169" s="1421"/>
      <c r="AV169" s="781"/>
      <c r="AW169" s="1421"/>
      <c r="AX169" s="1421"/>
      <c r="AY169" s="1421"/>
      <c r="AZ169" s="1421"/>
      <c r="BA169" s="1421"/>
      <c r="BB169" s="1945"/>
      <c r="BC169" s="803"/>
      <c r="BD169" s="803"/>
      <c r="BE169" s="803"/>
      <c r="BF169" s="803"/>
    </row>
    <row s="10822" customFormat="1" customHeight="1" ht="11.25">
      <c r="A170" s="1243"/>
      <c r="B170" s="1949"/>
      <c r="C170" s="1949"/>
      <c r="D170" s="572"/>
      <c r="J170" s="7715"/>
      <c r="K170" s="7715"/>
      <c r="L170" s="7715"/>
      <c r="M170" s="7715"/>
      <c r="N170" s="7715"/>
      <c r="O170" s="7715"/>
      <c r="P170" s="7715"/>
      <c r="Q170" s="7715"/>
      <c r="R170" s="7715"/>
      <c r="S170" s="7715"/>
      <c r="T170" s="7715"/>
      <c r="U170" s="7715"/>
      <c r="V170" s="7715"/>
      <c r="W170" s="7715"/>
      <c r="X170" s="7715"/>
      <c r="Y170" s="7715"/>
      <c r="Z170" s="7715"/>
      <c r="AA170" s="7715"/>
      <c r="AB170" s="7715"/>
      <c r="AC170" s="7715"/>
      <c r="AD170" s="7715"/>
      <c r="AE170" s="7715"/>
      <c r="AF170" s="7715"/>
      <c r="AG170" s="7715"/>
      <c r="AH170" s="7715"/>
      <c r="AI170" s="7715"/>
      <c r="AJ170" s="7715"/>
      <c r="AK170" s="7715"/>
      <c r="AL170" s="1421"/>
      <c r="AM170" s="1949"/>
      <c r="AN170" s="1949"/>
      <c r="AO170" s="1421"/>
      <c r="AP170" s="1421"/>
      <c r="AQ170" s="1421"/>
      <c r="AR170" s="1421"/>
      <c r="AS170" s="1949"/>
      <c r="AT170" s="1421"/>
      <c r="AU170" s="1421"/>
      <c r="AV170" s="781"/>
      <c r="AW170" s="1421"/>
      <c r="AX170" s="1421"/>
      <c r="AY170" s="1421"/>
      <c r="AZ170" s="1421"/>
      <c r="BA170" s="1421"/>
      <c r="BB170" s="1945"/>
      <c r="BC170" s="803"/>
      <c r="BD170" s="803"/>
      <c r="BE170" s="803"/>
      <c r="BF170" s="803"/>
    </row>
    <row s="10822" customFormat="1" customHeight="1" ht="11.25">
      <c r="A171" s="1243"/>
      <c r="B171" s="1949"/>
      <c r="C171" s="1949"/>
      <c r="D171" s="572"/>
      <c r="J171" s="7715"/>
      <c r="K171" s="7715"/>
      <c r="L171" s="7715"/>
      <c r="M171" s="7715"/>
      <c r="N171" s="7715"/>
      <c r="O171" s="7715"/>
      <c r="P171" s="7715"/>
      <c r="Q171" s="7715"/>
      <c r="R171" s="7715"/>
      <c r="S171" s="7715"/>
      <c r="T171" s="7715"/>
      <c r="U171" s="7715"/>
      <c r="V171" s="7715"/>
      <c r="W171" s="7715"/>
      <c r="X171" s="7715"/>
      <c r="Y171" s="7715"/>
      <c r="Z171" s="7715"/>
      <c r="AA171" s="7715"/>
      <c r="AB171" s="7715"/>
      <c r="AC171" s="7715"/>
      <c r="AD171" s="7715"/>
      <c r="AE171" s="7715"/>
      <c r="AF171" s="7715"/>
      <c r="AG171" s="7715"/>
      <c r="AH171" s="7715"/>
      <c r="AI171" s="7715"/>
      <c r="AJ171" s="7715"/>
      <c r="AK171" s="7715"/>
      <c r="AL171" s="1421"/>
      <c r="AM171" s="1949"/>
      <c r="AN171" s="1949"/>
      <c r="AO171" s="1421"/>
      <c r="AP171" s="1421"/>
      <c r="AQ171" s="1421"/>
      <c r="AR171" s="1421"/>
      <c r="AS171" s="1949"/>
      <c r="AT171" s="1421"/>
      <c r="AU171" s="1421"/>
      <c r="AV171" s="781"/>
      <c r="AW171" s="1421"/>
      <c r="AX171" s="1421"/>
      <c r="AY171" s="1421"/>
      <c r="AZ171" s="1421"/>
      <c r="BA171" s="1421"/>
      <c r="BB171" s="1945"/>
      <c r="BC171" s="803"/>
      <c r="BD171" s="803"/>
      <c r="BE171" s="803"/>
      <c r="BF171" s="803"/>
    </row>
    <row s="10822" customFormat="1" customHeight="1" ht="11.25">
      <c r="A172" s="1243"/>
      <c r="B172" s="1949"/>
      <c r="C172" s="1949"/>
      <c r="D172" s="572"/>
      <c r="J172" s="7715"/>
      <c r="K172" s="7715"/>
      <c r="L172" s="7715"/>
      <c r="M172" s="7715"/>
      <c r="N172" s="7715"/>
      <c r="O172" s="7715"/>
      <c r="P172" s="7715"/>
      <c r="Q172" s="7715"/>
      <c r="R172" s="7715"/>
      <c r="S172" s="7715"/>
      <c r="T172" s="7715"/>
      <c r="U172" s="7715"/>
      <c r="V172" s="7715"/>
      <c r="W172" s="7715"/>
      <c r="X172" s="7715"/>
      <c r="Y172" s="7715"/>
      <c r="Z172" s="7715"/>
      <c r="AA172" s="7715"/>
      <c r="AB172" s="7715"/>
      <c r="AC172" s="7715"/>
      <c r="AD172" s="7715"/>
      <c r="AE172" s="7715"/>
      <c r="AF172" s="7715"/>
      <c r="AG172" s="7715"/>
      <c r="AH172" s="7715"/>
      <c r="AI172" s="7715"/>
      <c r="AJ172" s="7715"/>
      <c r="AK172" s="7715"/>
      <c r="AL172" s="1421"/>
      <c r="AM172" s="1949"/>
      <c r="AN172" s="1949"/>
      <c r="AO172" s="1421"/>
      <c r="AP172" s="1421"/>
      <c r="AQ172" s="1421"/>
      <c r="AR172" s="1421"/>
      <c r="AS172" s="1949"/>
      <c r="AT172" s="1421"/>
      <c r="AU172" s="1421"/>
      <c r="AV172" s="781"/>
      <c r="AW172" s="1421"/>
      <c r="AX172" s="1421"/>
      <c r="AY172" s="1421"/>
      <c r="AZ172" s="1421"/>
      <c r="BA172" s="1421"/>
      <c r="BB172" s="1945"/>
      <c r="BC172" s="803"/>
      <c r="BD172" s="803"/>
      <c r="BE172" s="803"/>
      <c r="BF172" s="803"/>
    </row>
    <row s="10822" customFormat="1" customHeight="1" ht="11.25">
      <c r="A173" s="1243"/>
      <c r="B173" s="1949"/>
      <c r="C173" s="1949"/>
      <c r="D173" s="572"/>
      <c r="J173" s="7715"/>
      <c r="K173" s="7715"/>
      <c r="L173" s="7715"/>
      <c r="M173" s="7715"/>
      <c r="N173" s="7715"/>
      <c r="O173" s="7715"/>
      <c r="P173" s="7715"/>
      <c r="Q173" s="7715"/>
      <c r="R173" s="7715"/>
      <c r="S173" s="7715"/>
      <c r="T173" s="7715"/>
      <c r="U173" s="7715"/>
      <c r="V173" s="7715"/>
      <c r="W173" s="7715"/>
      <c r="X173" s="7715"/>
      <c r="Y173" s="7715"/>
      <c r="Z173" s="7715"/>
      <c r="AA173" s="7715"/>
      <c r="AB173" s="7715"/>
      <c r="AC173" s="7715"/>
      <c r="AD173" s="7715"/>
      <c r="AE173" s="7715"/>
      <c r="AF173" s="7715"/>
      <c r="AG173" s="7715"/>
      <c r="AH173" s="7715"/>
      <c r="AI173" s="7715"/>
      <c r="AJ173" s="7715"/>
      <c r="AK173" s="7715"/>
      <c r="AL173" s="1421"/>
      <c r="AM173" s="1949"/>
      <c r="AN173" s="1949"/>
      <c r="AO173" s="1421"/>
      <c r="AP173" s="1421"/>
      <c r="AQ173" s="1421"/>
      <c r="AR173" s="1421"/>
      <c r="AS173" s="1949"/>
      <c r="AT173" s="1421"/>
      <c r="AU173" s="1421"/>
      <c r="AV173" s="781"/>
      <c r="AW173" s="1421"/>
      <c r="AX173" s="1421"/>
      <c r="AY173" s="1421"/>
      <c r="AZ173" s="1421"/>
      <c r="BA173" s="1421"/>
      <c r="BB173" s="1945"/>
      <c r="BC173" s="803"/>
      <c r="BD173" s="803"/>
      <c r="BE173" s="803"/>
      <c r="BF173" s="803"/>
    </row>
    <row s="10822" customFormat="1" customHeight="1" ht="11.25">
      <c r="A174" s="1243"/>
      <c r="B174" s="1949"/>
      <c r="C174" s="1949"/>
      <c r="D174" s="572"/>
      <c r="J174" s="7715"/>
      <c r="K174" s="7715"/>
      <c r="L174" s="7715"/>
      <c r="M174" s="7715"/>
      <c r="N174" s="7715"/>
      <c r="O174" s="7715"/>
      <c r="P174" s="7715"/>
      <c r="Q174" s="7715"/>
      <c r="R174" s="7715"/>
      <c r="S174" s="7715"/>
      <c r="T174" s="7715"/>
      <c r="U174" s="7715"/>
      <c r="V174" s="7715"/>
      <c r="W174" s="7715"/>
      <c r="X174" s="7715"/>
      <c r="Y174" s="7715"/>
      <c r="Z174" s="7715"/>
      <c r="AA174" s="7715"/>
      <c r="AB174" s="7715"/>
      <c r="AC174" s="7715"/>
      <c r="AD174" s="7715"/>
      <c r="AE174" s="7715"/>
      <c r="AF174" s="7715"/>
      <c r="AG174" s="7715"/>
      <c r="AH174" s="7715"/>
      <c r="AI174" s="7715"/>
      <c r="AJ174" s="7715"/>
      <c r="AK174" s="7715"/>
      <c r="AL174" s="1421"/>
      <c r="AM174" s="1949"/>
      <c r="AN174" s="1949"/>
      <c r="AO174" s="1421"/>
      <c r="AP174" s="1421"/>
      <c r="AQ174" s="1421"/>
      <c r="AR174" s="1421"/>
      <c r="AS174" s="1949"/>
      <c r="AT174" s="1421"/>
      <c r="AU174" s="1421"/>
      <c r="AV174" s="781"/>
      <c r="AW174" s="1421"/>
      <c r="AX174" s="1421"/>
      <c r="AY174" s="1421"/>
      <c r="AZ174" s="1421"/>
      <c r="BA174" s="1421"/>
      <c r="BB174" s="1945"/>
      <c r="BC174" s="803"/>
      <c r="BD174" s="803"/>
      <c r="BE174" s="803"/>
      <c r="BF174" s="803"/>
    </row>
    <row s="10822" customFormat="1" customHeight="1" ht="11.25">
      <c r="A175" s="1243"/>
      <c r="B175" s="1949"/>
      <c r="C175" s="1949"/>
      <c r="D175" s="572"/>
      <c r="J175" s="7715"/>
      <c r="K175" s="7715"/>
      <c r="L175" s="7715"/>
      <c r="M175" s="7715"/>
      <c r="N175" s="7715"/>
      <c r="O175" s="7715"/>
      <c r="P175" s="7715"/>
      <c r="Q175" s="7715"/>
      <c r="R175" s="7715"/>
      <c r="S175" s="7715"/>
      <c r="T175" s="7715"/>
      <c r="U175" s="7715"/>
      <c r="V175" s="7715"/>
      <c r="W175" s="7715"/>
      <c r="X175" s="7715"/>
      <c r="Y175" s="7715"/>
      <c r="Z175" s="7715"/>
      <c r="AA175" s="7715"/>
      <c r="AB175" s="7715"/>
      <c r="AC175" s="7715"/>
      <c r="AD175" s="7715"/>
      <c r="AE175" s="7715"/>
      <c r="AF175" s="7715"/>
      <c r="AG175" s="7715"/>
      <c r="AH175" s="7715"/>
      <c r="AI175" s="7715"/>
      <c r="AJ175" s="7715"/>
      <c r="AK175" s="7715"/>
      <c r="AL175" s="1421"/>
      <c r="AM175" s="1949"/>
      <c r="AN175" s="1949"/>
      <c r="AO175" s="1421"/>
      <c r="AP175" s="1421"/>
      <c r="AQ175" s="1421"/>
      <c r="AR175" s="1421"/>
      <c r="AS175" s="1949"/>
      <c r="AT175" s="1421"/>
      <c r="AU175" s="1421"/>
      <c r="AV175" s="781"/>
      <c r="AW175" s="1421"/>
      <c r="AX175" s="1421"/>
      <c r="AY175" s="1421"/>
      <c r="AZ175" s="1421"/>
      <c r="BA175" s="1421"/>
      <c r="BB175" s="1945"/>
      <c r="BC175" s="803"/>
      <c r="BD175" s="803"/>
      <c r="BE175" s="803"/>
      <c r="BF175" s="803"/>
    </row>
    <row s="10822" customFormat="1" customHeight="1" ht="11.25">
      <c r="A176" s="1243"/>
      <c r="B176" s="1949"/>
      <c r="C176" s="1949"/>
      <c r="D176" s="572"/>
      <c r="J176" s="7715"/>
      <c r="K176" s="7715"/>
      <c r="L176" s="7715"/>
      <c r="M176" s="7715"/>
      <c r="N176" s="7715"/>
      <c r="O176" s="7715"/>
      <c r="P176" s="7715"/>
      <c r="Q176" s="7715"/>
      <c r="R176" s="7715"/>
      <c r="S176" s="7715"/>
      <c r="T176" s="7715"/>
      <c r="U176" s="7715"/>
      <c r="V176" s="7715"/>
      <c r="W176" s="7715"/>
      <c r="X176" s="7715"/>
      <c r="Y176" s="7715"/>
      <c r="Z176" s="7715"/>
      <c r="AA176" s="7715"/>
      <c r="AB176" s="7715"/>
      <c r="AC176" s="7715"/>
      <c r="AD176" s="7715"/>
      <c r="AE176" s="7715"/>
      <c r="AF176" s="7715"/>
      <c r="AG176" s="7715"/>
      <c r="AH176" s="7715"/>
      <c r="AI176" s="7715"/>
      <c r="AJ176" s="7715"/>
      <c r="AK176" s="7715"/>
      <c r="AL176" s="1421"/>
      <c r="AM176" s="1949"/>
      <c r="AN176" s="1949"/>
      <c r="AO176" s="1421"/>
      <c r="AP176" s="1421"/>
      <c r="AQ176" s="1421"/>
      <c r="AR176" s="1421"/>
      <c r="AS176" s="1949"/>
      <c r="AT176" s="1421"/>
      <c r="AU176" s="1421"/>
      <c r="AV176" s="781"/>
      <c r="AW176" s="1421"/>
      <c r="AX176" s="1421"/>
      <c r="AY176" s="1421"/>
      <c r="AZ176" s="1421"/>
      <c r="BA176" s="1421"/>
      <c r="BB176" s="1945"/>
      <c r="BC176" s="803"/>
      <c r="BD176" s="803"/>
      <c r="BE176" s="803"/>
      <c r="BF176" s="803"/>
    </row>
    <row s="10822" customFormat="1" customHeight="1" ht="11.25">
      <c r="A177" s="1243"/>
      <c r="B177" s="1949"/>
      <c r="C177" s="1949"/>
      <c r="D177" s="572"/>
      <c r="J177" s="7715"/>
      <c r="K177" s="7715"/>
      <c r="L177" s="7715"/>
      <c r="M177" s="7715"/>
      <c r="N177" s="7715"/>
      <c r="O177" s="7715"/>
      <c r="P177" s="7715"/>
      <c r="Q177" s="7715"/>
      <c r="R177" s="7715"/>
      <c r="S177" s="7715"/>
      <c r="T177" s="7715"/>
      <c r="U177" s="7715"/>
      <c r="V177" s="7715"/>
      <c r="W177" s="7715"/>
      <c r="X177" s="7715"/>
      <c r="Y177" s="7715"/>
      <c r="Z177" s="7715"/>
      <c r="AA177" s="7715"/>
      <c r="AB177" s="7715"/>
      <c r="AC177" s="7715"/>
      <c r="AD177" s="7715"/>
      <c r="AE177" s="7715"/>
      <c r="AF177" s="7715"/>
      <c r="AG177" s="7715"/>
      <c r="AH177" s="7715"/>
      <c r="AI177" s="7715"/>
      <c r="AJ177" s="7715"/>
      <c r="AK177" s="7715"/>
      <c r="AL177" s="1421"/>
      <c r="AM177" s="1949"/>
      <c r="AN177" s="1949"/>
      <c r="AO177" s="1421"/>
      <c r="AP177" s="1421"/>
      <c r="AQ177" s="1421"/>
      <c r="AR177" s="1421"/>
      <c r="AS177" s="1949"/>
      <c r="AT177" s="1421"/>
      <c r="AU177" s="1421"/>
      <c r="AV177" s="781"/>
      <c r="AW177" s="1421"/>
      <c r="AX177" s="1421"/>
      <c r="AY177" s="1421"/>
      <c r="AZ177" s="1421"/>
      <c r="BA177" s="1421"/>
      <c r="BB177" s="1945"/>
      <c r="BC177" s="803"/>
      <c r="BD177" s="803"/>
      <c r="BE177" s="803"/>
      <c r="BF177" s="803"/>
    </row>
    <row s="10822" customFormat="1" customHeight="1" ht="11.25">
      <c r="A178" s="1243"/>
      <c r="B178" s="1949"/>
      <c r="C178" s="1949"/>
      <c r="D178" s="572"/>
      <c r="J178" s="7715"/>
      <c r="K178" s="7715"/>
      <c r="L178" s="7715"/>
      <c r="M178" s="7715"/>
      <c r="N178" s="7715"/>
      <c r="O178" s="7715"/>
      <c r="P178" s="7715"/>
      <c r="Q178" s="7715"/>
      <c r="R178" s="7715"/>
      <c r="S178" s="7715"/>
      <c r="T178" s="7715"/>
      <c r="U178" s="7715"/>
      <c r="V178" s="7715"/>
      <c r="W178" s="7715"/>
      <c r="X178" s="7715"/>
      <c r="Y178" s="7715"/>
      <c r="Z178" s="7715"/>
      <c r="AA178" s="7715"/>
      <c r="AB178" s="7715"/>
      <c r="AC178" s="7715"/>
      <c r="AD178" s="7715"/>
      <c r="AE178" s="7715"/>
      <c r="AF178" s="7715"/>
      <c r="AG178" s="7715"/>
      <c r="AH178" s="7715"/>
      <c r="AI178" s="7715"/>
      <c r="AJ178" s="7715"/>
      <c r="AK178" s="7715"/>
      <c r="AL178" s="1421"/>
      <c r="AM178" s="1949"/>
      <c r="AN178" s="1949"/>
      <c r="AO178" s="1421"/>
      <c r="AP178" s="1421"/>
      <c r="AQ178" s="1421"/>
      <c r="AR178" s="1421"/>
      <c r="AS178" s="1949"/>
      <c r="AT178" s="1421"/>
      <c r="AU178" s="1421"/>
      <c r="AV178" s="781"/>
      <c r="AW178" s="1421"/>
      <c r="AX178" s="1421"/>
      <c r="AY178" s="1421"/>
      <c r="AZ178" s="1421"/>
      <c r="BA178" s="1421"/>
      <c r="BB178" s="1945"/>
      <c r="BC178" s="803"/>
      <c r="BD178" s="803"/>
      <c r="BE178" s="803"/>
      <c r="BF178" s="803"/>
    </row>
    <row s="10822" customFormat="1" customHeight="1" ht="11.25">
      <c r="A179" s="1243"/>
      <c r="B179" s="1949"/>
      <c r="C179" s="1949"/>
      <c r="D179" s="572"/>
      <c r="J179" s="7715"/>
      <c r="K179" s="7715"/>
      <c r="L179" s="7715"/>
      <c r="M179" s="7715"/>
      <c r="N179" s="7715"/>
      <c r="O179" s="7715"/>
      <c r="P179" s="7715"/>
      <c r="Q179" s="7715"/>
      <c r="R179" s="7715"/>
      <c r="S179" s="7715"/>
      <c r="T179" s="7715"/>
      <c r="U179" s="7715"/>
      <c r="V179" s="7715"/>
      <c r="W179" s="7715"/>
      <c r="X179" s="7715"/>
      <c r="Y179" s="7715"/>
      <c r="Z179" s="7715"/>
      <c r="AA179" s="7715"/>
      <c r="AB179" s="7715"/>
      <c r="AC179" s="7715"/>
      <c r="AD179" s="7715"/>
      <c r="AE179" s="7715"/>
      <c r="AF179" s="7715"/>
      <c r="AG179" s="7715"/>
      <c r="AH179" s="7715"/>
      <c r="AI179" s="7715"/>
      <c r="AJ179" s="7715"/>
      <c r="AK179" s="7715"/>
      <c r="AL179" s="1421"/>
      <c r="AM179" s="1949"/>
      <c r="AN179" s="1949"/>
      <c r="AO179" s="1421"/>
      <c r="AP179" s="1421"/>
      <c r="AQ179" s="1421"/>
      <c r="AR179" s="1421"/>
      <c r="AS179" s="1949"/>
      <c r="AT179" s="1421"/>
      <c r="AU179" s="1421"/>
      <c r="AV179" s="781"/>
      <c r="AW179" s="1421"/>
      <c r="AX179" s="1421"/>
      <c r="AY179" s="1421"/>
      <c r="AZ179" s="1421"/>
      <c r="BA179" s="1421"/>
      <c r="BB179" s="1945"/>
      <c r="BC179" s="803"/>
      <c r="BD179" s="803"/>
      <c r="BE179" s="803"/>
      <c r="BF179" s="803"/>
    </row>
    <row s="10822" customFormat="1" customHeight="1" ht="11.25">
      <c r="A180" s="1243"/>
      <c r="B180" s="1949"/>
      <c r="C180" s="1949"/>
      <c r="D180" s="572"/>
      <c r="J180" s="7715"/>
      <c r="K180" s="7715"/>
      <c r="L180" s="7715"/>
      <c r="M180" s="7715"/>
      <c r="N180" s="7715"/>
      <c r="O180" s="7715"/>
      <c r="P180" s="7715"/>
      <c r="Q180" s="7715"/>
      <c r="R180" s="7715"/>
      <c r="S180" s="7715"/>
      <c r="T180" s="7715"/>
      <c r="U180" s="7715"/>
      <c r="V180" s="7715"/>
      <c r="W180" s="7715"/>
      <c r="X180" s="7715"/>
      <c r="Y180" s="7715"/>
      <c r="Z180" s="7715"/>
      <c r="AA180" s="7715"/>
      <c r="AB180" s="7715"/>
      <c r="AC180" s="7715"/>
      <c r="AD180" s="7715"/>
      <c r="AE180" s="7715"/>
      <c r="AF180" s="7715"/>
      <c r="AG180" s="7715"/>
      <c r="AH180" s="7715"/>
      <c r="AI180" s="7715"/>
      <c r="AJ180" s="7715"/>
      <c r="AK180" s="7715"/>
      <c r="AL180" s="1421"/>
      <c r="AM180" s="1949"/>
      <c r="AN180" s="1949"/>
      <c r="AO180" s="1421"/>
      <c r="AP180" s="1421"/>
      <c r="AQ180" s="1421"/>
      <c r="AR180" s="1421"/>
      <c r="AS180" s="1949"/>
      <c r="AT180" s="1421"/>
      <c r="AU180" s="1421"/>
      <c r="AV180" s="781"/>
      <c r="AW180" s="1421"/>
      <c r="AX180" s="1421"/>
      <c r="AY180" s="1421"/>
      <c r="AZ180" s="1421"/>
      <c r="BA180" s="1421"/>
      <c r="BB180" s="1945"/>
      <c r="BC180" s="803"/>
      <c r="BD180" s="803"/>
      <c r="BE180" s="803"/>
      <c r="BF180" s="803"/>
    </row>
    <row s="10822" customFormat="1" customHeight="1" ht="11.25">
      <c r="A181" s="1243"/>
      <c r="B181" s="1949"/>
      <c r="C181" s="1949"/>
      <c r="D181" s="572"/>
      <c r="J181" s="7715"/>
      <c r="K181" s="7715"/>
      <c r="L181" s="7715"/>
      <c r="M181" s="7715"/>
      <c r="N181" s="7715"/>
      <c r="O181" s="7715"/>
      <c r="P181" s="7715"/>
      <c r="Q181" s="7715"/>
      <c r="R181" s="7715"/>
      <c r="S181" s="7715"/>
      <c r="T181" s="7715"/>
      <c r="U181" s="7715"/>
      <c r="V181" s="7715"/>
      <c r="W181" s="7715"/>
      <c r="X181" s="7715"/>
      <c r="Y181" s="7715"/>
      <c r="Z181" s="7715"/>
      <c r="AA181" s="7715"/>
      <c r="AB181" s="7715"/>
      <c r="AC181" s="7715"/>
      <c r="AD181" s="7715"/>
      <c r="AE181" s="7715"/>
      <c r="AF181" s="7715"/>
      <c r="AG181" s="7715"/>
      <c r="AH181" s="7715"/>
      <c r="AI181" s="7715"/>
      <c r="AJ181" s="7715"/>
      <c r="AK181" s="7715"/>
      <c r="AL181" s="1421"/>
      <c r="AM181" s="1949"/>
      <c r="AN181" s="1949"/>
      <c r="AO181" s="1421"/>
      <c r="AP181" s="1421"/>
      <c r="AQ181" s="1421"/>
      <c r="AR181" s="1421"/>
      <c r="AS181" s="1949"/>
      <c r="AT181" s="1421"/>
      <c r="AU181" s="1421"/>
      <c r="AV181" s="781"/>
      <c r="AW181" s="1421"/>
      <c r="AX181" s="1421"/>
      <c r="AY181" s="1421"/>
      <c r="AZ181" s="1421"/>
      <c r="BA181" s="1421"/>
      <c r="BB181" s="1945"/>
      <c r="BC181" s="803"/>
      <c r="BD181" s="803"/>
      <c r="BE181" s="803"/>
      <c r="BF181" s="803"/>
    </row>
    <row s="10822" customFormat="1" customHeight="1" ht="11.25">
      <c r="A182" s="1243"/>
      <c r="B182" s="1949"/>
      <c r="C182" s="1949"/>
      <c r="D182" s="572"/>
      <c r="J182" s="7715"/>
      <c r="K182" s="7715"/>
      <c r="L182" s="7715"/>
      <c r="M182" s="7715"/>
      <c r="N182" s="7715"/>
      <c r="O182" s="7715"/>
      <c r="P182" s="7715"/>
      <c r="Q182" s="7715"/>
      <c r="R182" s="7715"/>
      <c r="S182" s="7715"/>
      <c r="T182" s="7715"/>
      <c r="U182" s="7715"/>
      <c r="V182" s="7715"/>
      <c r="W182" s="7715"/>
      <c r="X182" s="7715"/>
      <c r="Y182" s="7715"/>
      <c r="Z182" s="7715"/>
      <c r="AA182" s="7715"/>
      <c r="AB182" s="7715"/>
      <c r="AC182" s="7715"/>
      <c r="AD182" s="7715"/>
      <c r="AE182" s="7715"/>
      <c r="AF182" s="7715"/>
      <c r="AG182" s="7715"/>
      <c r="AH182" s="7715"/>
      <c r="AI182" s="7715"/>
      <c r="AJ182" s="7715"/>
      <c r="AK182" s="7715"/>
      <c r="AL182" s="1421"/>
      <c r="AM182" s="1949"/>
      <c r="AN182" s="1949"/>
      <c r="AO182" s="1421"/>
      <c r="AP182" s="1421"/>
      <c r="AQ182" s="1421"/>
      <c r="AR182" s="1421"/>
      <c r="AS182" s="1949"/>
      <c r="AT182" s="1421"/>
      <c r="AU182" s="1421"/>
      <c r="AV182" s="781"/>
      <c r="AW182" s="1421"/>
      <c r="AX182" s="1421"/>
      <c r="AY182" s="1421"/>
      <c r="AZ182" s="1421"/>
      <c r="BA182" s="1421"/>
      <c r="BB182" s="1945"/>
      <c r="BC182" s="803"/>
      <c r="BD182" s="803"/>
      <c r="BE182" s="803"/>
      <c r="BF182" s="803"/>
    </row>
    <row s="10822" customFormat="1" customHeight="1" ht="11.25">
      <c r="A183" s="1243"/>
      <c r="B183" s="1949"/>
      <c r="C183" s="1949"/>
      <c r="D183" s="572"/>
      <c r="J183" s="7715"/>
      <c r="K183" s="7715"/>
      <c r="L183" s="7715"/>
      <c r="M183" s="7715"/>
      <c r="N183" s="7715"/>
      <c r="O183" s="7715"/>
      <c r="P183" s="7715"/>
      <c r="Q183" s="7715"/>
      <c r="R183" s="7715"/>
      <c r="S183" s="7715"/>
      <c r="T183" s="7715"/>
      <c r="U183" s="7715"/>
      <c r="V183" s="7715"/>
      <c r="W183" s="7715"/>
      <c r="X183" s="7715"/>
      <c r="Y183" s="7715"/>
      <c r="Z183" s="7715"/>
      <c r="AA183" s="7715"/>
      <c r="AB183" s="7715"/>
      <c r="AC183" s="7715"/>
      <c r="AD183" s="7715"/>
      <c r="AE183" s="7715"/>
      <c r="AF183" s="7715"/>
      <c r="AG183" s="7715"/>
      <c r="AH183" s="7715"/>
      <c r="AI183" s="7715"/>
      <c r="AJ183" s="7715"/>
      <c r="AK183" s="7715"/>
      <c r="AL183" s="1421"/>
      <c r="AM183" s="1949"/>
      <c r="AN183" s="1949"/>
      <c r="AO183" s="1421"/>
      <c r="AP183" s="1421"/>
      <c r="AQ183" s="1421"/>
      <c r="AR183" s="1421"/>
      <c r="AS183" s="1949"/>
      <c r="AT183" s="1421"/>
      <c r="AU183" s="1421"/>
      <c r="AV183" s="781"/>
      <c r="AW183" s="1421"/>
      <c r="AX183" s="1421"/>
      <c r="AY183" s="1421"/>
      <c r="AZ183" s="1421"/>
      <c r="BA183" s="1421"/>
      <c r="BB183" s="1945"/>
      <c r="BC183" s="803"/>
      <c r="BD183" s="803"/>
      <c r="BE183" s="803"/>
      <c r="BF183" s="803"/>
    </row>
    <row s="10822" customFormat="1" customHeight="1" ht="11.25">
      <c r="A184" s="1243"/>
      <c r="B184" s="1949"/>
      <c r="C184" s="1949"/>
      <c r="D184" s="572"/>
      <c r="J184" s="7715"/>
      <c r="K184" s="7715"/>
      <c r="L184" s="7715"/>
      <c r="M184" s="7715"/>
      <c r="N184" s="7715"/>
      <c r="O184" s="7715"/>
      <c r="P184" s="7715"/>
      <c r="Q184" s="7715"/>
      <c r="R184" s="7715"/>
      <c r="S184" s="7715"/>
      <c r="T184" s="7715"/>
      <c r="U184" s="7715"/>
      <c r="V184" s="7715"/>
      <c r="W184" s="7715"/>
      <c r="X184" s="7715"/>
      <c r="Y184" s="7715"/>
      <c r="Z184" s="7715"/>
      <c r="AA184" s="7715"/>
      <c r="AB184" s="7715"/>
      <c r="AC184" s="7715"/>
      <c r="AD184" s="7715"/>
      <c r="AE184" s="7715"/>
      <c r="AF184" s="7715"/>
      <c r="AG184" s="7715"/>
      <c r="AH184" s="7715"/>
      <c r="AI184" s="7715"/>
      <c r="AJ184" s="7715"/>
      <c r="AK184" s="7715"/>
      <c r="AL184" s="1421"/>
      <c r="AM184" s="1949"/>
      <c r="AN184" s="1949"/>
      <c r="AO184" s="1421"/>
      <c r="AP184" s="1421"/>
      <c r="AQ184" s="1421"/>
      <c r="AR184" s="1421"/>
      <c r="AS184" s="1949"/>
      <c r="AT184" s="1421"/>
      <c r="AU184" s="1421"/>
      <c r="AV184" s="781"/>
      <c r="AW184" s="1421"/>
      <c r="AX184" s="1421"/>
      <c r="AY184" s="1421"/>
      <c r="AZ184" s="1421"/>
      <c r="BA184" s="1421"/>
      <c r="BB184" s="1945"/>
      <c r="BC184" s="803"/>
      <c r="BD184" s="803"/>
      <c r="BE184" s="803"/>
      <c r="BF184" s="803"/>
    </row>
    <row s="10822" customFormat="1" customHeight="1" ht="11.25">
      <c r="A185" s="1243"/>
      <c r="B185" s="1949"/>
      <c r="C185" s="1949"/>
      <c r="D185" s="572"/>
      <c r="J185" s="7715"/>
      <c r="K185" s="7715"/>
      <c r="L185" s="7715"/>
      <c r="M185" s="7715"/>
      <c r="N185" s="7715"/>
      <c r="O185" s="7715"/>
      <c r="P185" s="7715"/>
      <c r="Q185" s="7715"/>
      <c r="R185" s="7715"/>
      <c r="S185" s="7715"/>
      <c r="T185" s="7715"/>
      <c r="U185" s="7715"/>
      <c r="V185" s="7715"/>
      <c r="W185" s="7715"/>
      <c r="X185" s="7715"/>
      <c r="Y185" s="7715"/>
      <c r="Z185" s="7715"/>
      <c r="AA185" s="7715"/>
      <c r="AB185" s="7715"/>
      <c r="AC185" s="7715"/>
      <c r="AD185" s="7715"/>
      <c r="AE185" s="7715"/>
      <c r="AF185" s="7715"/>
      <c r="AG185" s="7715"/>
      <c r="AH185" s="7715"/>
      <c r="AI185" s="7715"/>
      <c r="AJ185" s="7715"/>
      <c r="AK185" s="7715"/>
      <c r="AL185" s="1421"/>
      <c r="AM185" s="1949"/>
      <c r="AN185" s="1949"/>
      <c r="AO185" s="1421"/>
      <c r="AP185" s="1421"/>
      <c r="AQ185" s="1421"/>
      <c r="AR185" s="1421"/>
      <c r="AS185" s="1949"/>
      <c r="AT185" s="1421"/>
      <c r="AU185" s="1421"/>
      <c r="AV185" s="781"/>
      <c r="AW185" s="1421"/>
      <c r="AX185" s="1421"/>
      <c r="AY185" s="1421"/>
      <c r="AZ185" s="1421"/>
      <c r="BA185" s="1421"/>
      <c r="BB185" s="1945"/>
      <c r="BC185" s="803"/>
      <c r="BD185" s="803"/>
      <c r="BE185" s="803"/>
      <c r="BF185" s="803"/>
    </row>
    <row s="10822" customFormat="1" customHeight="1" ht="11.25">
      <c r="A186" s="1243"/>
      <c r="B186" s="1949"/>
      <c r="C186" s="1949"/>
      <c r="D186" s="572"/>
      <c r="J186" s="7715"/>
      <c r="K186" s="7715"/>
      <c r="L186" s="7715"/>
      <c r="M186" s="7715"/>
      <c r="N186" s="7715"/>
      <c r="O186" s="7715"/>
      <c r="P186" s="7715"/>
      <c r="Q186" s="7715"/>
      <c r="R186" s="7715"/>
      <c r="S186" s="7715"/>
      <c r="T186" s="7715"/>
      <c r="U186" s="7715"/>
      <c r="V186" s="7715"/>
      <c r="W186" s="7715"/>
      <c r="X186" s="7715"/>
      <c r="Y186" s="7715"/>
      <c r="Z186" s="7715"/>
      <c r="AA186" s="7715"/>
      <c r="AB186" s="7715"/>
      <c r="AC186" s="7715"/>
      <c r="AD186" s="7715"/>
      <c r="AE186" s="7715"/>
      <c r="AF186" s="7715"/>
      <c r="AG186" s="7715"/>
      <c r="AH186" s="7715"/>
      <c r="AI186" s="7715"/>
      <c r="AJ186" s="7715"/>
      <c r="AK186" s="7715"/>
      <c r="AL186" s="1421"/>
      <c r="AM186" s="1949"/>
      <c r="AN186" s="1949"/>
      <c r="AO186" s="1421"/>
      <c r="AP186" s="1421"/>
      <c r="AQ186" s="1421"/>
      <c r="AR186" s="1421"/>
      <c r="AS186" s="1949"/>
      <c r="AT186" s="1421"/>
      <c r="AU186" s="1421"/>
      <c r="AV186" s="781"/>
      <c r="AW186" s="1421"/>
      <c r="AX186" s="1421"/>
      <c r="AY186" s="1421"/>
      <c r="AZ186" s="1421"/>
      <c r="BA186" s="1421"/>
      <c r="BB186" s="1945"/>
      <c r="BC186" s="803"/>
      <c r="BD186" s="803"/>
      <c r="BE186" s="803"/>
      <c r="BF186" s="803"/>
    </row>
    <row s="10822" customFormat="1" customHeight="1" ht="11.25">
      <c r="A187" s="1243"/>
      <c r="B187" s="1949"/>
      <c r="C187" s="1949"/>
      <c r="D187" s="572"/>
      <c r="J187" s="7715"/>
      <c r="K187" s="7715"/>
      <c r="L187" s="7715"/>
      <c r="M187" s="7715"/>
      <c r="N187" s="7715"/>
      <c r="O187" s="7715"/>
      <c r="P187" s="7715"/>
      <c r="Q187" s="7715"/>
      <c r="R187" s="7715"/>
      <c r="S187" s="7715"/>
      <c r="T187" s="7715"/>
      <c r="U187" s="7715"/>
      <c r="V187" s="7715"/>
      <c r="W187" s="7715"/>
      <c r="X187" s="7715"/>
      <c r="Y187" s="7715"/>
      <c r="Z187" s="7715"/>
      <c r="AA187" s="7715"/>
      <c r="AB187" s="7715"/>
      <c r="AC187" s="7715"/>
      <c r="AD187" s="7715"/>
      <c r="AE187" s="7715"/>
      <c r="AF187" s="7715"/>
      <c r="AG187" s="7715"/>
      <c r="AH187" s="7715"/>
      <c r="AI187" s="7715"/>
      <c r="AJ187" s="7715"/>
      <c r="AK187" s="7715"/>
      <c r="AL187" s="1421"/>
      <c r="AM187" s="1949"/>
      <c r="AN187" s="1949"/>
      <c r="AO187" s="1421"/>
      <c r="AP187" s="1421"/>
      <c r="AQ187" s="1421"/>
      <c r="AR187" s="1421"/>
      <c r="AS187" s="1949"/>
      <c r="AT187" s="1421"/>
      <c r="AU187" s="1421"/>
      <c r="AV187" s="781"/>
      <c r="AW187" s="1421"/>
      <c r="AX187" s="1421"/>
      <c r="AY187" s="1421"/>
      <c r="AZ187" s="1421"/>
      <c r="BA187" s="1421"/>
      <c r="BB187" s="1945"/>
      <c r="BC187" s="803"/>
      <c r="BD187" s="803"/>
      <c r="BE187" s="803"/>
      <c r="BF187" s="803"/>
    </row>
    <row s="10822" customFormat="1" customHeight="1" ht="11.25">
      <c r="A188" s="1243"/>
      <c r="B188" s="1949"/>
      <c r="C188" s="1949"/>
      <c r="D188" s="572"/>
      <c r="J188" s="7715"/>
      <c r="K188" s="7715"/>
      <c r="L188" s="7715"/>
      <c r="M188" s="7715"/>
      <c r="N188" s="7715"/>
      <c r="O188" s="7715"/>
      <c r="P188" s="7715"/>
      <c r="Q188" s="7715"/>
      <c r="R188" s="7715"/>
      <c r="S188" s="7715"/>
      <c r="T188" s="7715"/>
      <c r="U188" s="7715"/>
      <c r="V188" s="7715"/>
      <c r="W188" s="7715"/>
      <c r="X188" s="7715"/>
      <c r="Y188" s="7715"/>
      <c r="Z188" s="7715"/>
      <c r="AA188" s="7715"/>
      <c r="AB188" s="7715"/>
      <c r="AC188" s="7715"/>
      <c r="AD188" s="7715"/>
      <c r="AE188" s="7715"/>
      <c r="AF188" s="7715"/>
      <c r="AG188" s="7715"/>
      <c r="AH188" s="7715"/>
      <c r="AI188" s="7715"/>
      <c r="AJ188" s="7715"/>
      <c r="AK188" s="7715"/>
      <c r="AL188" s="1421"/>
      <c r="AM188" s="1949"/>
      <c r="AN188" s="1949"/>
      <c r="AO188" s="1421"/>
      <c r="AP188" s="1421"/>
      <c r="AQ188" s="1421"/>
      <c r="AR188" s="1421"/>
      <c r="AS188" s="1949"/>
      <c r="AT188" s="1421"/>
      <c r="AU188" s="1421"/>
      <c r="AV188" s="781"/>
      <c r="AW188" s="1421"/>
      <c r="AX188" s="1421"/>
      <c r="AY188" s="1421"/>
      <c r="AZ188" s="1421"/>
      <c r="BA188" s="1421"/>
      <c r="BB188" s="1945"/>
      <c r="BC188" s="803"/>
      <c r="BD188" s="803"/>
      <c r="BE188" s="803"/>
      <c r="BF188" s="803"/>
    </row>
    <row s="10822" customFormat="1" customHeight="1" ht="11.25">
      <c r="A189" s="1243"/>
      <c r="B189" s="1949"/>
      <c r="C189" s="1949"/>
      <c r="D189" s="572"/>
      <c r="J189" s="7715"/>
      <c r="K189" s="7715"/>
      <c r="L189" s="7715"/>
      <c r="M189" s="7715"/>
      <c r="N189" s="7715"/>
      <c r="O189" s="7715"/>
      <c r="P189" s="7715"/>
      <c r="Q189" s="7715"/>
      <c r="R189" s="7715"/>
      <c r="S189" s="7715"/>
      <c r="T189" s="7715"/>
      <c r="U189" s="7715"/>
      <c r="V189" s="7715"/>
      <c r="W189" s="7715"/>
      <c r="X189" s="7715"/>
      <c r="Y189" s="7715"/>
      <c r="Z189" s="7715"/>
      <c r="AA189" s="7715"/>
      <c r="AB189" s="7715"/>
      <c r="AC189" s="7715"/>
      <c r="AD189" s="7715"/>
      <c r="AE189" s="7715"/>
      <c r="AF189" s="7715"/>
      <c r="AG189" s="7715"/>
      <c r="AH189" s="7715"/>
      <c r="AI189" s="7715"/>
      <c r="AJ189" s="7715"/>
      <c r="AK189" s="7715"/>
      <c r="AL189" s="1421"/>
      <c r="AM189" s="1949"/>
      <c r="AN189" s="1949"/>
      <c r="AO189" s="1421"/>
      <c r="AP189" s="1421"/>
      <c r="AQ189" s="1421"/>
      <c r="AR189" s="1421"/>
      <c r="AS189" s="1949"/>
      <c r="AT189" s="1421"/>
      <c r="AU189" s="1421"/>
      <c r="AV189" s="781"/>
      <c r="AW189" s="1421"/>
      <c r="AX189" s="1421"/>
      <c r="AY189" s="1421"/>
      <c r="AZ189" s="1421"/>
      <c r="BA189" s="1421"/>
      <c r="BB189" s="1945"/>
      <c r="BC189" s="803"/>
      <c r="BD189" s="803"/>
      <c r="BE189" s="803"/>
      <c r="BF189" s="803"/>
    </row>
    <row s="10822" customFormat="1" customHeight="1" ht="11.25">
      <c r="A190" s="1243"/>
      <c r="B190" s="1949"/>
      <c r="C190" s="1949"/>
      <c r="D190" s="572"/>
      <c r="J190" s="7715"/>
      <c r="K190" s="7715"/>
      <c r="L190" s="7715"/>
      <c r="M190" s="7715"/>
      <c r="N190" s="7715"/>
      <c r="O190" s="7715"/>
      <c r="P190" s="7715"/>
      <c r="Q190" s="7715"/>
      <c r="R190" s="7715"/>
      <c r="S190" s="7715"/>
      <c r="T190" s="7715"/>
      <c r="U190" s="7715"/>
      <c r="V190" s="7715"/>
      <c r="W190" s="7715"/>
      <c r="X190" s="7715"/>
      <c r="Y190" s="7715"/>
      <c r="Z190" s="7715"/>
      <c r="AA190" s="7715"/>
      <c r="AB190" s="7715"/>
      <c r="AC190" s="7715"/>
      <c r="AD190" s="7715"/>
      <c r="AE190" s="7715"/>
      <c r="AF190" s="7715"/>
      <c r="AG190" s="7715"/>
      <c r="AH190" s="7715"/>
      <c r="AI190" s="7715"/>
      <c r="AJ190" s="7715"/>
      <c r="AK190" s="7715"/>
      <c r="AL190" s="1421"/>
      <c r="AM190" s="1949"/>
      <c r="AN190" s="1949"/>
      <c r="AO190" s="1421"/>
      <c r="AP190" s="1421"/>
      <c r="AQ190" s="1421"/>
      <c r="AR190" s="1421"/>
      <c r="AS190" s="1949"/>
      <c r="AT190" s="1421"/>
      <c r="AU190" s="1421"/>
      <c r="AV190" s="781"/>
      <c r="AW190" s="1421"/>
      <c r="AX190" s="1421"/>
      <c r="AY190" s="1421"/>
      <c r="AZ190" s="1421"/>
      <c r="BA190" s="1421"/>
      <c r="BB190" s="1945"/>
      <c r="BC190" s="803"/>
      <c r="BD190" s="803"/>
      <c r="BE190" s="803"/>
      <c r="BF190" s="803"/>
    </row>
    <row s="10822" customFormat="1" customHeight="1" ht="11.25">
      <c r="A191" s="1243"/>
      <c r="B191" s="1949"/>
      <c r="C191" s="1949"/>
      <c r="D191" s="572"/>
      <c r="J191" s="7715"/>
      <c r="K191" s="7715"/>
      <c r="L191" s="7715"/>
      <c r="M191" s="7715"/>
      <c r="N191" s="7715"/>
      <c r="O191" s="7715"/>
      <c r="P191" s="7715"/>
      <c r="Q191" s="7715"/>
      <c r="R191" s="7715"/>
      <c r="S191" s="7715"/>
      <c r="T191" s="7715"/>
      <c r="U191" s="7715"/>
      <c r="V191" s="7715"/>
      <c r="W191" s="7715"/>
      <c r="X191" s="7715"/>
      <c r="Y191" s="7715"/>
      <c r="Z191" s="7715"/>
      <c r="AA191" s="7715"/>
      <c r="AB191" s="7715"/>
      <c r="AC191" s="7715"/>
      <c r="AD191" s="7715"/>
      <c r="AE191" s="7715"/>
      <c r="AF191" s="7715"/>
      <c r="AG191" s="7715"/>
      <c r="AH191" s="7715"/>
      <c r="AI191" s="7715"/>
      <c r="AJ191" s="7715"/>
      <c r="AK191" s="7715"/>
      <c r="AL191" s="1421"/>
      <c r="AM191" s="1949"/>
      <c r="AN191" s="1949"/>
      <c r="AO191" s="1421"/>
      <c r="AP191" s="1421"/>
      <c r="AQ191" s="1421"/>
      <c r="AR191" s="1421"/>
      <c r="AS191" s="1949"/>
      <c r="AT191" s="1421"/>
      <c r="AU191" s="1421"/>
      <c r="AV191" s="781"/>
      <c r="AW191" s="1421"/>
      <c r="AX191" s="1421"/>
      <c r="AY191" s="1421"/>
      <c r="AZ191" s="1421"/>
      <c r="BA191" s="1421"/>
      <c r="BB191" s="1945"/>
      <c r="BC191" s="803"/>
      <c r="BD191" s="803"/>
      <c r="BE191" s="803"/>
      <c r="BF191" s="803"/>
    </row>
    <row s="10822" customFormat="1" customHeight="1" ht="11.25">
      <c r="A192" s="1243"/>
      <c r="B192" s="1949"/>
      <c r="C192" s="1949"/>
      <c r="D192" s="572"/>
      <c r="J192" s="7715"/>
      <c r="K192" s="7715"/>
      <c r="L192" s="7715"/>
      <c r="M192" s="7715"/>
      <c r="N192" s="7715"/>
      <c r="O192" s="7715"/>
      <c r="P192" s="7715"/>
      <c r="Q192" s="7715"/>
      <c r="R192" s="7715"/>
      <c r="S192" s="7715"/>
      <c r="T192" s="7715"/>
      <c r="U192" s="7715"/>
      <c r="V192" s="7715"/>
      <c r="W192" s="7715"/>
      <c r="X192" s="7715"/>
      <c r="Y192" s="7715"/>
      <c r="Z192" s="7715"/>
      <c r="AA192" s="7715"/>
      <c r="AB192" s="7715"/>
      <c r="AC192" s="7715"/>
      <c r="AD192" s="7715"/>
      <c r="AE192" s="7715"/>
      <c r="AF192" s="7715"/>
      <c r="AG192" s="7715"/>
      <c r="AH192" s="7715"/>
      <c r="AI192" s="7715"/>
      <c r="AJ192" s="7715"/>
      <c r="AK192" s="7715"/>
      <c r="AL192" s="1421"/>
      <c r="AM192" s="1949"/>
      <c r="AN192" s="1949"/>
      <c r="AO192" s="1421"/>
      <c r="AP192" s="1421"/>
      <c r="AQ192" s="1421"/>
      <c r="AR192" s="1421"/>
      <c r="AS192" s="1949"/>
      <c r="AT192" s="1421"/>
      <c r="AU192" s="1421"/>
      <c r="AV192" s="781"/>
      <c r="AW192" s="1421"/>
      <c r="AX192" s="1421"/>
      <c r="AY192" s="1421"/>
      <c r="AZ192" s="1421"/>
      <c r="BA192" s="1421"/>
      <c r="BB192" s="1945"/>
      <c r="BC192" s="803"/>
      <c r="BD192" s="803"/>
      <c r="BE192" s="803"/>
      <c r="BF192" s="803"/>
    </row>
    <row s="10822" customFormat="1" customHeight="1" ht="11.25">
      <c r="A193" s="1243"/>
      <c r="B193" s="1949"/>
      <c r="C193" s="1949"/>
      <c r="D193" s="572"/>
      <c r="J193" s="7715"/>
      <c r="K193" s="7715"/>
      <c r="L193" s="7715"/>
      <c r="M193" s="7715"/>
      <c r="N193" s="7715"/>
      <c r="O193" s="7715"/>
      <c r="P193" s="7715"/>
      <c r="Q193" s="7715"/>
      <c r="R193" s="7715"/>
      <c r="S193" s="7715"/>
      <c r="T193" s="7715"/>
      <c r="U193" s="7715"/>
      <c r="V193" s="7715"/>
      <c r="W193" s="7715"/>
      <c r="X193" s="7715"/>
      <c r="Y193" s="7715"/>
      <c r="Z193" s="7715"/>
      <c r="AA193" s="7715"/>
      <c r="AB193" s="7715"/>
      <c r="AC193" s="7715"/>
      <c r="AD193" s="7715"/>
      <c r="AE193" s="7715"/>
      <c r="AF193" s="7715"/>
      <c r="AG193" s="7715"/>
      <c r="AH193" s="7715"/>
      <c r="AI193" s="7715"/>
      <c r="AJ193" s="7715"/>
      <c r="AK193" s="7715"/>
      <c r="AL193" s="1421"/>
      <c r="AM193" s="1949"/>
      <c r="AN193" s="1949"/>
      <c r="AO193" s="1421"/>
      <c r="AP193" s="1421"/>
      <c r="AQ193" s="1421"/>
      <c r="AR193" s="1421"/>
      <c r="AS193" s="1949"/>
      <c r="AT193" s="1421"/>
      <c r="AU193" s="1421"/>
      <c r="AV193" s="781"/>
      <c r="AW193" s="1421"/>
      <c r="AX193" s="1421"/>
      <c r="AY193" s="1421"/>
      <c r="AZ193" s="1421"/>
      <c r="BA193" s="1421"/>
      <c r="BB193" s="1945"/>
      <c r="BC193" s="803"/>
      <c r="BD193" s="803"/>
      <c r="BE193" s="803"/>
      <c r="BF193" s="803"/>
    </row>
    <row s="10822" customFormat="1" customHeight="1" ht="11.25">
      <c r="A194" s="1243"/>
      <c r="B194" s="1949"/>
      <c r="C194" s="1949"/>
      <c r="D194" s="572"/>
      <c r="J194" s="7715"/>
      <c r="K194" s="7715"/>
      <c r="L194" s="7715"/>
      <c r="M194" s="7715"/>
      <c r="N194" s="7715"/>
      <c r="O194" s="7715"/>
      <c r="P194" s="7715"/>
      <c r="Q194" s="7715"/>
      <c r="R194" s="7715"/>
      <c r="S194" s="7715"/>
      <c r="T194" s="7715"/>
      <c r="U194" s="7715"/>
      <c r="V194" s="7715"/>
      <c r="W194" s="7715"/>
      <c r="X194" s="7715"/>
      <c r="Y194" s="7715"/>
      <c r="Z194" s="7715"/>
      <c r="AA194" s="7715"/>
      <c r="AB194" s="7715"/>
      <c r="AC194" s="7715"/>
      <c r="AD194" s="7715"/>
      <c r="AE194" s="7715"/>
      <c r="AF194" s="7715"/>
      <c r="AG194" s="7715"/>
      <c r="AH194" s="7715"/>
      <c r="AI194" s="7715"/>
      <c r="AJ194" s="7715"/>
      <c r="AK194" s="7715"/>
      <c r="AL194" s="1421"/>
      <c r="AM194" s="1949"/>
      <c r="AN194" s="1949"/>
      <c r="AO194" s="1421"/>
      <c r="AP194" s="1421"/>
      <c r="AQ194" s="1421"/>
      <c r="AR194" s="1421"/>
      <c r="AS194" s="1949"/>
      <c r="AT194" s="1421"/>
      <c r="AU194" s="1421"/>
      <c r="AV194" s="781"/>
      <c r="AW194" s="1421"/>
      <c r="AX194" s="1421"/>
      <c r="AY194" s="1421"/>
      <c r="AZ194" s="1421"/>
      <c r="BA194" s="1421"/>
      <c r="BB194" s="1945"/>
      <c r="BC194" s="803"/>
      <c r="BD194" s="803"/>
      <c r="BE194" s="803"/>
      <c r="BF194" s="803"/>
    </row>
    <row s="10822" customFormat="1" customHeight="1" ht="11.25">
      <c r="A195" s="1243"/>
      <c r="B195" s="1949"/>
      <c r="C195" s="1949"/>
      <c r="D195" s="572"/>
      <c r="J195" s="7715"/>
      <c r="K195" s="7715"/>
      <c r="L195" s="7715"/>
      <c r="M195" s="7715"/>
      <c r="N195" s="7715"/>
      <c r="O195" s="7715"/>
      <c r="P195" s="7715"/>
      <c r="Q195" s="7715"/>
      <c r="R195" s="7715"/>
      <c r="S195" s="7715"/>
      <c r="T195" s="7715"/>
      <c r="U195" s="7715"/>
      <c r="V195" s="7715"/>
      <c r="W195" s="7715"/>
      <c r="X195" s="7715"/>
      <c r="Y195" s="7715"/>
      <c r="Z195" s="7715"/>
      <c r="AA195" s="7715"/>
      <c r="AB195" s="7715"/>
      <c r="AC195" s="7715"/>
      <c r="AD195" s="7715"/>
      <c r="AE195" s="7715"/>
      <c r="AF195" s="7715"/>
      <c r="AG195" s="7715"/>
      <c r="AH195" s="7715"/>
      <c r="AI195" s="7715"/>
      <c r="AJ195" s="7715"/>
      <c r="AK195" s="7715"/>
      <c r="AL195" s="1421"/>
      <c r="AM195" s="1949"/>
      <c r="AN195" s="1949"/>
      <c r="AO195" s="1421"/>
      <c r="AP195" s="1421"/>
      <c r="AQ195" s="1421"/>
      <c r="AR195" s="1421"/>
      <c r="AS195" s="1949"/>
      <c r="AT195" s="1421"/>
      <c r="AU195" s="1421"/>
      <c r="AV195" s="781"/>
      <c r="AW195" s="1421"/>
      <c r="AX195" s="1421"/>
      <c r="AY195" s="1421"/>
      <c r="AZ195" s="1421"/>
      <c r="BA195" s="1421"/>
      <c r="BB195" s="1945"/>
      <c r="BC195" s="803"/>
      <c r="BD195" s="803"/>
      <c r="BE195" s="803"/>
      <c r="BF195" s="803"/>
    </row>
    <row customHeight="1" ht="11.25">
      <c r="J196" s="6985"/>
      <c r="K196" s="6985"/>
      <c r="L196" s="6985"/>
      <c r="M196" s="6985"/>
      <c r="N196" s="6985"/>
      <c r="O196" s="6985"/>
      <c r="P196" s="6985"/>
      <c r="Q196" s="6985"/>
      <c r="R196" s="6985"/>
      <c r="S196" s="6985"/>
      <c r="T196" s="6985"/>
      <c r="U196" s="6985"/>
      <c r="V196" s="6985"/>
      <c r="W196" s="6985"/>
      <c r="X196" s="6985"/>
      <c r="Y196" s="6985"/>
      <c r="Z196" s="6985"/>
      <c r="AA196" s="6985"/>
      <c r="AB196" s="6985"/>
      <c r="AC196" s="6985"/>
      <c r="AD196" s="6985"/>
      <c r="AE196" s="6985"/>
      <c r="AF196" s="6985"/>
      <c r="AG196" s="6985"/>
      <c r="AH196" s="6985"/>
      <c r="AI196" s="6985"/>
      <c r="AJ196" s="6985"/>
      <c r="AK196" s="6985"/>
    </row>
    <row customHeight="1" ht="11.25">
      <c r="J197" s="6985"/>
      <c r="K197" s="6985"/>
      <c r="L197" s="6985"/>
      <c r="M197" s="6985"/>
      <c r="N197" s="6985"/>
      <c r="O197" s="6985"/>
      <c r="P197" s="6985"/>
      <c r="Q197" s="6985"/>
      <c r="R197" s="6985"/>
      <c r="S197" s="6985"/>
      <c r="T197" s="6985"/>
      <c r="U197" s="6985"/>
      <c r="V197" s="6985"/>
      <c r="W197" s="6985"/>
      <c r="X197" s="6985"/>
      <c r="Y197" s="6985"/>
      <c r="Z197" s="6985"/>
      <c r="AA197" s="6985"/>
      <c r="AB197" s="6985"/>
      <c r="AC197" s="6985"/>
      <c r="AD197" s="6985"/>
      <c r="AE197" s="6985"/>
      <c r="AF197" s="6985"/>
      <c r="AG197" s="6985"/>
      <c r="AH197" s="6985"/>
      <c r="AI197" s="6985"/>
      <c r="AJ197" s="6985"/>
      <c r="AK197" s="6985"/>
    </row>
    <row customHeight="1" ht="11.25">
      <c r="J198" s="6985"/>
      <c r="K198" s="6985"/>
      <c r="L198" s="6985"/>
      <c r="M198" s="6985"/>
      <c r="N198" s="6985"/>
      <c r="O198" s="6985"/>
      <c r="P198" s="6985"/>
      <c r="Q198" s="6985"/>
      <c r="R198" s="6985"/>
      <c r="S198" s="6985"/>
      <c r="T198" s="6985"/>
      <c r="U198" s="6985"/>
      <c r="V198" s="6985"/>
      <c r="W198" s="6985"/>
      <c r="X198" s="6985"/>
      <c r="Y198" s="6985"/>
      <c r="Z198" s="6985"/>
      <c r="AA198" s="6985"/>
      <c r="AB198" s="6985"/>
      <c r="AC198" s="6985"/>
      <c r="AD198" s="6985"/>
      <c r="AE198" s="6985"/>
      <c r="AF198" s="6985"/>
      <c r="AG198" s="6985"/>
      <c r="AH198" s="6985"/>
      <c r="AI198" s="6985"/>
      <c r="AJ198" s="6985"/>
      <c r="AK198" s="6985"/>
    </row>
    <row customHeight="1" ht="11.25">
      <c r="A199" s="1246"/>
      <c r="B199" s="1944"/>
      <c r="D199" s="1944"/>
      <c r="J199" s="6985"/>
      <c r="K199" s="6985"/>
      <c r="L199" s="6985"/>
      <c r="M199" s="6985"/>
      <c r="N199" s="6985"/>
      <c r="O199" s="6985"/>
      <c r="P199" s="6985"/>
      <c r="Q199" s="6985"/>
      <c r="R199" s="6985"/>
      <c r="S199" s="6985"/>
      <c r="T199" s="6985"/>
      <c r="U199" s="6985"/>
      <c r="V199" s="6985"/>
      <c r="W199" s="6985"/>
      <c r="X199" s="6985"/>
      <c r="Y199" s="6985"/>
      <c r="Z199" s="6985"/>
      <c r="AA199" s="6985"/>
      <c r="AB199" s="6985"/>
      <c r="AC199" s="6985"/>
      <c r="AD199" s="6985"/>
      <c r="AE199" s="6985"/>
      <c r="AF199" s="6985"/>
      <c r="AG199" s="6985"/>
      <c r="AH199" s="6985"/>
      <c r="AI199" s="6985"/>
      <c r="AJ199" s="6985"/>
      <c r="AK199" s="6985"/>
      <c r="AL199" s="1944"/>
      <c r="AO199" s="1944"/>
      <c r="AP199" s="1944"/>
      <c r="AQ199" s="1944"/>
      <c r="AR199" s="1944"/>
      <c r="AT199" s="1944"/>
      <c r="AU199" s="1944"/>
      <c r="AV199" s="1944"/>
      <c r="AW199" s="1944"/>
      <c r="AX199" s="1944"/>
      <c r="AY199" s="1944"/>
      <c r="AZ199" s="1944"/>
      <c r="BA199" s="1944"/>
      <c r="BB199" s="1944"/>
      <c r="BC199" s="1944"/>
      <c r="BD199" s="1944"/>
      <c r="BE199" s="1944"/>
      <c r="BF199" s="1944"/>
    </row>
    <row customHeight="1" ht="11.25">
      <c r="A200" s="1246"/>
      <c r="B200" s="1944"/>
      <c r="D200" s="1944"/>
      <c r="J200" s="6985"/>
      <c r="K200" s="6985"/>
      <c r="L200" s="6985"/>
      <c r="M200" s="6985"/>
      <c r="N200" s="6985"/>
      <c r="O200" s="6985"/>
      <c r="P200" s="6985"/>
      <c r="Q200" s="6985"/>
      <c r="R200" s="6985"/>
      <c r="S200" s="6985"/>
      <c r="T200" s="6985"/>
      <c r="U200" s="6985"/>
      <c r="V200" s="6985"/>
      <c r="W200" s="6985"/>
      <c r="X200" s="6985"/>
      <c r="Y200" s="6985"/>
      <c r="Z200" s="6985"/>
      <c r="AA200" s="6985"/>
      <c r="AB200" s="6985"/>
      <c r="AC200" s="6985"/>
      <c r="AD200" s="6985"/>
      <c r="AE200" s="6985"/>
      <c r="AF200" s="6985"/>
      <c r="AG200" s="6985"/>
      <c r="AH200" s="6985"/>
      <c r="AI200" s="6985"/>
      <c r="AJ200" s="6985"/>
      <c r="AK200" s="6985"/>
      <c r="AL200" s="1944"/>
      <c r="AO200" s="1944"/>
      <c r="AP200" s="1944"/>
      <c r="AQ200" s="1944"/>
      <c r="AR200" s="1944"/>
      <c r="AT200" s="1944"/>
      <c r="AU200" s="1944"/>
      <c r="AV200" s="1944"/>
      <c r="AW200" s="1944"/>
      <c r="AX200" s="1944"/>
      <c r="AY200" s="1944"/>
      <c r="AZ200" s="1944"/>
      <c r="BA200" s="1944"/>
      <c r="BB200" s="1944"/>
      <c r="BC200" s="1944"/>
      <c r="BD200" s="1944"/>
      <c r="BE200" s="1944"/>
      <c r="BF200" s="1944"/>
    </row>
    <row customHeight="1" ht="11.25">
      <c r="A201" s="1246"/>
      <c r="B201" s="1944"/>
      <c r="D201" s="1944"/>
      <c r="J201" s="6985"/>
      <c r="K201" s="6985"/>
      <c r="L201" s="6985"/>
      <c r="M201" s="6985"/>
      <c r="N201" s="6985"/>
      <c r="O201" s="6985"/>
      <c r="P201" s="6985"/>
      <c r="Q201" s="6985"/>
      <c r="R201" s="6985"/>
      <c r="S201" s="6985"/>
      <c r="T201" s="6985"/>
      <c r="U201" s="6985"/>
      <c r="V201" s="6985"/>
      <c r="W201" s="6985"/>
      <c r="X201" s="6985"/>
      <c r="Y201" s="6985"/>
      <c r="Z201" s="6985"/>
      <c r="AA201" s="6985"/>
      <c r="AB201" s="6985"/>
      <c r="AC201" s="6985"/>
      <c r="AD201" s="6985"/>
      <c r="AE201" s="6985"/>
      <c r="AF201" s="6985"/>
      <c r="AG201" s="6985"/>
      <c r="AH201" s="6985"/>
      <c r="AI201" s="6985"/>
      <c r="AJ201" s="6985"/>
      <c r="AK201" s="6985"/>
      <c r="AL201" s="1944"/>
      <c r="AO201" s="1944"/>
      <c r="AP201" s="1944"/>
      <c r="AQ201" s="1944"/>
      <c r="AR201" s="1944"/>
      <c r="AT201" s="1944"/>
      <c r="AU201" s="1944"/>
      <c r="AV201" s="1944"/>
      <c r="AW201" s="1944"/>
      <c r="AX201" s="1944"/>
      <c r="AY201" s="1944"/>
      <c r="AZ201" s="1944"/>
      <c r="BA201" s="1944"/>
      <c r="BB201" s="1944"/>
      <c r="BC201" s="1944"/>
      <c r="BD201" s="1944"/>
      <c r="BE201" s="1944"/>
      <c r="BF201" s="1944"/>
    </row>
    <row customHeight="1" ht="11.25">
      <c r="A202" s="1246"/>
      <c r="B202" s="1944"/>
      <c r="D202" s="1944"/>
      <c r="J202" s="6985"/>
      <c r="K202" s="6985"/>
      <c r="L202" s="6985"/>
      <c r="M202" s="6985"/>
      <c r="N202" s="6985"/>
      <c r="O202" s="6985"/>
      <c r="P202" s="6985"/>
      <c r="Q202" s="6985"/>
      <c r="R202" s="6985"/>
      <c r="S202" s="6985"/>
      <c r="T202" s="6985"/>
      <c r="U202" s="6985"/>
      <c r="V202" s="6985"/>
      <c r="W202" s="6985"/>
      <c r="X202" s="6985"/>
      <c r="Y202" s="6985"/>
      <c r="Z202" s="6985"/>
      <c r="AA202" s="6985"/>
      <c r="AB202" s="6985"/>
      <c r="AC202" s="6985"/>
      <c r="AD202" s="6985"/>
      <c r="AE202" s="6985"/>
      <c r="AF202" s="6985"/>
      <c r="AG202" s="6985"/>
      <c r="AH202" s="6985"/>
      <c r="AI202" s="6985"/>
      <c r="AJ202" s="6985"/>
      <c r="AK202" s="6985"/>
      <c r="AL202" s="1944"/>
      <c r="AO202" s="1944"/>
      <c r="AP202" s="1944"/>
      <c r="AQ202" s="1944"/>
      <c r="AR202" s="1944"/>
      <c r="AT202" s="1944"/>
      <c r="AU202" s="1944"/>
      <c r="AV202" s="1944"/>
      <c r="AW202" s="1944"/>
      <c r="AX202" s="1944"/>
      <c r="AY202" s="1944"/>
      <c r="AZ202" s="1944"/>
      <c r="BA202" s="1944"/>
      <c r="BB202" s="1944"/>
      <c r="BC202" s="1944"/>
      <c r="BD202" s="1944"/>
      <c r="BE202" s="1944"/>
      <c r="BF202" s="1944"/>
    </row>
    <row customHeight="1" ht="11.25">
      <c r="A203" s="1246"/>
      <c r="B203" s="1944"/>
      <c r="D203" s="1944"/>
      <c r="J203" s="6985"/>
      <c r="K203" s="6985"/>
      <c r="L203" s="6985"/>
      <c r="M203" s="6985"/>
      <c r="N203" s="6985"/>
      <c r="O203" s="6985"/>
      <c r="P203" s="6985"/>
      <c r="Q203" s="6985"/>
      <c r="R203" s="6985"/>
      <c r="S203" s="6985"/>
      <c r="T203" s="6985"/>
      <c r="U203" s="6985"/>
      <c r="V203" s="6985"/>
      <c r="W203" s="6985"/>
      <c r="X203" s="6985"/>
      <c r="Y203" s="6985"/>
      <c r="Z203" s="6985"/>
      <c r="AA203" s="6985"/>
      <c r="AB203" s="6985"/>
      <c r="AC203" s="6985"/>
      <c r="AD203" s="6985"/>
      <c r="AE203" s="6985"/>
      <c r="AF203" s="6985"/>
      <c r="AG203" s="6985"/>
      <c r="AH203" s="6985"/>
      <c r="AI203" s="6985"/>
      <c r="AJ203" s="6985"/>
      <c r="AK203" s="6985"/>
      <c r="AL203" s="1944"/>
      <c r="AO203" s="1944"/>
      <c r="AP203" s="1944"/>
      <c r="AQ203" s="1944"/>
      <c r="AR203" s="1944"/>
      <c r="AT203" s="1944"/>
      <c r="AU203" s="1944"/>
      <c r="AV203" s="1944"/>
      <c r="AW203" s="1944"/>
      <c r="AX203" s="1944"/>
      <c r="AY203" s="1944"/>
      <c r="AZ203" s="1944"/>
      <c r="BA203" s="1944"/>
      <c r="BB203" s="1944"/>
      <c r="BC203" s="1944"/>
      <c r="BD203" s="1944"/>
      <c r="BE203" s="1944"/>
      <c r="BF203" s="1944"/>
    </row>
    <row customHeight="1" ht="11.25">
      <c r="A204" s="1246"/>
      <c r="B204" s="1944"/>
      <c r="D204" s="1944"/>
      <c r="J204" s="6985"/>
      <c r="K204" s="6985"/>
      <c r="L204" s="6985"/>
      <c r="M204" s="6985"/>
      <c r="N204" s="6985"/>
      <c r="O204" s="6985"/>
      <c r="P204" s="6985"/>
      <c r="Q204" s="6985"/>
      <c r="R204" s="6985"/>
      <c r="S204" s="6985"/>
      <c r="T204" s="6985"/>
      <c r="U204" s="6985"/>
      <c r="V204" s="6985"/>
      <c r="W204" s="6985"/>
      <c r="X204" s="6985"/>
      <c r="Y204" s="6985"/>
      <c r="Z204" s="6985"/>
      <c r="AA204" s="6985"/>
      <c r="AB204" s="6985"/>
      <c r="AC204" s="6985"/>
      <c r="AD204" s="6985"/>
      <c r="AE204" s="6985"/>
      <c r="AF204" s="6985"/>
      <c r="AG204" s="6985"/>
      <c r="AH204" s="6985"/>
      <c r="AI204" s="6985"/>
      <c r="AJ204" s="6985"/>
      <c r="AK204" s="6985"/>
      <c r="AL204" s="1944"/>
      <c r="AO204" s="1944"/>
      <c r="AP204" s="1944"/>
      <c r="AQ204" s="1944"/>
      <c r="AR204" s="1944"/>
      <c r="AT204" s="1944"/>
      <c r="AU204" s="1944"/>
      <c r="AV204" s="1944"/>
      <c r="AW204" s="1944"/>
      <c r="AX204" s="1944"/>
      <c r="AY204" s="1944"/>
      <c r="AZ204" s="1944"/>
      <c r="BA204" s="1944"/>
      <c r="BB204" s="1944"/>
      <c r="BC204" s="1944"/>
      <c r="BD204" s="1944"/>
      <c r="BE204" s="1944"/>
      <c r="BF204" s="1944"/>
    </row>
    <row customHeight="1" ht="11.25">
      <c r="A205" s="1246"/>
      <c r="B205" s="1944"/>
      <c r="D205" s="1944"/>
      <c r="J205" s="6985"/>
      <c r="K205" s="6985"/>
      <c r="L205" s="6985"/>
      <c r="M205" s="6985"/>
      <c r="N205" s="6985"/>
      <c r="O205" s="6985"/>
      <c r="P205" s="6985"/>
      <c r="Q205" s="6985"/>
      <c r="R205" s="6985"/>
      <c r="S205" s="6985"/>
      <c r="T205" s="6985"/>
      <c r="U205" s="6985"/>
      <c r="V205" s="6985"/>
      <c r="W205" s="6985"/>
      <c r="X205" s="6985"/>
      <c r="Y205" s="6985"/>
      <c r="Z205" s="6985"/>
      <c r="AA205" s="6985"/>
      <c r="AB205" s="6985"/>
      <c r="AC205" s="6985"/>
      <c r="AD205" s="6985"/>
      <c r="AE205" s="6985"/>
      <c r="AF205" s="6985"/>
      <c r="AG205" s="6985"/>
      <c r="AH205" s="6985"/>
      <c r="AI205" s="6985"/>
      <c r="AJ205" s="6985"/>
      <c r="AK205" s="6985"/>
      <c r="AL205" s="1944"/>
      <c r="AO205" s="1944"/>
      <c r="AP205" s="1944"/>
      <c r="AQ205" s="1944"/>
      <c r="AR205" s="1944"/>
      <c r="AT205" s="1944"/>
      <c r="AU205" s="1944"/>
      <c r="AV205" s="1944"/>
      <c r="AW205" s="1944"/>
      <c r="AX205" s="1944"/>
      <c r="AY205" s="1944"/>
      <c r="AZ205" s="1944"/>
      <c r="BA205" s="1944"/>
      <c r="BB205" s="1944"/>
      <c r="BC205" s="1944"/>
      <c r="BD205" s="1944"/>
      <c r="BE205" s="1944"/>
      <c r="BF205" s="1944"/>
    </row>
    <row customHeight="1" ht="11.25">
      <c r="A206" s="1246"/>
      <c r="B206" s="1944"/>
      <c r="D206" s="1944"/>
      <c r="J206" s="6985"/>
      <c r="K206" s="6985"/>
      <c r="L206" s="6985"/>
      <c r="M206" s="6985"/>
      <c r="N206" s="6985"/>
      <c r="O206" s="6985"/>
      <c r="P206" s="6985"/>
      <c r="Q206" s="6985"/>
      <c r="R206" s="6985"/>
      <c r="S206" s="6985"/>
      <c r="T206" s="6985"/>
      <c r="U206" s="6985"/>
      <c r="V206" s="6985"/>
      <c r="W206" s="6985"/>
      <c r="X206" s="6985"/>
      <c r="Y206" s="6985"/>
      <c r="Z206" s="6985"/>
      <c r="AA206" s="6985"/>
      <c r="AB206" s="6985"/>
      <c r="AC206" s="6985"/>
      <c r="AD206" s="6985"/>
      <c r="AE206" s="6985"/>
      <c r="AF206" s="6985"/>
      <c r="AG206" s="6985"/>
      <c r="AH206" s="6985"/>
      <c r="AI206" s="6985"/>
      <c r="AJ206" s="6985"/>
      <c r="AK206" s="6985"/>
      <c r="AL206" s="1944"/>
      <c r="AO206" s="1944"/>
      <c r="AP206" s="1944"/>
      <c r="AQ206" s="1944"/>
      <c r="AR206" s="1944"/>
      <c r="AT206" s="1944"/>
      <c r="AU206" s="1944"/>
      <c r="AV206" s="1944"/>
      <c r="AW206" s="1944"/>
      <c r="AX206" s="1944"/>
      <c r="AY206" s="1944"/>
      <c r="AZ206" s="1944"/>
      <c r="BA206" s="1944"/>
      <c r="BB206" s="1944"/>
      <c r="BC206" s="1944"/>
      <c r="BD206" s="1944"/>
      <c r="BE206" s="1944"/>
      <c r="BF206" s="1944"/>
    </row>
    <row customHeight="1" ht="11.25">
      <c r="A207" s="1246"/>
      <c r="B207" s="1944"/>
      <c r="D207" s="1944"/>
      <c r="J207" s="6985"/>
      <c r="K207" s="6985"/>
      <c r="L207" s="6985"/>
      <c r="M207" s="6985"/>
      <c r="N207" s="6985"/>
      <c r="O207" s="6985"/>
      <c r="P207" s="6985"/>
      <c r="Q207" s="6985"/>
      <c r="R207" s="6985"/>
      <c r="S207" s="6985"/>
      <c r="T207" s="6985"/>
      <c r="U207" s="6985"/>
      <c r="V207" s="6985"/>
      <c r="W207" s="6985"/>
      <c r="X207" s="6985"/>
      <c r="Y207" s="6985"/>
      <c r="Z207" s="6985"/>
      <c r="AA207" s="6985"/>
      <c r="AB207" s="6985"/>
      <c r="AC207" s="6985"/>
      <c r="AD207" s="6985"/>
      <c r="AE207" s="6985"/>
      <c r="AF207" s="6985"/>
      <c r="AG207" s="6985"/>
      <c r="AH207" s="6985"/>
      <c r="AI207" s="6985"/>
      <c r="AJ207" s="6985"/>
      <c r="AK207" s="6985"/>
      <c r="AL207" s="1944"/>
      <c r="AO207" s="1944"/>
      <c r="AP207" s="1944"/>
      <c r="AQ207" s="1944"/>
      <c r="AR207" s="1944"/>
      <c r="AT207" s="1944"/>
      <c r="AU207" s="1944"/>
      <c r="AV207" s="1944"/>
      <c r="AW207" s="1944"/>
      <c r="AX207" s="1944"/>
      <c r="AY207" s="1944"/>
      <c r="AZ207" s="1944"/>
      <c r="BA207" s="1944"/>
      <c r="BB207" s="1944"/>
      <c r="BC207" s="1944"/>
      <c r="BD207" s="1944"/>
      <c r="BE207" s="1944"/>
      <c r="BF207" s="1944"/>
    </row>
    <row customHeight="1" ht="11.25">
      <c r="A208" s="1246"/>
      <c r="B208" s="1944"/>
      <c r="D208" s="1944"/>
      <c r="J208" s="6985"/>
      <c r="K208" s="6985"/>
      <c r="L208" s="6985"/>
      <c r="M208" s="6985"/>
      <c r="N208" s="6985"/>
      <c r="O208" s="6985"/>
      <c r="P208" s="6985"/>
      <c r="Q208" s="6985"/>
      <c r="R208" s="6985"/>
      <c r="S208" s="6985"/>
      <c r="T208" s="6985"/>
      <c r="U208" s="6985"/>
      <c r="V208" s="6985"/>
      <c r="W208" s="6985"/>
      <c r="X208" s="6985"/>
      <c r="Y208" s="6985"/>
      <c r="Z208" s="6985"/>
      <c r="AA208" s="6985"/>
      <c r="AB208" s="6985"/>
      <c r="AC208" s="6985"/>
      <c r="AD208" s="6985"/>
      <c r="AE208" s="6985"/>
      <c r="AF208" s="6985"/>
      <c r="AG208" s="6985"/>
      <c r="AH208" s="6985"/>
      <c r="AI208" s="6985"/>
      <c r="AJ208" s="6985"/>
      <c r="AK208" s="6985"/>
      <c r="AL208" s="1944"/>
      <c r="AO208" s="1944"/>
      <c r="AP208" s="1944"/>
      <c r="AQ208" s="1944"/>
      <c r="AR208" s="1944"/>
      <c r="AT208" s="1944"/>
      <c r="AU208" s="1944"/>
      <c r="AV208" s="1944"/>
      <c r="AW208" s="1944"/>
      <c r="AX208" s="1944"/>
      <c r="AY208" s="1944"/>
      <c r="AZ208" s="1944"/>
      <c r="BA208" s="1944"/>
      <c r="BB208" s="1944"/>
      <c r="BC208" s="1944"/>
      <c r="BD208" s="1944"/>
      <c r="BE208" s="1944"/>
      <c r="BF208" s="1944"/>
    </row>
    <row customHeight="1" ht="11.25">
      <c r="A209" s="1246"/>
      <c r="B209" s="1944"/>
      <c r="D209" s="1944"/>
      <c r="J209" s="6985"/>
      <c r="K209" s="6985"/>
      <c r="L209" s="6985"/>
      <c r="M209" s="6985"/>
      <c r="N209" s="6985"/>
      <c r="O209" s="6985"/>
      <c r="P209" s="6985"/>
      <c r="Q209" s="6985"/>
      <c r="R209" s="6985"/>
      <c r="S209" s="6985"/>
      <c r="T209" s="6985"/>
      <c r="U209" s="6985"/>
      <c r="V209" s="6985"/>
      <c r="W209" s="6985"/>
      <c r="X209" s="6985"/>
      <c r="Y209" s="6985"/>
      <c r="Z209" s="6985"/>
      <c r="AA209" s="6985"/>
      <c r="AB209" s="6985"/>
      <c r="AC209" s="6985"/>
      <c r="AD209" s="6985"/>
      <c r="AE209" s="6985"/>
      <c r="AF209" s="6985"/>
      <c r="AG209" s="6985"/>
      <c r="AH209" s="6985"/>
      <c r="AI209" s="6985"/>
      <c r="AJ209" s="6985"/>
      <c r="AK209" s="6985"/>
      <c r="AL209" s="1944"/>
      <c r="AO209" s="1944"/>
      <c r="AP209" s="1944"/>
      <c r="AQ209" s="1944"/>
      <c r="AR209" s="1944"/>
      <c r="AT209" s="1944"/>
      <c r="AU209" s="1944"/>
      <c r="AV209" s="1944"/>
      <c r="AW209" s="1944"/>
      <c r="AX209" s="1944"/>
      <c r="AY209" s="1944"/>
      <c r="AZ209" s="1944"/>
      <c r="BA209" s="1944"/>
      <c r="BB209" s="1944"/>
      <c r="BC209" s="1944"/>
      <c r="BD209" s="1944"/>
      <c r="BE209" s="1944"/>
      <c r="BF209" s="1944"/>
    </row>
  </sheetData>
  <sheetProtection formatColumns="0" formatRows="0" autoFilter="0" sort="0" insertRows="0" insertColumns="1" deleteRows="0" deleteColumns="0"/>
  <mergeCells count="8">
    <mergeCell ref="F39:AK39"/>
    <mergeCell ref="F40:AK40"/>
    <mergeCell ref="E6:I6"/>
    <mergeCell ref="E7:I7"/>
    <mergeCell ref="F10:G10"/>
    <mergeCell ref="F11:G11"/>
    <mergeCell ref="F12:G12"/>
    <mergeCell ref="E13:G13"/>
  </mergeCells>
  <dataValidations count="5">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28:AJ28 AK28">
      <formula1>900</formula1>
    </dataValidation>
    <dataValidation type="decimal" allowBlank="1" showErrorMessage="1" errorTitle="Ошибка" error="Допускается ввод только неотрицательных чисел!" sqref="H31:AJ31 H2:AJ2 H15:AJ15 H17:AJ27 H36:AJ37 AK2 AK15 AK17 AK18 AK19 AK20 AK21 AK22 AK23 AK24 AK25 AK26 AK27 AK31 AK36 AK37">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35:AJ35 AK35">
      <formula1>900</formula1>
    </dataValidation>
    <dataValidation type="decimal" allowBlank="1" showErrorMessage="1" errorTitle="Ошибка" error="Допускается ввод только действительных чисел!" sqref="H30:AJ30 AK30">
      <formula1>-9.99999999999999E+23</formula1>
      <formula2>9.99999999999999E+23</formula2>
    </dataValidation>
    <dataValidation type="decimal" allowBlank="1" showErrorMessage="1" errorTitle="Ошибка" error="Допускается ввод только действительных чисел!" sqref="H32:AJ34 AK32 AK33 AK34">
      <formula1>-9.99999999999999E+37</formula1>
      <formula2>9.99999999999999E+37</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AAAD819-1B0E-9BCD-3C5C-9ECCE3AD128D}" mc:Ignorable="x14ac xr xr2 xr3">
  <sheetPr>
    <tabColor theme="9" tint="-0.25"/>
  </sheetPr>
  <dimension ref="A1:BY101"/>
  <sheetViews>
    <sheetView topLeftCell="C2" showGridLines="0" zoomScale="90" workbookViewId="0">
      <selection activeCell="BK1" sqref="BK1:BL101"/>
    </sheetView>
  </sheetViews>
  <sheetFormatPr defaultColWidth="10.57421875" customHeight="1" defaultRowHeight="11.25"/>
  <cols>
    <col min="1" max="1" style="11154" width="9.140625" hidden="1" customWidth="1"/>
    <col min="2" max="2" style="10863" width="3.57421875" hidden="1" customWidth="1"/>
    <col min="3" max="3" style="11126" width="3.7109375" customWidth="1"/>
    <col min="4" max="4" style="11126" width="7.7109375" customWidth="1"/>
    <col min="5" max="5" style="11126" width="69.8515625" customWidth="1"/>
    <col min="6" max="6" style="11126" width="11.140625" customWidth="1"/>
    <col min="7" max="8" style="11126" width="44.00390625" hidden="1" customWidth="1"/>
    <col min="9" max="64" style="11126" width="44.00390625" customWidth="1"/>
    <col min="65" max="65" style="11126" width="74.00390625" customWidth="1"/>
    <col min="66" max="66" style="11126" width="3.7109375" customWidth="1"/>
    <col min="67" max="77" style="11126" width="10.57421875"/>
  </cols>
  <sheetData>
    <row s="11074" customFormat="1" customHeight="1" ht="11.25" hidden="1">
      <c r="A1" s="773"/>
      <c r="B1" s="748"/>
      <c r="G1" s="653">
        <v>4</v>
      </c>
      <c r="I1" s="653">
        <v>4</v>
      </c>
      <c r="K1" s="6978">
        <v>4</v>
      </c>
      <c r="L1" s="6978"/>
      <c r="M1" s="6978">
        <v>4</v>
      </c>
      <c r="N1" s="6978"/>
      <c r="O1" s="6978">
        <v>4</v>
      </c>
      <c r="P1" s="6978"/>
      <c r="Q1" s="6978">
        <v>4</v>
      </c>
      <c r="R1" s="6978"/>
      <c r="S1" s="6978">
        <v>4</v>
      </c>
      <c r="T1" s="6978"/>
      <c r="U1" s="6978">
        <v>4</v>
      </c>
      <c r="V1" s="6978"/>
      <c r="W1" s="6978">
        <v>4</v>
      </c>
      <c r="X1" s="6978"/>
      <c r="Y1" s="6978">
        <v>4</v>
      </c>
      <c r="Z1" s="6978"/>
      <c r="AA1" s="6978">
        <v>4</v>
      </c>
      <c r="AB1" s="6978"/>
      <c r="AC1" s="6978">
        <v>4</v>
      </c>
      <c r="AD1" s="6978"/>
      <c r="AE1" s="6978">
        <v>4</v>
      </c>
      <c r="AF1" s="6978"/>
      <c r="AG1" s="6978">
        <v>4</v>
      </c>
      <c r="AH1" s="6978"/>
      <c r="AI1" s="6978">
        <v>4</v>
      </c>
      <c r="AJ1" s="6978"/>
      <c r="AK1" s="6978">
        <v>4</v>
      </c>
      <c r="AL1" s="6978"/>
      <c r="AM1" s="6978">
        <v>4</v>
      </c>
      <c r="AN1" s="6978"/>
      <c r="AO1" s="6978">
        <v>4</v>
      </c>
      <c r="AP1" s="6978"/>
      <c r="AQ1" s="6978">
        <v>4</v>
      </c>
      <c r="AR1" s="6978"/>
      <c r="AS1" s="6978">
        <v>4</v>
      </c>
      <c r="AT1" s="6978"/>
      <c r="AU1" s="6978">
        <v>4</v>
      </c>
      <c r="AV1" s="6978"/>
      <c r="AW1" s="6978">
        <v>4</v>
      </c>
      <c r="AX1" s="6978"/>
      <c r="AY1" s="6978">
        <v>4</v>
      </c>
      <c r="AZ1" s="6978"/>
      <c r="BA1" s="6978">
        <v>4</v>
      </c>
      <c r="BB1" s="6978"/>
      <c r="BC1" s="6978">
        <v>4</v>
      </c>
      <c r="BD1" s="6978"/>
      <c r="BE1" s="6978">
        <v>4</v>
      </c>
      <c r="BF1" s="6978"/>
      <c r="BG1" s="6978">
        <v>4</v>
      </c>
      <c r="BH1" s="6978"/>
      <c r="BI1" s="6978">
        <v>4</v>
      </c>
      <c r="BJ1" s="6978"/>
      <c r="BK1" s="6978">
        <v>4</v>
      </c>
      <c r="BL1" s="6978"/>
      <c r="BM1" s="653">
        <v>5</v>
      </c>
    </row>
    <row customHeight="1" ht="3">
      <c r="K2" s="6985"/>
      <c r="L2" s="6985"/>
      <c r="M2" s="6985"/>
      <c r="N2" s="6985"/>
      <c r="O2" s="6985"/>
      <c r="P2" s="6985"/>
      <c r="Q2" s="6985"/>
      <c r="R2" s="6985"/>
      <c r="S2" s="6985"/>
      <c r="T2" s="6985"/>
      <c r="U2" s="6985"/>
      <c r="V2" s="6985"/>
      <c r="W2" s="6985"/>
      <c r="X2" s="6985"/>
      <c r="Y2" s="6985"/>
      <c r="Z2" s="6985"/>
      <c r="AA2" s="6985"/>
      <c r="AB2" s="6985"/>
      <c r="AC2" s="6985"/>
      <c r="AD2" s="6985"/>
      <c r="AE2" s="6985"/>
      <c r="AF2" s="6985"/>
      <c r="AG2" s="6985"/>
      <c r="AH2" s="6985"/>
      <c r="AI2" s="6985"/>
      <c r="AJ2" s="6985"/>
      <c r="AK2" s="6985"/>
      <c r="AL2" s="6985"/>
      <c r="AM2" s="6985"/>
      <c r="AN2" s="6985"/>
      <c r="AO2" s="6985"/>
      <c r="AP2" s="6985"/>
      <c r="AQ2" s="6985"/>
      <c r="AR2" s="6985"/>
      <c r="AS2" s="6985"/>
      <c r="AT2" s="6985"/>
      <c r="AU2" s="6985"/>
      <c r="AV2" s="6985"/>
      <c r="AW2" s="6985"/>
      <c r="AX2" s="6985"/>
      <c r="AY2" s="6985"/>
      <c r="AZ2" s="6985"/>
      <c r="BA2" s="6985"/>
      <c r="BB2" s="6985"/>
      <c r="BC2" s="6985"/>
      <c r="BD2" s="6985"/>
      <c r="BE2" s="6985"/>
      <c r="BF2" s="6985"/>
      <c r="BG2" s="6985"/>
      <c r="BH2" s="6985"/>
      <c r="BI2" s="6985"/>
      <c r="BJ2" s="6985"/>
      <c r="BK2" s="6985"/>
      <c r="BL2" s="6985"/>
    </row>
    <row customHeight="1" ht="35.25">
      <c r="D3" s="2604" t="str">
        <f>KNE_NAME_FORM</f>
        <v>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v>
      </c>
      <c r="E3" s="2605"/>
      <c r="F3" s="2606"/>
      <c r="K3" s="6985"/>
      <c r="L3" s="6985"/>
      <c r="M3" s="6985"/>
      <c r="N3" s="6985"/>
      <c r="O3" s="6985"/>
      <c r="P3" s="6985"/>
      <c r="Q3" s="6985"/>
      <c r="R3" s="6985"/>
      <c r="S3" s="6985"/>
      <c r="T3" s="6985"/>
      <c r="U3" s="6985"/>
      <c r="V3" s="6985"/>
      <c r="W3" s="6985"/>
      <c r="X3" s="6985"/>
      <c r="Y3" s="6985"/>
      <c r="Z3" s="6985"/>
      <c r="AA3" s="6985"/>
      <c r="AB3" s="6985"/>
      <c r="AC3" s="6985"/>
      <c r="AD3" s="6985"/>
      <c r="AE3" s="6985"/>
      <c r="AF3" s="6985"/>
      <c r="AG3" s="6985"/>
      <c r="AH3" s="6985"/>
      <c r="AI3" s="6985"/>
      <c r="AJ3" s="6985"/>
      <c r="AK3" s="6985"/>
      <c r="AL3" s="6985"/>
      <c r="AM3" s="6985"/>
      <c r="AN3" s="6985"/>
      <c r="AO3" s="6985"/>
      <c r="AP3" s="6985"/>
      <c r="AQ3" s="6985"/>
      <c r="AR3" s="6985"/>
      <c r="AS3" s="6985"/>
      <c r="AT3" s="6985"/>
      <c r="AU3" s="6985"/>
      <c r="AV3" s="6985"/>
      <c r="AW3" s="6985"/>
      <c r="AX3" s="6985"/>
      <c r="AY3" s="6985"/>
      <c r="AZ3" s="6985"/>
      <c r="BA3" s="6985"/>
      <c r="BB3" s="6985"/>
      <c r="BC3" s="6985"/>
      <c r="BD3" s="6985"/>
      <c r="BE3" s="6985"/>
      <c r="BF3" s="6985"/>
      <c r="BG3" s="6985"/>
      <c r="BH3" s="6985"/>
      <c r="BI3" s="6985"/>
      <c r="BJ3" s="6985"/>
      <c r="BK3" s="6985"/>
      <c r="BL3" s="6985"/>
    </row>
    <row s="11126" customFormat="1" customHeight="1" ht="20.25">
      <c r="A4" s="1207"/>
      <c r="B4" s="748"/>
      <c r="D4" s="2612" t="str">
        <f>IF(org=0,"Не определено",org)</f>
        <v>ООО "СамРЭК-Тепло Жигулевск"</v>
      </c>
      <c r="E4" s="2613"/>
      <c r="F4" s="2614"/>
      <c r="K4" s="6985"/>
      <c r="L4" s="6985"/>
      <c r="M4" s="6985"/>
      <c r="N4" s="6985"/>
      <c r="O4" s="6985"/>
      <c r="P4" s="6985"/>
      <c r="Q4" s="6985"/>
      <c r="R4" s="6985"/>
      <c r="S4" s="6985"/>
      <c r="T4" s="6985"/>
      <c r="U4" s="6985"/>
      <c r="V4" s="6985"/>
      <c r="W4" s="6985"/>
      <c r="X4" s="6985"/>
      <c r="Y4" s="6985"/>
      <c r="Z4" s="6985"/>
      <c r="AA4" s="6985"/>
      <c r="AB4" s="6985"/>
      <c r="AC4" s="6985"/>
      <c r="AD4" s="6985"/>
      <c r="AE4" s="6985"/>
      <c r="AF4" s="6985"/>
      <c r="AG4" s="6985"/>
      <c r="AH4" s="6985"/>
      <c r="AI4" s="6985"/>
      <c r="AJ4" s="6985"/>
      <c r="AK4" s="6985"/>
      <c r="AL4" s="6985"/>
      <c r="AM4" s="6985"/>
      <c r="AN4" s="6985"/>
      <c r="AO4" s="6985"/>
      <c r="AP4" s="6985"/>
      <c r="AQ4" s="6985"/>
      <c r="AR4" s="6985"/>
      <c r="AS4" s="6985"/>
      <c r="AT4" s="6985"/>
      <c r="AU4" s="6985"/>
      <c r="AV4" s="6985"/>
      <c r="AW4" s="6985"/>
      <c r="AX4" s="6985"/>
      <c r="AY4" s="6985"/>
      <c r="AZ4" s="6985"/>
      <c r="BA4" s="6985"/>
      <c r="BB4" s="6985"/>
      <c r="BC4" s="6985"/>
      <c r="BD4" s="6985"/>
      <c r="BE4" s="6985"/>
      <c r="BF4" s="6985"/>
      <c r="BG4" s="6985"/>
      <c r="BH4" s="6985"/>
      <c r="BI4" s="6985"/>
      <c r="BJ4" s="6985"/>
      <c r="BK4" s="6985"/>
      <c r="BL4" s="6985"/>
    </row>
    <row customHeight="1" ht="11.25">
      <c r="C5" s="746"/>
      <c r="D5" s="825"/>
      <c r="E5" s="825"/>
      <c r="F5" s="825"/>
      <c r="G5" s="825"/>
      <c r="H5" s="991"/>
      <c r="I5" s="825"/>
      <c r="J5" s="991"/>
      <c r="K5" s="7852"/>
      <c r="L5" s="6988"/>
      <c r="M5" s="7852"/>
      <c r="N5" s="6988"/>
      <c r="O5" s="7852"/>
      <c r="P5" s="6988"/>
      <c r="Q5" s="7852"/>
      <c r="R5" s="6988"/>
      <c r="S5" s="7852"/>
      <c r="T5" s="6988"/>
      <c r="U5" s="7852"/>
      <c r="V5" s="6988"/>
      <c r="W5" s="7852"/>
      <c r="X5" s="6988"/>
      <c r="Y5" s="7852"/>
      <c r="Z5" s="6988"/>
      <c r="AA5" s="7852"/>
      <c r="AB5" s="6988"/>
      <c r="AC5" s="7852"/>
      <c r="AD5" s="6988"/>
      <c r="AE5" s="7852"/>
      <c r="AF5" s="6988"/>
      <c r="AG5" s="7852"/>
      <c r="AH5" s="6988"/>
      <c r="AI5" s="7852"/>
      <c r="AJ5" s="6988"/>
      <c r="AK5" s="7852"/>
      <c r="AL5" s="6988"/>
      <c r="AM5" s="7852"/>
      <c r="AN5" s="6988"/>
      <c r="AO5" s="7852"/>
      <c r="AP5" s="6988"/>
      <c r="AQ5" s="7852"/>
      <c r="AR5" s="6988"/>
      <c r="AS5" s="7852"/>
      <c r="AT5" s="6988"/>
      <c r="AU5" s="7852"/>
      <c r="AV5" s="6988"/>
      <c r="AW5" s="7852"/>
      <c r="AX5" s="6988"/>
      <c r="AY5" s="7852"/>
      <c r="AZ5" s="6988"/>
      <c r="BA5" s="7852"/>
      <c r="BB5" s="6988"/>
      <c r="BC5" s="7852"/>
      <c r="BD5" s="6988"/>
      <c r="BE5" s="7852"/>
      <c r="BF5" s="6988"/>
      <c r="BG5" s="7852"/>
      <c r="BH5" s="6988"/>
      <c r="BI5" s="7852"/>
      <c r="BJ5" s="6988"/>
      <c r="BK5" s="7852"/>
      <c r="BL5" s="6988"/>
      <c r="BM5" s="825"/>
    </row>
    <row customHeight="1" ht="0.75">
      <c r="C6" s="746"/>
      <c r="D6" s="746"/>
      <c r="E6" s="759"/>
      <c r="F6" s="851"/>
      <c r="G6" s="1280"/>
      <c r="H6" s="1280"/>
      <c r="I6" s="1280" t="s">
        <v>118</v>
      </c>
      <c r="J6" s="1280"/>
      <c r="K6" s="7854" t="s">
        <v>123</v>
      </c>
      <c r="L6" s="7854"/>
      <c r="M6" s="7854" t="s">
        <v>125</v>
      </c>
      <c r="N6" s="7854"/>
      <c r="O6" s="7854" t="s">
        <v>127</v>
      </c>
      <c r="P6" s="7854"/>
      <c r="Q6" s="7854" t="s">
        <v>129</v>
      </c>
      <c r="R6" s="7854"/>
      <c r="S6" s="7854" t="s">
        <v>131</v>
      </c>
      <c r="T6" s="7854"/>
      <c r="U6" s="7854" t="s">
        <v>133</v>
      </c>
      <c r="V6" s="7854"/>
      <c r="W6" s="7854" t="s">
        <v>135</v>
      </c>
      <c r="X6" s="7854"/>
      <c r="Y6" s="7854" t="s">
        <v>138</v>
      </c>
      <c r="Z6" s="7854"/>
      <c r="AA6" s="7854" t="s">
        <v>141</v>
      </c>
      <c r="AB6" s="7854"/>
      <c r="AC6" s="7854" t="s">
        <v>144</v>
      </c>
      <c r="AD6" s="7854"/>
      <c r="AE6" s="7854" t="s">
        <v>147</v>
      </c>
      <c r="AF6" s="7854"/>
      <c r="AG6" s="7854" t="s">
        <v>150</v>
      </c>
      <c r="AH6" s="7854"/>
      <c r="AI6" s="7854" t="s">
        <v>153</v>
      </c>
      <c r="AJ6" s="7854"/>
      <c r="AK6" s="7854" t="s">
        <v>156</v>
      </c>
      <c r="AL6" s="7854"/>
      <c r="AM6" s="7854" t="s">
        <v>159</v>
      </c>
      <c r="AN6" s="7854"/>
      <c r="AO6" s="7854" t="s">
        <v>162</v>
      </c>
      <c r="AP6" s="7854"/>
      <c r="AQ6" s="7854" t="s">
        <v>165</v>
      </c>
      <c r="AR6" s="7854"/>
      <c r="AS6" s="7854" t="s">
        <v>168</v>
      </c>
      <c r="AT6" s="7854"/>
      <c r="AU6" s="7854" t="s">
        <v>171</v>
      </c>
      <c r="AV6" s="7854"/>
      <c r="AW6" s="7854" t="s">
        <v>174</v>
      </c>
      <c r="AX6" s="7854"/>
      <c r="AY6" s="7854" t="s">
        <v>177</v>
      </c>
      <c r="AZ6" s="7854"/>
      <c r="BA6" s="7854" t="s">
        <v>180</v>
      </c>
      <c r="BB6" s="7854"/>
      <c r="BC6" s="7854" t="s">
        <v>183</v>
      </c>
      <c r="BD6" s="7854"/>
      <c r="BE6" s="7854" t="s">
        <v>186</v>
      </c>
      <c r="BF6" s="7854"/>
      <c r="BG6" s="7854" t="s">
        <v>189</v>
      </c>
      <c r="BH6" s="7854"/>
      <c r="BI6" s="7854" t="s">
        <v>192</v>
      </c>
      <c r="BJ6" s="7854"/>
      <c r="BK6" s="7854" t="s">
        <v>195</v>
      </c>
      <c r="BL6" s="7854"/>
    </row>
    <row customHeight="1" ht="11.25">
      <c r="D7" s="948"/>
      <c r="E7" s="2545" t="s">
        <v>105</v>
      </c>
      <c r="F7" s="2546"/>
      <c r="G7" s="2610" t="str">
        <f>IF(G6="","",INDEX(DIFFERENTIATION_UNMERGE_VD,MATCH(G6,DIFFERENTIATION_ID_DIFF,0)))</f>
        <v/>
      </c>
      <c r="H7" s="2611"/>
      <c r="I7" s="2610" t="str">
        <f>IF(I6="","",INDEX(DIFFERENTIATION_UNMERGE_VD,MATCH(I6,DIFFERENTIATION_ID_DIFF,0)))</f>
        <v>Производство тепловой энергии. Некомбинированная выработка</v>
      </c>
      <c r="J7" s="2611"/>
      <c r="K7" s="7461" t="str">
        <f>IF(K6="","",INDEX(DIFFERENTIATION_UNMERGE_VD,MATCH(K6,DIFFERENTIATION_ID_DIFF,0)))</f>
        <v>Производство тепловой энергии. Некомбинированная выработка</v>
      </c>
      <c r="L7" s="7857"/>
      <c r="M7" s="7461" t="str">
        <f>IF(M6="","",INDEX(DIFFERENTIATION_UNMERGE_VD,MATCH(M6,DIFFERENTIATION_ID_DIFF,0)))</f>
        <v>Производство тепловой энергии. Некомбинированная выработка</v>
      </c>
      <c r="N7" s="7857"/>
      <c r="O7" s="7461" t="str">
        <f>IF(O6="","",INDEX(DIFFERENTIATION_UNMERGE_VD,MATCH(O6,DIFFERENTIATION_ID_DIFF,0)))</f>
        <v>Производство тепловой энергии. Некомбинированная выработка</v>
      </c>
      <c r="P7" s="7857"/>
      <c r="Q7" s="7461" t="str">
        <f>IF(Q6="","",INDEX(DIFFERENTIATION_UNMERGE_VD,MATCH(Q6,DIFFERENTIATION_ID_DIFF,0)))</f>
        <v>Производство тепловой энергии. Некомбинированная выработка</v>
      </c>
      <c r="R7" s="7857"/>
      <c r="S7" s="7461" t="str">
        <f>IF(S6="","",INDEX(DIFFERENTIATION_UNMERGE_VD,MATCH(S6,DIFFERENTIATION_ID_DIFF,0)))</f>
        <v>Производство тепловой энергии. Некомбинированная выработка</v>
      </c>
      <c r="T7" s="7857"/>
      <c r="U7" s="7461" t="str">
        <f>IF(U6="","",INDEX(DIFFERENTIATION_UNMERGE_VD,MATCH(U6,DIFFERENTIATION_ID_DIFF,0)))</f>
        <v>Производство тепловой энергии. Некомбинированная выработка</v>
      </c>
      <c r="V7" s="7857"/>
      <c r="W7" s="7461" t="str">
        <f>IF(W6="","",INDEX(DIFFERENTIATION_UNMERGE_VD,MATCH(W6,DIFFERENTIATION_ID_DIFF,0)))</f>
        <v>Производство тепловой энергии. Некомбинированная выработка</v>
      </c>
      <c r="X7" s="7857"/>
      <c r="Y7" s="7461" t="str">
        <f>IF(Y6="","",INDEX(DIFFERENTIATION_UNMERGE_VD,MATCH(Y6,DIFFERENTIATION_ID_DIFF,0)))</f>
        <v>Производство тепловой энергии. Некомбинированная выработка</v>
      </c>
      <c r="Z7" s="7857"/>
      <c r="AA7" s="7461" t="str">
        <f>IF(AA6="","",INDEX(DIFFERENTIATION_UNMERGE_VD,MATCH(AA6,DIFFERENTIATION_ID_DIFF,0)))</f>
        <v>Производство тепловой энергии. Некомбинированная выработка</v>
      </c>
      <c r="AB7" s="7857"/>
      <c r="AC7" s="7461" t="str">
        <f>IF(AC6="","",INDEX(DIFFERENTIATION_UNMERGE_VD,MATCH(AC6,DIFFERENTIATION_ID_DIFF,0)))</f>
        <v>Производство тепловой энергии. Некомбинированная выработка</v>
      </c>
      <c r="AD7" s="7857"/>
      <c r="AE7" s="7461" t="str">
        <f>IF(AE6="","",INDEX(DIFFERENTIATION_UNMERGE_VD,MATCH(AE6,DIFFERENTIATION_ID_DIFF,0)))</f>
        <v>Производство тепловой энергии. Некомбинированная выработка</v>
      </c>
      <c r="AF7" s="7857"/>
      <c r="AG7" s="7461" t="str">
        <f>IF(AG6="","",INDEX(DIFFERENTIATION_UNMERGE_VD,MATCH(AG6,DIFFERENTIATION_ID_DIFF,0)))</f>
        <v>Производство тепловой энергии. Некомбинированная выработка</v>
      </c>
      <c r="AH7" s="7857"/>
      <c r="AI7" s="7461" t="str">
        <f>IF(AI6="","",INDEX(DIFFERENTIATION_UNMERGE_VD,MATCH(AI6,DIFFERENTIATION_ID_DIFF,0)))</f>
        <v>Производство тепловой энергии. Некомбинированная выработка</v>
      </c>
      <c r="AJ7" s="7857"/>
      <c r="AK7" s="7461" t="str">
        <f>IF(AK6="","",INDEX(DIFFERENTIATION_UNMERGE_VD,MATCH(AK6,DIFFERENTIATION_ID_DIFF,0)))</f>
        <v>Производство тепловой энергии. Некомбинированная выработка</v>
      </c>
      <c r="AL7" s="7857"/>
      <c r="AM7" s="7461" t="str">
        <f>IF(AM6="","",INDEX(DIFFERENTIATION_UNMERGE_VD,MATCH(AM6,DIFFERENTIATION_ID_DIFF,0)))</f>
        <v>Производство тепловой энергии. Некомбинированная выработка</v>
      </c>
      <c r="AN7" s="7857"/>
      <c r="AO7" s="7461" t="str">
        <f>IF(AO6="","",INDEX(DIFFERENTIATION_UNMERGE_VD,MATCH(AO6,DIFFERENTIATION_ID_DIFF,0)))</f>
        <v>Производство тепловой энергии. Некомбинированная выработка</v>
      </c>
      <c r="AP7" s="7857"/>
      <c r="AQ7" s="7461" t="str">
        <f>IF(AQ6="","",INDEX(DIFFERENTIATION_UNMERGE_VD,MATCH(AQ6,DIFFERENTIATION_ID_DIFF,0)))</f>
        <v>Производство тепловой энергии. Некомбинированная выработка</v>
      </c>
      <c r="AR7" s="7857"/>
      <c r="AS7" s="7461" t="str">
        <f>IF(AS6="","",INDEX(DIFFERENTIATION_UNMERGE_VD,MATCH(AS6,DIFFERENTIATION_ID_DIFF,0)))</f>
        <v>Производство тепловой энергии. Некомбинированная выработка</v>
      </c>
      <c r="AT7" s="7857"/>
      <c r="AU7" s="7461" t="str">
        <f>IF(AU6="","",INDEX(DIFFERENTIATION_UNMERGE_VD,MATCH(AU6,DIFFERENTIATION_ID_DIFF,0)))</f>
        <v>Производство тепловой энергии. Некомбинированная выработка</v>
      </c>
      <c r="AV7" s="7857"/>
      <c r="AW7" s="7461" t="str">
        <f>IF(AW6="","",INDEX(DIFFERENTIATION_UNMERGE_VD,MATCH(AW6,DIFFERENTIATION_ID_DIFF,0)))</f>
        <v>Производство тепловой энергии. Некомбинированная выработка</v>
      </c>
      <c r="AX7" s="7857"/>
      <c r="AY7" s="7461" t="str">
        <f>IF(AY6="","",INDEX(DIFFERENTIATION_UNMERGE_VD,MATCH(AY6,DIFFERENTIATION_ID_DIFF,0)))</f>
        <v>Производство тепловой энергии. Некомбинированная выработка</v>
      </c>
      <c r="AZ7" s="7857"/>
      <c r="BA7" s="7461" t="str">
        <f>IF(BA6="","",INDEX(DIFFERENTIATION_UNMERGE_VD,MATCH(BA6,DIFFERENTIATION_ID_DIFF,0)))</f>
        <v>Производство тепловой энергии. Некомбинированная выработка</v>
      </c>
      <c r="BB7" s="7857"/>
      <c r="BC7" s="7461" t="str">
        <f>IF(BC6="","",INDEX(DIFFERENTIATION_UNMERGE_VD,MATCH(BC6,DIFFERENTIATION_ID_DIFF,0)))</f>
        <v>Производство тепловой энергии. Некомбинированная выработка</v>
      </c>
      <c r="BD7" s="7857"/>
      <c r="BE7" s="7461" t="str">
        <f>IF(BE6="","",INDEX(DIFFERENTIATION_UNMERGE_VD,MATCH(BE6,DIFFERENTIATION_ID_DIFF,0)))</f>
        <v>Производство тепловой энергии. Некомбинированная выработка</v>
      </c>
      <c r="BF7" s="7857"/>
      <c r="BG7" s="7461" t="str">
        <f>IF(BG6="","",INDEX(DIFFERENTIATION_UNMERGE_VD,MATCH(BG6,DIFFERENTIATION_ID_DIFF,0)))</f>
        <v>Производство тепловой энергии. Некомбинированная выработка</v>
      </c>
      <c r="BH7" s="7857"/>
      <c r="BI7" s="7461" t="str">
        <f>IF(BI6="","",INDEX(DIFFERENTIATION_UNMERGE_VD,MATCH(BI6,DIFFERENTIATION_ID_DIFF,0)))</f>
        <v>Производство тепловой энергии. Некомбинированная выработка</v>
      </c>
      <c r="BJ7" s="7857"/>
      <c r="BK7" s="7461" t="str">
        <f>IF(BK6="","",INDEX(DIFFERENTIATION_UNMERGE_VD,MATCH(BK6,DIFFERENTIATION_ID_DIFF,0)))</f>
        <v>Производство тепловой энергии. Некомбинированная выработка</v>
      </c>
      <c r="BL7" s="7857"/>
      <c r="BM7" s="2607"/>
      <c r="BN7" s="746"/>
    </row>
    <row customHeight="1" ht="11.25">
      <c r="A8" s="941"/>
      <c r="D8" s="948"/>
      <c r="E8" s="2545" t="s">
        <v>1476</v>
      </c>
      <c r="F8" s="2546"/>
      <c r="G8" s="2610" t="str">
        <f>IF(G6="","",INDEX(DIFFERENTIATION_UNMERGE_AREA,MATCH(G6,DIFFERENTIATION_ID_DIFF,0)))</f>
        <v/>
      </c>
      <c r="H8" s="2611"/>
      <c r="I8" s="2610" t="str">
        <f>IF(I6="","",INDEX(DIFFERENTIATION_UNMERGE_AREA,MATCH(I6,DIFFERENTIATION_ID_DIFF,0)))</f>
        <v>Территория 1</v>
      </c>
      <c r="J8" s="2611"/>
      <c r="K8" s="7461" t="str">
        <f>IF(K6="","",INDEX(DIFFERENTIATION_UNMERGE_AREA,MATCH(K6,DIFFERENTIATION_ID_DIFF,0)))</f>
        <v>Территория 1</v>
      </c>
      <c r="L8" s="7857"/>
      <c r="M8" s="7461" t="str">
        <f>IF(M6="","",INDEX(DIFFERENTIATION_UNMERGE_AREA,MATCH(M6,DIFFERENTIATION_ID_DIFF,0)))</f>
        <v>Территория 1</v>
      </c>
      <c r="N8" s="7857"/>
      <c r="O8" s="7461" t="str">
        <f>IF(O6="","",INDEX(DIFFERENTIATION_UNMERGE_AREA,MATCH(O6,DIFFERENTIATION_ID_DIFF,0)))</f>
        <v>Территория 1</v>
      </c>
      <c r="P8" s="7857"/>
      <c r="Q8" s="7461" t="str">
        <f>IF(Q6="","",INDEX(DIFFERENTIATION_UNMERGE_AREA,MATCH(Q6,DIFFERENTIATION_ID_DIFF,0)))</f>
        <v>Территория 1</v>
      </c>
      <c r="R8" s="7857"/>
      <c r="S8" s="7461" t="str">
        <f>IF(S6="","",INDEX(DIFFERENTIATION_UNMERGE_AREA,MATCH(S6,DIFFERENTIATION_ID_DIFF,0)))</f>
        <v>Территория 1</v>
      </c>
      <c r="T8" s="7857"/>
      <c r="U8" s="7461" t="str">
        <f>IF(U6="","",INDEX(DIFFERENTIATION_UNMERGE_AREA,MATCH(U6,DIFFERENTIATION_ID_DIFF,0)))</f>
        <v>Территория 1</v>
      </c>
      <c r="V8" s="7857"/>
      <c r="W8" s="7461" t="str">
        <f>IF(W6="","",INDEX(DIFFERENTIATION_UNMERGE_AREA,MATCH(W6,DIFFERENTIATION_ID_DIFF,0)))</f>
        <v>Территория 1</v>
      </c>
      <c r="X8" s="7857"/>
      <c r="Y8" s="7461" t="str">
        <f>IF(Y6="","",INDEX(DIFFERENTIATION_UNMERGE_AREA,MATCH(Y6,DIFFERENTIATION_ID_DIFF,0)))</f>
        <v>Территория 1</v>
      </c>
      <c r="Z8" s="7857"/>
      <c r="AA8" s="7461" t="str">
        <f>IF(AA6="","",INDEX(DIFFERENTIATION_UNMERGE_AREA,MATCH(AA6,DIFFERENTIATION_ID_DIFF,0)))</f>
        <v>Территория 1</v>
      </c>
      <c r="AB8" s="7857"/>
      <c r="AC8" s="7461" t="str">
        <f>IF(AC6="","",INDEX(DIFFERENTIATION_UNMERGE_AREA,MATCH(AC6,DIFFERENTIATION_ID_DIFF,0)))</f>
        <v>Территория 1</v>
      </c>
      <c r="AD8" s="7857"/>
      <c r="AE8" s="7461" t="str">
        <f>IF(AE6="","",INDEX(DIFFERENTIATION_UNMERGE_AREA,MATCH(AE6,DIFFERENTIATION_ID_DIFF,0)))</f>
        <v>Территория 1</v>
      </c>
      <c r="AF8" s="7857"/>
      <c r="AG8" s="7461" t="str">
        <f>IF(AG6="","",INDEX(DIFFERENTIATION_UNMERGE_AREA,MATCH(AG6,DIFFERENTIATION_ID_DIFF,0)))</f>
        <v>Территория 1</v>
      </c>
      <c r="AH8" s="7857"/>
      <c r="AI8" s="7461" t="str">
        <f>IF(AI6="","",INDEX(DIFFERENTIATION_UNMERGE_AREA,MATCH(AI6,DIFFERENTIATION_ID_DIFF,0)))</f>
        <v>Территория 1</v>
      </c>
      <c r="AJ8" s="7857"/>
      <c r="AK8" s="7461" t="str">
        <f>IF(AK6="","",INDEX(DIFFERENTIATION_UNMERGE_AREA,MATCH(AK6,DIFFERENTIATION_ID_DIFF,0)))</f>
        <v>Территория 1</v>
      </c>
      <c r="AL8" s="7857"/>
      <c r="AM8" s="7461" t="str">
        <f>IF(AM6="","",INDEX(DIFFERENTIATION_UNMERGE_AREA,MATCH(AM6,DIFFERENTIATION_ID_DIFF,0)))</f>
        <v>Территория 1</v>
      </c>
      <c r="AN8" s="7857"/>
      <c r="AO8" s="7461" t="str">
        <f>IF(AO6="","",INDEX(DIFFERENTIATION_UNMERGE_AREA,MATCH(AO6,DIFFERENTIATION_ID_DIFF,0)))</f>
        <v>Территория 1</v>
      </c>
      <c r="AP8" s="7857"/>
      <c r="AQ8" s="7461" t="str">
        <f>IF(AQ6="","",INDEX(DIFFERENTIATION_UNMERGE_AREA,MATCH(AQ6,DIFFERENTIATION_ID_DIFF,0)))</f>
        <v>Территория 1</v>
      </c>
      <c r="AR8" s="7857"/>
      <c r="AS8" s="7461" t="str">
        <f>IF(AS6="","",INDEX(DIFFERENTIATION_UNMERGE_AREA,MATCH(AS6,DIFFERENTIATION_ID_DIFF,0)))</f>
        <v>Территория 1</v>
      </c>
      <c r="AT8" s="7857"/>
      <c r="AU8" s="7461" t="str">
        <f>IF(AU6="","",INDEX(DIFFERENTIATION_UNMERGE_AREA,MATCH(AU6,DIFFERENTIATION_ID_DIFF,0)))</f>
        <v>Территория 1</v>
      </c>
      <c r="AV8" s="7857"/>
      <c r="AW8" s="7461" t="str">
        <f>IF(AW6="","",INDEX(DIFFERENTIATION_UNMERGE_AREA,MATCH(AW6,DIFFERENTIATION_ID_DIFF,0)))</f>
        <v>Территория 1</v>
      </c>
      <c r="AX8" s="7857"/>
      <c r="AY8" s="7461" t="str">
        <f>IF(AY6="","",INDEX(DIFFERENTIATION_UNMERGE_AREA,MATCH(AY6,DIFFERENTIATION_ID_DIFF,0)))</f>
        <v>Территория 1</v>
      </c>
      <c r="AZ8" s="7857"/>
      <c r="BA8" s="7461" t="str">
        <f>IF(BA6="","",INDEX(DIFFERENTIATION_UNMERGE_AREA,MATCH(BA6,DIFFERENTIATION_ID_DIFF,0)))</f>
        <v>Территория 1</v>
      </c>
      <c r="BB8" s="7857"/>
      <c r="BC8" s="7461" t="str">
        <f>IF(BC6="","",INDEX(DIFFERENTIATION_UNMERGE_AREA,MATCH(BC6,DIFFERENTIATION_ID_DIFF,0)))</f>
        <v>Территория 1</v>
      </c>
      <c r="BD8" s="7857"/>
      <c r="BE8" s="7461" t="str">
        <f>IF(BE6="","",INDEX(DIFFERENTIATION_UNMERGE_AREA,MATCH(BE6,DIFFERENTIATION_ID_DIFF,0)))</f>
        <v>Территория 1</v>
      </c>
      <c r="BF8" s="7857"/>
      <c r="BG8" s="7461" t="str">
        <f>IF(BG6="","",INDEX(DIFFERENTIATION_UNMERGE_AREA,MATCH(BG6,DIFFERENTIATION_ID_DIFF,0)))</f>
        <v>Территория 1</v>
      </c>
      <c r="BH8" s="7857"/>
      <c r="BI8" s="7461" t="str">
        <f>IF(BI6="","",INDEX(DIFFERENTIATION_UNMERGE_AREA,MATCH(BI6,DIFFERENTIATION_ID_DIFF,0)))</f>
        <v>Территория 1</v>
      </c>
      <c r="BJ8" s="7857"/>
      <c r="BK8" s="7461" t="str">
        <f>IF(BK6="","",INDEX(DIFFERENTIATION_UNMERGE_AREA,MATCH(BK6,DIFFERENTIATION_ID_DIFF,0)))</f>
        <v>Территория 1</v>
      </c>
      <c r="BL8" s="7857"/>
      <c r="BM8" s="2608"/>
      <c r="BN8" s="746"/>
    </row>
    <row customHeight="1" ht="11.25">
      <c r="A9" s="941"/>
      <c r="D9" s="948"/>
      <c r="E9" s="2545" t="s">
        <v>1477</v>
      </c>
      <c r="F9" s="2546"/>
      <c r="G9" s="2610" t="str">
        <f>IF(G6="","",INDEX(DIFFERENTIATION_UNMERGE_SYSTEM,MATCH(G6,DIFFERENTIATION_ID_DIFF,0)))</f>
        <v/>
      </c>
      <c r="H9" s="2611"/>
      <c r="I9" s="2610" t="str">
        <f>IF(I6="","",INDEX(DIFFERENTIATION_UNMERGE_SYSTEM,MATCH(I6,DIFFERENTIATION_ID_DIFF,0)))</f>
        <v>Котельная №1 по ул.Ново-Самарская, д.12</v>
      </c>
      <c r="J9" s="2611"/>
      <c r="K9" s="7461" t="str">
        <f>IF(K6="","",INDEX(DIFFERENTIATION_UNMERGE_SYSTEM,MATCH(K6,DIFFERENTIATION_ID_DIFF,0)))</f>
        <v>Котельная №2,  ул.Пирогова около д.4</v>
      </c>
      <c r="L9" s="7857"/>
      <c r="M9" s="7461" t="str">
        <f>IF(M6="","",INDEX(DIFFERENTIATION_UNMERGE_SYSTEM,MATCH(M6,DIFFERENTIATION_ID_DIFF,0)))</f>
        <v>Котельная №3, ул.Комсомольская около д.1 по ул.Ленина</v>
      </c>
      <c r="N9" s="7857"/>
      <c r="O9" s="7461" t="str">
        <f>IF(O6="","",INDEX(DIFFERENTIATION_UNMERGE_SYSTEM,MATCH(O6,DIFFERENTIATION_ID_DIFF,0)))</f>
        <v>Тепловой центр №1 ул.Вокзальная ок д.№8</v>
      </c>
      <c r="P9" s="7857"/>
      <c r="Q9" s="7461" t="str">
        <f>IF(Q6="","",INDEX(DIFFERENTIATION_UNMERGE_SYSTEM,MATCH(Q6,DIFFERENTIATION_ID_DIFF,0)))</f>
        <v>Котельная №5, Александр. Поле, около д.30 по ул.Советская </v>
      </c>
      <c r="R9" s="7857"/>
      <c r="S9" s="7461" t="str">
        <f>IF(S6="","",INDEX(DIFFERENTIATION_UNMERGE_SYSTEM,MATCH(S6,DIFFERENTIATION_ID_DIFF,0)))</f>
        <v>Котельная №6, ул.Пушкина </v>
      </c>
      <c r="T9" s="7857"/>
      <c r="U9" s="7461" t="str">
        <f>IF(U6="","",INDEX(DIFFERENTIATION_UNMERGE_SYSTEM,MATCH(U6,DIFFERENTIATION_ID_DIFF,0)))</f>
        <v>Тепловой центр №2 ул.Вокзальная ок д.№20</v>
      </c>
      <c r="V9" s="7857"/>
      <c r="W9" s="7461" t="str">
        <f>IF(W6="","",INDEX(DIFFERENTIATION_UNMERGE_SYSTEM,MATCH(W6,DIFFERENTIATION_ID_DIFF,0)))</f>
        <v>Котельная №8, ул.Мира</v>
      </c>
      <c r="X9" s="7857"/>
      <c r="Y9" s="7461" t="str">
        <f>IF(Y6="","",INDEX(DIFFERENTIATION_UNMERGE_SYSTEM,MATCH(Y6,DIFFERENTIATION_ID_DIFF,0)))</f>
        <v>Котельная №9, ул.Гоголя</v>
      </c>
      <c r="Z9" s="7857"/>
      <c r="AA9" s="7461" t="str">
        <f>IF(AA6="","",INDEX(DIFFERENTIATION_UNMERGE_SYSTEM,MATCH(AA6,DIFFERENTIATION_ID_DIFF,0)))</f>
        <v>Котельная №10, ул.Гоголя</v>
      </c>
      <c r="AB9" s="7857"/>
      <c r="AC9" s="7461" t="str">
        <f>IF(AC6="","",INDEX(DIFFERENTIATION_UNMERGE_SYSTEM,MATCH(AC6,DIFFERENTIATION_ID_DIFF,0)))</f>
        <v>Котельная №12а, ул.Мира</v>
      </c>
      <c r="AD9" s="7857"/>
      <c r="AE9" s="7461" t="str">
        <f>IF(AE6="","",INDEX(DIFFERENTIATION_UNMERGE_SYSTEM,MATCH(AE6,DIFFERENTIATION_ID_DIFF,0)))</f>
        <v>Котельная №13, ул.Морквашинская</v>
      </c>
      <c r="AF9" s="7857"/>
      <c r="AG9" s="7461" t="str">
        <f>IF(AG6="","",INDEX(DIFFERENTIATION_UNMERGE_SYSTEM,MATCH(AG6,DIFFERENTIATION_ID_DIFF,0)))</f>
        <v>ЦТП-1 ул.Морквашинская ок.д№7</v>
      </c>
      <c r="AH9" s="7857"/>
      <c r="AI9" s="7461" t="str">
        <f>IF(AI6="","",INDEX(DIFFERENTIATION_UNMERGE_SYSTEM,MATCH(AI6,DIFFERENTIATION_ID_DIFF,0)))</f>
        <v>ЦТП-2, В-1,ок.д.№10</v>
      </c>
      <c r="AJ9" s="7857"/>
      <c r="AK9" s="7461" t="str">
        <f>IF(AK6="","",INDEX(DIFFERENTIATION_UNMERGE_SYSTEM,MATCH(AK6,DIFFERENTIATION_ID_DIFF,0)))</f>
        <v>ЦТП-9, ул.Пролетарская д.23/ул.Транспортная д.10</v>
      </c>
      <c r="AL9" s="7857"/>
      <c r="AM9" s="7461" t="str">
        <f>IF(AM6="","",INDEX(DIFFERENTIATION_UNMERGE_SYSTEM,MATCH(AM6,DIFFERENTIATION_ID_DIFF,0)))</f>
        <v>ПНС№1-  Пролет, 5</v>
      </c>
      <c r="AN9" s="7857"/>
      <c r="AO9" s="7461" t="str">
        <f>IF(AO6="","",INDEX(DIFFERENTIATION_UNMERGE_SYSTEM,MATCH(AO6,DIFFERENTIATION_ID_DIFF,0)))</f>
        <v>ПНС№2, ул.Репина,3</v>
      </c>
      <c r="AP9" s="7857"/>
      <c r="AQ9" s="7461" t="str">
        <f>IF(AQ6="","",INDEX(DIFFERENTIATION_UNMERGE_SYSTEM,MATCH(AQ6,DIFFERENTIATION_ID_DIFF,0)))</f>
        <v>Котельная №14, ул.Радиозаводская</v>
      </c>
      <c r="AR9" s="7857"/>
      <c r="AS9" s="7461" t="str">
        <f>IF(AS6="","",INDEX(DIFFERENTIATION_UNMERGE_SYSTEM,MATCH(AS6,DIFFERENTIATION_ID_DIFF,0)))</f>
        <v>ЦТП-3, ул.Радиозаводская,ок.д.№6</v>
      </c>
      <c r="AT9" s="7857"/>
      <c r="AU9" s="7461" t="str">
        <f>IF(AU6="","",INDEX(DIFFERENTIATION_UNMERGE_SYSTEM,MATCH(AU6,DIFFERENTIATION_ID_DIFF,0)))</f>
        <v>Котельная №17а с.Зольное , ул.Первомайская.</v>
      </c>
      <c r="AV9" s="7857"/>
      <c r="AW9" s="7461" t="str">
        <f>IF(AW6="","",INDEX(DIFFERENTIATION_UNMERGE_SYSTEM,MATCH(AW6,DIFFERENTIATION_ID_DIFF,0)))</f>
        <v>Котельная №18А, с.Солнечная Поляна, ул. 4-я Линия</v>
      </c>
      <c r="AX9" s="7857"/>
      <c r="AY9" s="7461" t="str">
        <f>IF(AY6="","",INDEX(DIFFERENTIATION_UNMERGE_SYSTEM,MATCH(AY6,DIFFERENTIATION_ID_DIFF,0)))</f>
        <v>Котельная №20,пос.Яблоневый Овраг , ул Никитина</v>
      </c>
      <c r="AZ9" s="7857"/>
      <c r="BA9" s="7461" t="str">
        <f>IF(BA6="","",INDEX(DIFFERENTIATION_UNMERGE_SYSTEM,MATCH(BA6,DIFFERENTIATION_ID_DIFF,0)))</f>
        <v>Котельная №22, ул.Магистральная</v>
      </c>
      <c r="BB9" s="7857"/>
      <c r="BC9" s="7461" t="str">
        <f>IF(BC6="","",INDEX(DIFFERENTIATION_UNMERGE_SYSTEM,MATCH(BC6,DIFFERENTIATION_ID_DIFF,0)))</f>
        <v>Котельная №25,  МКР Г-1, ул.Гидротехническая</v>
      </c>
      <c r="BD9" s="7857"/>
      <c r="BE9" s="7461" t="str">
        <f>IF(BE6="","",INDEX(DIFFERENTIATION_UNMERGE_SYSTEM,MATCH(BE6,DIFFERENTIATION_ID_DIFF,0)))</f>
        <v>ЦТП-7, ул.Оборонная</v>
      </c>
      <c r="BF9" s="7857"/>
      <c r="BG9" s="7461" t="str">
        <f>IF(BG6="","",INDEX(DIFFERENTIATION_UNMERGE_SYSTEM,MATCH(BG6,DIFFERENTIATION_ID_DIFF,0)))</f>
        <v>ЦТП-8, ул.Шевченко</v>
      </c>
      <c r="BH9" s="7857"/>
      <c r="BI9" s="7461" t="str">
        <f>IF(BI6="","",INDEX(DIFFERENTIATION_UNMERGE_SYSTEM,MATCH(BI6,DIFFERENTIATION_ID_DIFF,0)))</f>
        <v>ПНС, ул.Парковая</v>
      </c>
      <c r="BJ9" s="7857"/>
      <c r="BK9" s="7461" t="str">
        <f>IF(BK6="","",INDEX(DIFFERENTIATION_UNMERGE_SYSTEM,MATCH(BK6,DIFFERENTIATION_ID_DIFF,0)))</f>
        <v>Котельная №27, п.Богатырь, ул.Управленческая</v>
      </c>
      <c r="BL9" s="7857"/>
      <c r="BM9" s="2608"/>
      <c r="BN9" s="746"/>
    </row>
    <row s="11126" customFormat="1" customHeight="1" ht="11.25">
      <c r="A10" s="1279"/>
      <c r="B10" s="748"/>
      <c r="D10" s="2136" t="s">
        <v>362</v>
      </c>
      <c r="E10" s="2137"/>
      <c r="F10" s="2137"/>
      <c r="G10" s="2137"/>
      <c r="H10" s="2137"/>
      <c r="I10" s="2137"/>
      <c r="J10" s="2138"/>
      <c r="K10" s="7862"/>
      <c r="L10" s="7862"/>
      <c r="M10" s="7862"/>
      <c r="N10" s="7862"/>
      <c r="O10" s="7862"/>
      <c r="P10" s="7862"/>
      <c r="Q10" s="7862"/>
      <c r="R10" s="7862"/>
      <c r="S10" s="7862"/>
      <c r="T10" s="7862"/>
      <c r="U10" s="7862"/>
      <c r="V10" s="7862"/>
      <c r="W10" s="7862"/>
      <c r="X10" s="7862"/>
      <c r="Y10" s="7862"/>
      <c r="Z10" s="7862"/>
      <c r="AA10" s="7862"/>
      <c r="AB10" s="7862"/>
      <c r="AC10" s="7862"/>
      <c r="AD10" s="7862"/>
      <c r="AE10" s="7862"/>
      <c r="AF10" s="7862"/>
      <c r="AG10" s="7862"/>
      <c r="AH10" s="7862"/>
      <c r="AI10" s="7862"/>
      <c r="AJ10" s="7862"/>
      <c r="AK10" s="7862"/>
      <c r="AL10" s="7862"/>
      <c r="AM10" s="7862"/>
      <c r="AN10" s="7862"/>
      <c r="AO10" s="7862"/>
      <c r="AP10" s="7862"/>
      <c r="AQ10" s="7862"/>
      <c r="AR10" s="7862"/>
      <c r="AS10" s="7862"/>
      <c r="AT10" s="7862"/>
      <c r="AU10" s="7862"/>
      <c r="AV10" s="7862"/>
      <c r="AW10" s="7862"/>
      <c r="AX10" s="7862"/>
      <c r="AY10" s="7862"/>
      <c r="AZ10" s="7862"/>
      <c r="BA10" s="7862"/>
      <c r="BB10" s="7862"/>
      <c r="BC10" s="7862"/>
      <c r="BD10" s="7862"/>
      <c r="BE10" s="7862"/>
      <c r="BF10" s="7862"/>
      <c r="BG10" s="7862"/>
      <c r="BH10" s="7862"/>
      <c r="BI10" s="7862"/>
      <c r="BJ10" s="7862"/>
      <c r="BK10" s="7862"/>
      <c r="BL10" s="7862"/>
      <c r="BM10" s="2608"/>
      <c r="BN10" s="746"/>
    </row>
    <row s="11126" customFormat="1" customHeight="1" ht="22.5">
      <c r="A11" s="2603"/>
      <c r="B11" s="2603"/>
      <c r="C11" s="894"/>
      <c r="D11" s="940" t="s">
        <v>88</v>
      </c>
      <c r="E11" s="942" t="s">
        <v>1893</v>
      </c>
      <c r="F11" s="942" t="s">
        <v>1655</v>
      </c>
      <c r="G11" s="702" t="s">
        <v>365</v>
      </c>
      <c r="H11" s="702" t="s">
        <v>454</v>
      </c>
      <c r="I11" s="1050" t="s">
        <v>365</v>
      </c>
      <c r="J11" s="1051" t="s">
        <v>454</v>
      </c>
      <c r="K11" s="7006" t="s">
        <v>365</v>
      </c>
      <c r="L11" s="7006" t="s">
        <v>454</v>
      </c>
      <c r="M11" s="7006" t="s">
        <v>365</v>
      </c>
      <c r="N11" s="7006" t="s">
        <v>454</v>
      </c>
      <c r="O11" s="7006" t="s">
        <v>365</v>
      </c>
      <c r="P11" s="7006" t="s">
        <v>454</v>
      </c>
      <c r="Q11" s="7006" t="s">
        <v>365</v>
      </c>
      <c r="R11" s="7006" t="s">
        <v>454</v>
      </c>
      <c r="S11" s="7006" t="s">
        <v>365</v>
      </c>
      <c r="T11" s="7006" t="s">
        <v>454</v>
      </c>
      <c r="U11" s="7006" t="s">
        <v>365</v>
      </c>
      <c r="V11" s="7006" t="s">
        <v>454</v>
      </c>
      <c r="W11" s="7006" t="s">
        <v>365</v>
      </c>
      <c r="X11" s="7006" t="s">
        <v>454</v>
      </c>
      <c r="Y11" s="7006" t="s">
        <v>365</v>
      </c>
      <c r="Z11" s="7006" t="s">
        <v>454</v>
      </c>
      <c r="AA11" s="7006" t="s">
        <v>365</v>
      </c>
      <c r="AB11" s="7006" t="s">
        <v>454</v>
      </c>
      <c r="AC11" s="7006" t="s">
        <v>365</v>
      </c>
      <c r="AD11" s="7006" t="s">
        <v>454</v>
      </c>
      <c r="AE11" s="7006" t="s">
        <v>365</v>
      </c>
      <c r="AF11" s="7006" t="s">
        <v>454</v>
      </c>
      <c r="AG11" s="7006" t="s">
        <v>365</v>
      </c>
      <c r="AH11" s="7006" t="s">
        <v>454</v>
      </c>
      <c r="AI11" s="7006" t="s">
        <v>365</v>
      </c>
      <c r="AJ11" s="7006" t="s">
        <v>454</v>
      </c>
      <c r="AK11" s="7006" t="s">
        <v>365</v>
      </c>
      <c r="AL11" s="7006" t="s">
        <v>454</v>
      </c>
      <c r="AM11" s="7006" t="s">
        <v>365</v>
      </c>
      <c r="AN11" s="7006" t="s">
        <v>454</v>
      </c>
      <c r="AO11" s="7006" t="s">
        <v>365</v>
      </c>
      <c r="AP11" s="7006" t="s">
        <v>454</v>
      </c>
      <c r="AQ11" s="7006" t="s">
        <v>365</v>
      </c>
      <c r="AR11" s="7006" t="s">
        <v>454</v>
      </c>
      <c r="AS11" s="7006" t="s">
        <v>365</v>
      </c>
      <c r="AT11" s="7006" t="s">
        <v>454</v>
      </c>
      <c r="AU11" s="7006" t="s">
        <v>365</v>
      </c>
      <c r="AV11" s="7006" t="s">
        <v>454</v>
      </c>
      <c r="AW11" s="7006" t="s">
        <v>365</v>
      </c>
      <c r="AX11" s="7006" t="s">
        <v>454</v>
      </c>
      <c r="AY11" s="7006" t="s">
        <v>365</v>
      </c>
      <c r="AZ11" s="7006" t="s">
        <v>454</v>
      </c>
      <c r="BA11" s="7006" t="s">
        <v>365</v>
      </c>
      <c r="BB11" s="7006" t="s">
        <v>454</v>
      </c>
      <c r="BC11" s="7006" t="s">
        <v>365</v>
      </c>
      <c r="BD11" s="7006" t="s">
        <v>454</v>
      </c>
      <c r="BE11" s="7006" t="s">
        <v>365</v>
      </c>
      <c r="BF11" s="7006" t="s">
        <v>454</v>
      </c>
      <c r="BG11" s="7006" t="s">
        <v>365</v>
      </c>
      <c r="BH11" s="7006" t="s">
        <v>454</v>
      </c>
      <c r="BI11" s="7006" t="s">
        <v>365</v>
      </c>
      <c r="BJ11" s="7006" t="s">
        <v>454</v>
      </c>
      <c r="BK11" s="7006" t="s">
        <v>365</v>
      </c>
      <c r="BL11" s="7006" t="s">
        <v>454</v>
      </c>
      <c r="BM11" s="2609"/>
      <c r="BN11" s="895"/>
    </row>
    <row s="10863" customFormat="1" customHeight="1" ht="10.5">
      <c r="A12" s="1208"/>
      <c r="D12" s="1283" t="s">
        <v>109</v>
      </c>
      <c r="E12" s="1283" t="s">
        <v>110</v>
      </c>
      <c r="F12" s="1283" t="s">
        <v>90</v>
      </c>
      <c r="G12" s="1284" t="str">
        <f>G1&amp;".1"</f>
        <v>4.1</v>
      </c>
      <c r="H12" s="1284" t="str">
        <f>G1&amp;".2"</f>
        <v>4.2</v>
      </c>
      <c r="I12" s="1284" t="str">
        <f>I1&amp;".1"</f>
        <v>4.1</v>
      </c>
      <c r="J12" s="1284" t="str">
        <f>I1&amp;".2"</f>
        <v>4.2</v>
      </c>
      <c r="K12" s="7871" t="str">
        <f>K1&amp;".1"</f>
        <v>4.1</v>
      </c>
      <c r="L12" s="7871" t="str">
        <f>K1&amp;".2"</f>
        <v>4.2</v>
      </c>
      <c r="M12" s="7871" t="str">
        <f>M1&amp;".1"</f>
        <v>4.1</v>
      </c>
      <c r="N12" s="7871" t="str">
        <f>M1&amp;".2"</f>
        <v>4.2</v>
      </c>
      <c r="O12" s="7871" t="str">
        <f>O1&amp;".1"</f>
        <v>4.1</v>
      </c>
      <c r="P12" s="7871" t="str">
        <f>O1&amp;".2"</f>
        <v>4.2</v>
      </c>
      <c r="Q12" s="7871" t="str">
        <f>Q1&amp;".1"</f>
        <v>4.1</v>
      </c>
      <c r="R12" s="7871" t="str">
        <f>Q1&amp;".2"</f>
        <v>4.2</v>
      </c>
      <c r="S12" s="7871" t="str">
        <f>S1&amp;".1"</f>
        <v>4.1</v>
      </c>
      <c r="T12" s="7871" t="str">
        <f>S1&amp;".2"</f>
        <v>4.2</v>
      </c>
      <c r="U12" s="7871" t="str">
        <f>U1&amp;".1"</f>
        <v>4.1</v>
      </c>
      <c r="V12" s="7871" t="str">
        <f>U1&amp;".2"</f>
        <v>4.2</v>
      </c>
      <c r="W12" s="7871" t="str">
        <f>W1&amp;".1"</f>
        <v>4.1</v>
      </c>
      <c r="X12" s="7871" t="str">
        <f>W1&amp;".2"</f>
        <v>4.2</v>
      </c>
      <c r="Y12" s="7871" t="str">
        <f>Y1&amp;".1"</f>
        <v>4.1</v>
      </c>
      <c r="Z12" s="7871" t="str">
        <f>Y1&amp;".2"</f>
        <v>4.2</v>
      </c>
      <c r="AA12" s="7871" t="str">
        <f>AA1&amp;".1"</f>
        <v>4.1</v>
      </c>
      <c r="AB12" s="7871" t="str">
        <f>AA1&amp;".2"</f>
        <v>4.2</v>
      </c>
      <c r="AC12" s="7871" t="str">
        <f>AC1&amp;".1"</f>
        <v>4.1</v>
      </c>
      <c r="AD12" s="7871" t="str">
        <f>AC1&amp;".2"</f>
        <v>4.2</v>
      </c>
      <c r="AE12" s="7871" t="str">
        <f>AE1&amp;".1"</f>
        <v>4.1</v>
      </c>
      <c r="AF12" s="7871" t="str">
        <f>AE1&amp;".2"</f>
        <v>4.2</v>
      </c>
      <c r="AG12" s="7871" t="str">
        <f>AG1&amp;".1"</f>
        <v>4.1</v>
      </c>
      <c r="AH12" s="7871" t="str">
        <f>AG1&amp;".2"</f>
        <v>4.2</v>
      </c>
      <c r="AI12" s="7871" t="str">
        <f>AI1&amp;".1"</f>
        <v>4.1</v>
      </c>
      <c r="AJ12" s="7871" t="str">
        <f>AI1&amp;".2"</f>
        <v>4.2</v>
      </c>
      <c r="AK12" s="7871" t="str">
        <f>AK1&amp;".1"</f>
        <v>4.1</v>
      </c>
      <c r="AL12" s="7871" t="str">
        <f>AK1&amp;".2"</f>
        <v>4.2</v>
      </c>
      <c r="AM12" s="7871" t="str">
        <f>AM1&amp;".1"</f>
        <v>4.1</v>
      </c>
      <c r="AN12" s="7871" t="str">
        <f>AM1&amp;".2"</f>
        <v>4.2</v>
      </c>
      <c r="AO12" s="7871" t="str">
        <f>AO1&amp;".1"</f>
        <v>4.1</v>
      </c>
      <c r="AP12" s="7871" t="str">
        <f>AO1&amp;".2"</f>
        <v>4.2</v>
      </c>
      <c r="AQ12" s="7871" t="str">
        <f>AQ1&amp;".1"</f>
        <v>4.1</v>
      </c>
      <c r="AR12" s="7871" t="str">
        <f>AQ1&amp;".2"</f>
        <v>4.2</v>
      </c>
      <c r="AS12" s="7871" t="str">
        <f>AS1&amp;".1"</f>
        <v>4.1</v>
      </c>
      <c r="AT12" s="7871" t="str">
        <f>AS1&amp;".2"</f>
        <v>4.2</v>
      </c>
      <c r="AU12" s="7871" t="str">
        <f>AU1&amp;".1"</f>
        <v>4.1</v>
      </c>
      <c r="AV12" s="7871" t="str">
        <f>AU1&amp;".2"</f>
        <v>4.2</v>
      </c>
      <c r="AW12" s="7871" t="str">
        <f>AW1&amp;".1"</f>
        <v>4.1</v>
      </c>
      <c r="AX12" s="7871" t="str">
        <f>AW1&amp;".2"</f>
        <v>4.2</v>
      </c>
      <c r="AY12" s="7871" t="str">
        <f>AY1&amp;".1"</f>
        <v>4.1</v>
      </c>
      <c r="AZ12" s="7871" t="str">
        <f>AY1&amp;".2"</f>
        <v>4.2</v>
      </c>
      <c r="BA12" s="7871" t="str">
        <f>BA1&amp;".1"</f>
        <v>4.1</v>
      </c>
      <c r="BB12" s="7871" t="str">
        <f>BA1&amp;".2"</f>
        <v>4.2</v>
      </c>
      <c r="BC12" s="7871" t="str">
        <f>BC1&amp;".1"</f>
        <v>4.1</v>
      </c>
      <c r="BD12" s="7871" t="str">
        <f>BC1&amp;".2"</f>
        <v>4.2</v>
      </c>
      <c r="BE12" s="7871" t="str">
        <f>BE1&amp;".1"</f>
        <v>4.1</v>
      </c>
      <c r="BF12" s="7871" t="str">
        <f>BE1&amp;".2"</f>
        <v>4.2</v>
      </c>
      <c r="BG12" s="7871" t="str">
        <f>BG1&amp;".1"</f>
        <v>4.1</v>
      </c>
      <c r="BH12" s="7871" t="str">
        <f>BG1&amp;".2"</f>
        <v>4.2</v>
      </c>
      <c r="BI12" s="7871" t="str">
        <f>BI1&amp;".1"</f>
        <v>4.1</v>
      </c>
      <c r="BJ12" s="7871" t="str">
        <f>BI1&amp;".2"</f>
        <v>4.2</v>
      </c>
      <c r="BK12" s="7871" t="str">
        <f>BK1&amp;".1"</f>
        <v>4.1</v>
      </c>
      <c r="BL12" s="7871" t="str">
        <f>BK1&amp;".2"</f>
        <v>4.2</v>
      </c>
      <c r="BM12" s="1284"/>
    </row>
    <row customHeight="1" ht="22.5">
      <c r="A13" s="2602" t="s">
        <v>462</v>
      </c>
      <c r="D13" s="1209" t="s">
        <v>109</v>
      </c>
      <c r="E13" s="489" t="s">
        <v>1656</v>
      </c>
      <c r="F13" s="897" t="s">
        <v>1657</v>
      </c>
      <c r="G13" s="794"/>
      <c r="H13" s="898"/>
      <c r="I13" s="794"/>
      <c r="J13" s="898"/>
      <c r="K13" s="7466"/>
      <c r="L13" s="7876"/>
      <c r="M13" s="7466"/>
      <c r="N13" s="7876"/>
      <c r="O13" s="7466"/>
      <c r="P13" s="7876"/>
      <c r="Q13" s="7466"/>
      <c r="R13" s="7876"/>
      <c r="S13" s="7466"/>
      <c r="T13" s="7876"/>
      <c r="U13" s="7466"/>
      <c r="V13" s="7876"/>
      <c r="W13" s="7466"/>
      <c r="X13" s="7876"/>
      <c r="Y13" s="7466"/>
      <c r="Z13" s="7876"/>
      <c r="AA13" s="7466"/>
      <c r="AB13" s="7876"/>
      <c r="AC13" s="7466"/>
      <c r="AD13" s="7876"/>
      <c r="AE13" s="7466"/>
      <c r="AF13" s="7876"/>
      <c r="AG13" s="7466"/>
      <c r="AH13" s="7876"/>
      <c r="AI13" s="7466"/>
      <c r="AJ13" s="7876"/>
      <c r="AK13" s="7466"/>
      <c r="AL13" s="7876"/>
      <c r="AM13" s="7466"/>
      <c r="AN13" s="7876"/>
      <c r="AO13" s="7466"/>
      <c r="AP13" s="7876"/>
      <c r="AQ13" s="7466"/>
      <c r="AR13" s="7876"/>
      <c r="AS13" s="7466"/>
      <c r="AT13" s="7876"/>
      <c r="AU13" s="7466"/>
      <c r="AV13" s="7876"/>
      <c r="AW13" s="7466"/>
      <c r="AX13" s="7876"/>
      <c r="AY13" s="7466"/>
      <c r="AZ13" s="7876"/>
      <c r="BA13" s="7466"/>
      <c r="BB13" s="7876"/>
      <c r="BC13" s="7466"/>
      <c r="BD13" s="7876"/>
      <c r="BE13" s="7466"/>
      <c r="BF13" s="7876"/>
      <c r="BG13" s="7466"/>
      <c r="BH13" s="7876"/>
      <c r="BI13" s="7466"/>
      <c r="BJ13" s="7876"/>
      <c r="BK13" s="7466"/>
      <c r="BL13" s="7876"/>
      <c r="BM13" s="499" t="s">
        <v>1658</v>
      </c>
      <c r="BN13" s="957"/>
    </row>
    <row customHeight="1" ht="22.5">
      <c r="A14" s="2602"/>
      <c r="D14" s="776" t="s">
        <v>110</v>
      </c>
      <c r="E14" s="489" t="s">
        <v>1659</v>
      </c>
      <c r="F14" s="897" t="s">
        <v>1660</v>
      </c>
      <c r="G14" s="794"/>
      <c r="H14" s="899"/>
      <c r="I14" s="794"/>
      <c r="J14" s="899"/>
      <c r="K14" s="7466"/>
      <c r="L14" s="7876"/>
      <c r="M14" s="7466"/>
      <c r="N14" s="7876"/>
      <c r="O14" s="7466"/>
      <c r="P14" s="7876"/>
      <c r="Q14" s="7466"/>
      <c r="R14" s="7876"/>
      <c r="S14" s="7466"/>
      <c r="T14" s="7876"/>
      <c r="U14" s="7466"/>
      <c r="V14" s="7876"/>
      <c r="W14" s="7466"/>
      <c r="X14" s="7876"/>
      <c r="Y14" s="7466"/>
      <c r="Z14" s="7876"/>
      <c r="AA14" s="7466"/>
      <c r="AB14" s="7876"/>
      <c r="AC14" s="7466"/>
      <c r="AD14" s="7876"/>
      <c r="AE14" s="7466"/>
      <c r="AF14" s="7876"/>
      <c r="AG14" s="7466"/>
      <c r="AH14" s="7876"/>
      <c r="AI14" s="7466"/>
      <c r="AJ14" s="7876"/>
      <c r="AK14" s="7466"/>
      <c r="AL14" s="7876"/>
      <c r="AM14" s="7466"/>
      <c r="AN14" s="7876"/>
      <c r="AO14" s="7466"/>
      <c r="AP14" s="7876"/>
      <c r="AQ14" s="7466"/>
      <c r="AR14" s="7876"/>
      <c r="AS14" s="7466"/>
      <c r="AT14" s="7876"/>
      <c r="AU14" s="7466"/>
      <c r="AV14" s="7876"/>
      <c r="AW14" s="7466"/>
      <c r="AX14" s="7876"/>
      <c r="AY14" s="7466"/>
      <c r="AZ14" s="7876"/>
      <c r="BA14" s="7466"/>
      <c r="BB14" s="7876"/>
      <c r="BC14" s="7466"/>
      <c r="BD14" s="7876"/>
      <c r="BE14" s="7466"/>
      <c r="BF14" s="7876"/>
      <c r="BG14" s="7466"/>
      <c r="BH14" s="7876"/>
      <c r="BI14" s="7466"/>
      <c r="BJ14" s="7876"/>
      <c r="BK14" s="7466"/>
      <c r="BL14" s="7876"/>
      <c r="BM14" s="499" t="s">
        <v>1661</v>
      </c>
      <c r="BN14" s="957"/>
    </row>
    <row s="11126" customFormat="1" customHeight="1" ht="78.75">
      <c r="A15" s="2602"/>
      <c r="B15" s="748"/>
      <c r="D15" s="1209" t="s">
        <v>90</v>
      </c>
      <c r="E15" s="944" t="s">
        <v>1664</v>
      </c>
      <c r="F15" s="1206" t="s">
        <v>368</v>
      </c>
      <c r="G15" s="1206" t="s">
        <v>368</v>
      </c>
      <c r="H15" s="311"/>
      <c r="I15" s="1206" t="s">
        <v>368</v>
      </c>
      <c r="J15" s="311"/>
      <c r="K15" s="7017" t="s">
        <v>368</v>
      </c>
      <c r="L15" s="7025"/>
      <c r="M15" s="7017" t="s">
        <v>368</v>
      </c>
      <c r="N15" s="7025"/>
      <c r="O15" s="7017" t="s">
        <v>368</v>
      </c>
      <c r="P15" s="7025"/>
      <c r="Q15" s="7017" t="s">
        <v>368</v>
      </c>
      <c r="R15" s="7025"/>
      <c r="S15" s="7017" t="s">
        <v>368</v>
      </c>
      <c r="T15" s="7025"/>
      <c r="U15" s="7017" t="s">
        <v>368</v>
      </c>
      <c r="V15" s="7025"/>
      <c r="W15" s="7017" t="s">
        <v>368</v>
      </c>
      <c r="X15" s="7025"/>
      <c r="Y15" s="7017" t="s">
        <v>368</v>
      </c>
      <c r="Z15" s="7025"/>
      <c r="AA15" s="7017" t="s">
        <v>368</v>
      </c>
      <c r="AB15" s="7025"/>
      <c r="AC15" s="7017" t="s">
        <v>368</v>
      </c>
      <c r="AD15" s="7025"/>
      <c r="AE15" s="7017" t="s">
        <v>368</v>
      </c>
      <c r="AF15" s="7025"/>
      <c r="AG15" s="7017" t="s">
        <v>368</v>
      </c>
      <c r="AH15" s="7025"/>
      <c r="AI15" s="7017" t="s">
        <v>368</v>
      </c>
      <c r="AJ15" s="7025"/>
      <c r="AK15" s="7017" t="s">
        <v>368</v>
      </c>
      <c r="AL15" s="7025"/>
      <c r="AM15" s="7017" t="s">
        <v>368</v>
      </c>
      <c r="AN15" s="7025"/>
      <c r="AO15" s="7017" t="s">
        <v>368</v>
      </c>
      <c r="AP15" s="7025"/>
      <c r="AQ15" s="7017" t="s">
        <v>368</v>
      </c>
      <c r="AR15" s="7025"/>
      <c r="AS15" s="7017" t="s">
        <v>368</v>
      </c>
      <c r="AT15" s="7025"/>
      <c r="AU15" s="7017" t="s">
        <v>368</v>
      </c>
      <c r="AV15" s="7025"/>
      <c r="AW15" s="7017" t="s">
        <v>368</v>
      </c>
      <c r="AX15" s="7025"/>
      <c r="AY15" s="7017" t="s">
        <v>368</v>
      </c>
      <c r="AZ15" s="7025"/>
      <c r="BA15" s="7017" t="s">
        <v>368</v>
      </c>
      <c r="BB15" s="7025"/>
      <c r="BC15" s="7017" t="s">
        <v>368</v>
      </c>
      <c r="BD15" s="7025"/>
      <c r="BE15" s="7017" t="s">
        <v>368</v>
      </c>
      <c r="BF15" s="7025"/>
      <c r="BG15" s="7017" t="s">
        <v>368</v>
      </c>
      <c r="BH15" s="7025"/>
      <c r="BI15" s="7017" t="s">
        <v>368</v>
      </c>
      <c r="BJ15" s="7025"/>
      <c r="BK15" s="7017" t="s">
        <v>368</v>
      </c>
      <c r="BL15" s="7025"/>
      <c r="BM15" s="499" t="s">
        <v>1894</v>
      </c>
      <c r="BN15" s="957"/>
    </row>
    <row s="11126" customFormat="1" customHeight="1" ht="22.5">
      <c r="A16" s="2602"/>
      <c r="B16" s="748"/>
      <c r="D16" s="1209" t="s">
        <v>388</v>
      </c>
      <c r="E16" s="1210" t="s">
        <v>1666</v>
      </c>
      <c r="F16" s="1206" t="s">
        <v>1667</v>
      </c>
      <c r="G16" s="1060"/>
      <c r="H16" s="311"/>
      <c r="I16" s="1060"/>
      <c r="J16" s="311"/>
      <c r="K16" s="7024"/>
      <c r="L16" s="7025"/>
      <c r="M16" s="7024"/>
      <c r="N16" s="7025"/>
      <c r="O16" s="7024"/>
      <c r="P16" s="7025"/>
      <c r="Q16" s="7024"/>
      <c r="R16" s="7025"/>
      <c r="S16" s="7024"/>
      <c r="T16" s="7025"/>
      <c r="U16" s="7024"/>
      <c r="V16" s="7025"/>
      <c r="W16" s="7024"/>
      <c r="X16" s="7025"/>
      <c r="Y16" s="7024"/>
      <c r="Z16" s="7025"/>
      <c r="AA16" s="7024"/>
      <c r="AB16" s="7025"/>
      <c r="AC16" s="7024"/>
      <c r="AD16" s="7025"/>
      <c r="AE16" s="7024"/>
      <c r="AF16" s="7025"/>
      <c r="AG16" s="7024"/>
      <c r="AH16" s="7025"/>
      <c r="AI16" s="7024"/>
      <c r="AJ16" s="7025"/>
      <c r="AK16" s="7024"/>
      <c r="AL16" s="7025"/>
      <c r="AM16" s="7024"/>
      <c r="AN16" s="7025"/>
      <c r="AO16" s="7024"/>
      <c r="AP16" s="7025"/>
      <c r="AQ16" s="7024"/>
      <c r="AR16" s="7025"/>
      <c r="AS16" s="7024"/>
      <c r="AT16" s="7025"/>
      <c r="AU16" s="7024"/>
      <c r="AV16" s="7025"/>
      <c r="AW16" s="7024"/>
      <c r="AX16" s="7025"/>
      <c r="AY16" s="7024"/>
      <c r="AZ16" s="7025"/>
      <c r="BA16" s="7024"/>
      <c r="BB16" s="7025"/>
      <c r="BC16" s="7024"/>
      <c r="BD16" s="7025"/>
      <c r="BE16" s="7024"/>
      <c r="BF16" s="7025"/>
      <c r="BG16" s="7024"/>
      <c r="BH16" s="7025"/>
      <c r="BI16" s="7024"/>
      <c r="BJ16" s="7025"/>
      <c r="BK16" s="7024"/>
      <c r="BL16" s="7025"/>
      <c r="BM16" s="499"/>
      <c r="BN16" s="957"/>
    </row>
    <row s="11126" customFormat="1" customHeight="1" ht="22.5">
      <c r="A17" s="2602"/>
      <c r="B17" s="748"/>
      <c r="D17" s="1209" t="s">
        <v>396</v>
      </c>
      <c r="E17" s="1210" t="s">
        <v>1668</v>
      </c>
      <c r="F17" s="1206" t="s">
        <v>1669</v>
      </c>
      <c r="G17" s="1060"/>
      <c r="H17" s="311"/>
      <c r="I17" s="1060"/>
      <c r="J17" s="311"/>
      <c r="K17" s="7024"/>
      <c r="L17" s="7025"/>
      <c r="M17" s="7024"/>
      <c r="N17" s="7025"/>
      <c r="O17" s="7024"/>
      <c r="P17" s="7025"/>
      <c r="Q17" s="7024"/>
      <c r="R17" s="7025"/>
      <c r="S17" s="7024"/>
      <c r="T17" s="7025"/>
      <c r="U17" s="7024"/>
      <c r="V17" s="7025"/>
      <c r="W17" s="7024"/>
      <c r="X17" s="7025"/>
      <c r="Y17" s="7024"/>
      <c r="Z17" s="7025"/>
      <c r="AA17" s="7024"/>
      <c r="AB17" s="7025"/>
      <c r="AC17" s="7024"/>
      <c r="AD17" s="7025"/>
      <c r="AE17" s="7024"/>
      <c r="AF17" s="7025"/>
      <c r="AG17" s="7024"/>
      <c r="AH17" s="7025"/>
      <c r="AI17" s="7024"/>
      <c r="AJ17" s="7025"/>
      <c r="AK17" s="7024"/>
      <c r="AL17" s="7025"/>
      <c r="AM17" s="7024"/>
      <c r="AN17" s="7025"/>
      <c r="AO17" s="7024"/>
      <c r="AP17" s="7025"/>
      <c r="AQ17" s="7024"/>
      <c r="AR17" s="7025"/>
      <c r="AS17" s="7024"/>
      <c r="AT17" s="7025"/>
      <c r="AU17" s="7024"/>
      <c r="AV17" s="7025"/>
      <c r="AW17" s="7024"/>
      <c r="AX17" s="7025"/>
      <c r="AY17" s="7024"/>
      <c r="AZ17" s="7025"/>
      <c r="BA17" s="7024"/>
      <c r="BB17" s="7025"/>
      <c r="BC17" s="7024"/>
      <c r="BD17" s="7025"/>
      <c r="BE17" s="7024"/>
      <c r="BF17" s="7025"/>
      <c r="BG17" s="7024"/>
      <c r="BH17" s="7025"/>
      <c r="BI17" s="7024"/>
      <c r="BJ17" s="7025"/>
      <c r="BK17" s="7024"/>
      <c r="BL17" s="7025"/>
      <c r="BM17" s="499"/>
      <c r="BN17" s="957"/>
    </row>
    <row s="11126" customFormat="1" customHeight="1" ht="33.75">
      <c r="A18" s="2602"/>
      <c r="B18" s="748"/>
      <c r="D18" s="1209" t="s">
        <v>398</v>
      </c>
      <c r="E18" s="1210" t="s">
        <v>1671</v>
      </c>
      <c r="F18" s="1206" t="s">
        <v>1672</v>
      </c>
      <c r="G18" s="917"/>
      <c r="H18" s="311"/>
      <c r="I18" s="917"/>
      <c r="J18" s="311"/>
      <c r="K18" s="7028"/>
      <c r="L18" s="7025"/>
      <c r="M18" s="7028"/>
      <c r="N18" s="7025"/>
      <c r="O18" s="7028"/>
      <c r="P18" s="7025"/>
      <c r="Q18" s="7028"/>
      <c r="R18" s="7025"/>
      <c r="S18" s="7028"/>
      <c r="T18" s="7025"/>
      <c r="U18" s="7028"/>
      <c r="V18" s="7025"/>
      <c r="W18" s="7028"/>
      <c r="X18" s="7025"/>
      <c r="Y18" s="7028"/>
      <c r="Z18" s="7025"/>
      <c r="AA18" s="7028"/>
      <c r="AB18" s="7025"/>
      <c r="AC18" s="7028"/>
      <c r="AD18" s="7025"/>
      <c r="AE18" s="7028"/>
      <c r="AF18" s="7025"/>
      <c r="AG18" s="7028"/>
      <c r="AH18" s="7025"/>
      <c r="AI18" s="7028"/>
      <c r="AJ18" s="7025"/>
      <c r="AK18" s="7028"/>
      <c r="AL18" s="7025"/>
      <c r="AM18" s="7028"/>
      <c r="AN18" s="7025"/>
      <c r="AO18" s="7028"/>
      <c r="AP18" s="7025"/>
      <c r="AQ18" s="7028"/>
      <c r="AR18" s="7025"/>
      <c r="AS18" s="7028"/>
      <c r="AT18" s="7025"/>
      <c r="AU18" s="7028"/>
      <c r="AV18" s="7025"/>
      <c r="AW18" s="7028"/>
      <c r="AX18" s="7025"/>
      <c r="AY18" s="7028"/>
      <c r="AZ18" s="7025"/>
      <c r="BA18" s="7028"/>
      <c r="BB18" s="7025"/>
      <c r="BC18" s="7028"/>
      <c r="BD18" s="7025"/>
      <c r="BE18" s="7028"/>
      <c r="BF18" s="7025"/>
      <c r="BG18" s="7028"/>
      <c r="BH18" s="7025"/>
      <c r="BI18" s="7028"/>
      <c r="BJ18" s="7025"/>
      <c r="BK18" s="7028"/>
      <c r="BL18" s="7025"/>
      <c r="BM18" s="499"/>
      <c r="BN18" s="957"/>
    </row>
    <row customHeight="1" ht="101.25">
      <c r="A19" s="2602"/>
      <c r="D19" s="1209" t="s">
        <v>91</v>
      </c>
      <c r="E19" s="489" t="s">
        <v>1895</v>
      </c>
      <c r="F19" s="897" t="s">
        <v>1488</v>
      </c>
      <c r="G19" s="900"/>
      <c r="H19" s="899"/>
      <c r="I19" s="1211"/>
      <c r="J19" s="899"/>
      <c r="K19" s="7881"/>
      <c r="L19" s="7876"/>
      <c r="M19" s="7881"/>
      <c r="N19" s="7876"/>
      <c r="O19" s="7881"/>
      <c r="P19" s="7876"/>
      <c r="Q19" s="7881"/>
      <c r="R19" s="7876"/>
      <c r="S19" s="7881"/>
      <c r="T19" s="7876"/>
      <c r="U19" s="7881"/>
      <c r="V19" s="7876"/>
      <c r="W19" s="7881"/>
      <c r="X19" s="7876"/>
      <c r="Y19" s="7881"/>
      <c r="Z19" s="7876"/>
      <c r="AA19" s="7881"/>
      <c r="AB19" s="7876"/>
      <c r="AC19" s="7881"/>
      <c r="AD19" s="7876"/>
      <c r="AE19" s="7881"/>
      <c r="AF19" s="7876"/>
      <c r="AG19" s="7881"/>
      <c r="AH19" s="7876"/>
      <c r="AI19" s="7881"/>
      <c r="AJ19" s="7876"/>
      <c r="AK19" s="7881"/>
      <c r="AL19" s="7876"/>
      <c r="AM19" s="7881"/>
      <c r="AN19" s="7876"/>
      <c r="AO19" s="7881"/>
      <c r="AP19" s="7876"/>
      <c r="AQ19" s="7881"/>
      <c r="AR19" s="7876"/>
      <c r="AS19" s="7881"/>
      <c r="AT19" s="7876"/>
      <c r="AU19" s="7881"/>
      <c r="AV19" s="7876"/>
      <c r="AW19" s="7881"/>
      <c r="AX19" s="7876"/>
      <c r="AY19" s="7881"/>
      <c r="AZ19" s="7876"/>
      <c r="BA19" s="7881"/>
      <c r="BB19" s="7876"/>
      <c r="BC19" s="7881"/>
      <c r="BD19" s="7876"/>
      <c r="BE19" s="7881"/>
      <c r="BF19" s="7876"/>
      <c r="BG19" s="7881"/>
      <c r="BH19" s="7876"/>
      <c r="BI19" s="7881"/>
      <c r="BJ19" s="7876"/>
      <c r="BK19" s="7881"/>
      <c r="BL19" s="7876"/>
      <c r="BM19" s="499" t="s">
        <v>1896</v>
      </c>
      <c r="BN19" s="957"/>
    </row>
    <row s="11126" customFormat="1" customHeight="1" ht="18.75">
      <c r="A20" s="2602"/>
      <c r="C20" s="1212"/>
      <c r="D20" s="1209" t="s">
        <v>678</v>
      </c>
      <c r="E20" s="1210" t="s">
        <v>1897</v>
      </c>
      <c r="F20" s="1206" t="s">
        <v>368</v>
      </c>
      <c r="G20" s="1206" t="s">
        <v>368</v>
      </c>
      <c r="H20" s="1205" t="s">
        <v>368</v>
      </c>
      <c r="I20" s="1206" t="s">
        <v>368</v>
      </c>
      <c r="J20" s="1205" t="s">
        <v>368</v>
      </c>
      <c r="K20" s="7017" t="s">
        <v>368</v>
      </c>
      <c r="L20" s="7018" t="s">
        <v>368</v>
      </c>
      <c r="M20" s="7017" t="s">
        <v>368</v>
      </c>
      <c r="N20" s="7018" t="s">
        <v>368</v>
      </c>
      <c r="O20" s="7017" t="s">
        <v>368</v>
      </c>
      <c r="P20" s="7018" t="s">
        <v>368</v>
      </c>
      <c r="Q20" s="7017" t="s">
        <v>368</v>
      </c>
      <c r="R20" s="7018" t="s">
        <v>368</v>
      </c>
      <c r="S20" s="7017" t="s">
        <v>368</v>
      </c>
      <c r="T20" s="7018" t="s">
        <v>368</v>
      </c>
      <c r="U20" s="7017" t="s">
        <v>368</v>
      </c>
      <c r="V20" s="7018" t="s">
        <v>368</v>
      </c>
      <c r="W20" s="7017" t="s">
        <v>368</v>
      </c>
      <c r="X20" s="7018" t="s">
        <v>368</v>
      </c>
      <c r="Y20" s="7017" t="s">
        <v>368</v>
      </c>
      <c r="Z20" s="7018" t="s">
        <v>368</v>
      </c>
      <c r="AA20" s="7017" t="s">
        <v>368</v>
      </c>
      <c r="AB20" s="7018" t="s">
        <v>368</v>
      </c>
      <c r="AC20" s="7017" t="s">
        <v>368</v>
      </c>
      <c r="AD20" s="7018" t="s">
        <v>368</v>
      </c>
      <c r="AE20" s="7017" t="s">
        <v>368</v>
      </c>
      <c r="AF20" s="7018" t="s">
        <v>368</v>
      </c>
      <c r="AG20" s="7017" t="s">
        <v>368</v>
      </c>
      <c r="AH20" s="7018" t="s">
        <v>368</v>
      </c>
      <c r="AI20" s="7017" t="s">
        <v>368</v>
      </c>
      <c r="AJ20" s="7018" t="s">
        <v>368</v>
      </c>
      <c r="AK20" s="7017" t="s">
        <v>368</v>
      </c>
      <c r="AL20" s="7018" t="s">
        <v>368</v>
      </c>
      <c r="AM20" s="7017" t="s">
        <v>368</v>
      </c>
      <c r="AN20" s="7018" t="s">
        <v>368</v>
      </c>
      <c r="AO20" s="7017" t="s">
        <v>368</v>
      </c>
      <c r="AP20" s="7018" t="s">
        <v>368</v>
      </c>
      <c r="AQ20" s="7017" t="s">
        <v>368</v>
      </c>
      <c r="AR20" s="7018" t="s">
        <v>368</v>
      </c>
      <c r="AS20" s="7017" t="s">
        <v>368</v>
      </c>
      <c r="AT20" s="7018" t="s">
        <v>368</v>
      </c>
      <c r="AU20" s="7017" t="s">
        <v>368</v>
      </c>
      <c r="AV20" s="7018" t="s">
        <v>368</v>
      </c>
      <c r="AW20" s="7017" t="s">
        <v>368</v>
      </c>
      <c r="AX20" s="7018" t="s">
        <v>368</v>
      </c>
      <c r="AY20" s="7017" t="s">
        <v>368</v>
      </c>
      <c r="AZ20" s="7018" t="s">
        <v>368</v>
      </c>
      <c r="BA20" s="7017" t="s">
        <v>368</v>
      </c>
      <c r="BB20" s="7018" t="s">
        <v>368</v>
      </c>
      <c r="BC20" s="7017" t="s">
        <v>368</v>
      </c>
      <c r="BD20" s="7018" t="s">
        <v>368</v>
      </c>
      <c r="BE20" s="7017" t="s">
        <v>368</v>
      </c>
      <c r="BF20" s="7018" t="s">
        <v>368</v>
      </c>
      <c r="BG20" s="7017" t="s">
        <v>368</v>
      </c>
      <c r="BH20" s="7018" t="s">
        <v>368</v>
      </c>
      <c r="BI20" s="7017" t="s">
        <v>368</v>
      </c>
      <c r="BJ20" s="7018" t="s">
        <v>368</v>
      </c>
      <c r="BK20" s="7017" t="s">
        <v>368</v>
      </c>
      <c r="BL20" s="7018" t="s">
        <v>368</v>
      </c>
      <c r="BM20" s="1204"/>
      <c r="BN20" s="957"/>
      <c r="BY20" s="912"/>
    </row>
    <row s="11126" customFormat="1" customHeight="1" ht="33.75">
      <c r="A21" s="2602"/>
      <c r="C21" s="1212"/>
      <c r="D21" s="1209" t="s">
        <v>687</v>
      </c>
      <c r="E21" s="813" t="s">
        <v>1898</v>
      </c>
      <c r="F21" s="1206" t="s">
        <v>1899</v>
      </c>
      <c r="G21" s="1198"/>
      <c r="H21" s="311"/>
      <c r="I21" s="1198"/>
      <c r="J21" s="311"/>
      <c r="K21" s="7887"/>
      <c r="L21" s="7025"/>
      <c r="M21" s="7887"/>
      <c r="N21" s="7025"/>
      <c r="O21" s="7887"/>
      <c r="P21" s="7025"/>
      <c r="Q21" s="7887"/>
      <c r="R21" s="7025"/>
      <c r="S21" s="7887"/>
      <c r="T21" s="7025"/>
      <c r="U21" s="7887"/>
      <c r="V21" s="7025"/>
      <c r="W21" s="7887"/>
      <c r="X21" s="7025"/>
      <c r="Y21" s="7887"/>
      <c r="Z21" s="7025"/>
      <c r="AA21" s="7887"/>
      <c r="AB21" s="7025"/>
      <c r="AC21" s="7887"/>
      <c r="AD21" s="7025"/>
      <c r="AE21" s="7887"/>
      <c r="AF21" s="7025"/>
      <c r="AG21" s="7887"/>
      <c r="AH21" s="7025"/>
      <c r="AI21" s="7887"/>
      <c r="AJ21" s="7025"/>
      <c r="AK21" s="7887"/>
      <c r="AL21" s="7025"/>
      <c r="AM21" s="7887"/>
      <c r="AN21" s="7025"/>
      <c r="AO21" s="7887"/>
      <c r="AP21" s="7025"/>
      <c r="AQ21" s="7887"/>
      <c r="AR21" s="7025"/>
      <c r="AS21" s="7887"/>
      <c r="AT21" s="7025"/>
      <c r="AU21" s="7887"/>
      <c r="AV21" s="7025"/>
      <c r="AW21" s="7887"/>
      <c r="AX21" s="7025"/>
      <c r="AY21" s="7887"/>
      <c r="AZ21" s="7025"/>
      <c r="BA21" s="7887"/>
      <c r="BB21" s="7025"/>
      <c r="BC21" s="7887"/>
      <c r="BD21" s="7025"/>
      <c r="BE21" s="7887"/>
      <c r="BF21" s="7025"/>
      <c r="BG21" s="7887"/>
      <c r="BH21" s="7025"/>
      <c r="BI21" s="7887"/>
      <c r="BJ21" s="7025"/>
      <c r="BK21" s="7887"/>
      <c r="BL21" s="7025"/>
      <c r="BM21" s="1204"/>
      <c r="BN21" s="957"/>
      <c r="BY21" s="912"/>
    </row>
    <row s="11126" customFormat="1" customHeight="1" ht="33.75">
      <c r="A22" s="2602"/>
      <c r="C22" s="1212"/>
      <c r="D22" s="1209" t="s">
        <v>693</v>
      </c>
      <c r="E22" s="813" t="s">
        <v>1900</v>
      </c>
      <c r="F22" s="1206" t="s">
        <v>1901</v>
      </c>
      <c r="G22" s="1198"/>
      <c r="H22" s="311"/>
      <c r="I22" s="1198"/>
      <c r="J22" s="311"/>
      <c r="K22" s="7887"/>
      <c r="L22" s="7025"/>
      <c r="M22" s="7887"/>
      <c r="N22" s="7025"/>
      <c r="O22" s="7887"/>
      <c r="P22" s="7025"/>
      <c r="Q22" s="7887"/>
      <c r="R22" s="7025"/>
      <c r="S22" s="7887"/>
      <c r="T22" s="7025"/>
      <c r="U22" s="7887"/>
      <c r="V22" s="7025"/>
      <c r="W22" s="7887"/>
      <c r="X22" s="7025"/>
      <c r="Y22" s="7887"/>
      <c r="Z22" s="7025"/>
      <c r="AA22" s="7887"/>
      <c r="AB22" s="7025"/>
      <c r="AC22" s="7887"/>
      <c r="AD22" s="7025"/>
      <c r="AE22" s="7887"/>
      <c r="AF22" s="7025"/>
      <c r="AG22" s="7887"/>
      <c r="AH22" s="7025"/>
      <c r="AI22" s="7887"/>
      <c r="AJ22" s="7025"/>
      <c r="AK22" s="7887"/>
      <c r="AL22" s="7025"/>
      <c r="AM22" s="7887"/>
      <c r="AN22" s="7025"/>
      <c r="AO22" s="7887"/>
      <c r="AP22" s="7025"/>
      <c r="AQ22" s="7887"/>
      <c r="AR22" s="7025"/>
      <c r="AS22" s="7887"/>
      <c r="AT22" s="7025"/>
      <c r="AU22" s="7887"/>
      <c r="AV22" s="7025"/>
      <c r="AW22" s="7887"/>
      <c r="AX22" s="7025"/>
      <c r="AY22" s="7887"/>
      <c r="AZ22" s="7025"/>
      <c r="BA22" s="7887"/>
      <c r="BB22" s="7025"/>
      <c r="BC22" s="7887"/>
      <c r="BD22" s="7025"/>
      <c r="BE22" s="7887"/>
      <c r="BF22" s="7025"/>
      <c r="BG22" s="7887"/>
      <c r="BH22" s="7025"/>
      <c r="BI22" s="7887"/>
      <c r="BJ22" s="7025"/>
      <c r="BK22" s="7887"/>
      <c r="BL22" s="7025"/>
      <c r="BM22" s="1204"/>
      <c r="BN22" s="957"/>
      <c r="BY22" s="912"/>
    </row>
    <row s="11126" customFormat="1" customHeight="1" ht="22.5">
      <c r="A23" s="2602"/>
      <c r="C23" s="1212"/>
      <c r="D23" s="1209" t="s">
        <v>697</v>
      </c>
      <c r="E23" s="1210" t="s">
        <v>1902</v>
      </c>
      <c r="F23" s="1206" t="s">
        <v>368</v>
      </c>
      <c r="G23" s="1206" t="s">
        <v>368</v>
      </c>
      <c r="H23" s="1205" t="s">
        <v>368</v>
      </c>
      <c r="I23" s="1206" t="s">
        <v>368</v>
      </c>
      <c r="J23" s="1205" t="s">
        <v>368</v>
      </c>
      <c r="K23" s="7017" t="s">
        <v>368</v>
      </c>
      <c r="L23" s="7018" t="s">
        <v>368</v>
      </c>
      <c r="M23" s="7017" t="s">
        <v>368</v>
      </c>
      <c r="N23" s="7018" t="s">
        <v>368</v>
      </c>
      <c r="O23" s="7017" t="s">
        <v>368</v>
      </c>
      <c r="P23" s="7018" t="s">
        <v>368</v>
      </c>
      <c r="Q23" s="7017" t="s">
        <v>368</v>
      </c>
      <c r="R23" s="7018" t="s">
        <v>368</v>
      </c>
      <c r="S23" s="7017" t="s">
        <v>368</v>
      </c>
      <c r="T23" s="7018" t="s">
        <v>368</v>
      </c>
      <c r="U23" s="7017" t="s">
        <v>368</v>
      </c>
      <c r="V23" s="7018" t="s">
        <v>368</v>
      </c>
      <c r="W23" s="7017" t="s">
        <v>368</v>
      </c>
      <c r="X23" s="7018" t="s">
        <v>368</v>
      </c>
      <c r="Y23" s="7017" t="s">
        <v>368</v>
      </c>
      <c r="Z23" s="7018" t="s">
        <v>368</v>
      </c>
      <c r="AA23" s="7017" t="s">
        <v>368</v>
      </c>
      <c r="AB23" s="7018" t="s">
        <v>368</v>
      </c>
      <c r="AC23" s="7017" t="s">
        <v>368</v>
      </c>
      <c r="AD23" s="7018" t="s">
        <v>368</v>
      </c>
      <c r="AE23" s="7017" t="s">
        <v>368</v>
      </c>
      <c r="AF23" s="7018" t="s">
        <v>368</v>
      </c>
      <c r="AG23" s="7017" t="s">
        <v>368</v>
      </c>
      <c r="AH23" s="7018" t="s">
        <v>368</v>
      </c>
      <c r="AI23" s="7017" t="s">
        <v>368</v>
      </c>
      <c r="AJ23" s="7018" t="s">
        <v>368</v>
      </c>
      <c r="AK23" s="7017" t="s">
        <v>368</v>
      </c>
      <c r="AL23" s="7018" t="s">
        <v>368</v>
      </c>
      <c r="AM23" s="7017" t="s">
        <v>368</v>
      </c>
      <c r="AN23" s="7018" t="s">
        <v>368</v>
      </c>
      <c r="AO23" s="7017" t="s">
        <v>368</v>
      </c>
      <c r="AP23" s="7018" t="s">
        <v>368</v>
      </c>
      <c r="AQ23" s="7017" t="s">
        <v>368</v>
      </c>
      <c r="AR23" s="7018" t="s">
        <v>368</v>
      </c>
      <c r="AS23" s="7017" t="s">
        <v>368</v>
      </c>
      <c r="AT23" s="7018" t="s">
        <v>368</v>
      </c>
      <c r="AU23" s="7017" t="s">
        <v>368</v>
      </c>
      <c r="AV23" s="7018" t="s">
        <v>368</v>
      </c>
      <c r="AW23" s="7017" t="s">
        <v>368</v>
      </c>
      <c r="AX23" s="7018" t="s">
        <v>368</v>
      </c>
      <c r="AY23" s="7017" t="s">
        <v>368</v>
      </c>
      <c r="AZ23" s="7018" t="s">
        <v>368</v>
      </c>
      <c r="BA23" s="7017" t="s">
        <v>368</v>
      </c>
      <c r="BB23" s="7018" t="s">
        <v>368</v>
      </c>
      <c r="BC23" s="7017" t="s">
        <v>368</v>
      </c>
      <c r="BD23" s="7018" t="s">
        <v>368</v>
      </c>
      <c r="BE23" s="7017" t="s">
        <v>368</v>
      </c>
      <c r="BF23" s="7018" t="s">
        <v>368</v>
      </c>
      <c r="BG23" s="7017" t="s">
        <v>368</v>
      </c>
      <c r="BH23" s="7018" t="s">
        <v>368</v>
      </c>
      <c r="BI23" s="7017" t="s">
        <v>368</v>
      </c>
      <c r="BJ23" s="7018" t="s">
        <v>368</v>
      </c>
      <c r="BK23" s="7017" t="s">
        <v>368</v>
      </c>
      <c r="BL23" s="7018" t="s">
        <v>368</v>
      </c>
      <c r="BM23" s="1204"/>
      <c r="BN23" s="957"/>
      <c r="BY23" s="912"/>
    </row>
    <row s="11126" customFormat="1" customHeight="1" ht="22.5">
      <c r="A24" s="2602"/>
      <c r="C24" s="1212"/>
      <c r="D24" s="1209" t="s">
        <v>1903</v>
      </c>
      <c r="E24" s="813" t="s">
        <v>1904</v>
      </c>
      <c r="F24" s="1206" t="s">
        <v>1905</v>
      </c>
      <c r="G24" s="1198"/>
      <c r="H24" s="923"/>
      <c r="I24" s="1198"/>
      <c r="J24" s="923"/>
      <c r="K24" s="7887"/>
      <c r="L24" s="7051"/>
      <c r="M24" s="7887"/>
      <c r="N24" s="7051"/>
      <c r="O24" s="7887"/>
      <c r="P24" s="7051"/>
      <c r="Q24" s="7887"/>
      <c r="R24" s="7051"/>
      <c r="S24" s="7887"/>
      <c r="T24" s="7051"/>
      <c r="U24" s="7887"/>
      <c r="V24" s="7051"/>
      <c r="W24" s="7887"/>
      <c r="X24" s="7051"/>
      <c r="Y24" s="7887"/>
      <c r="Z24" s="7051"/>
      <c r="AA24" s="7887"/>
      <c r="AB24" s="7051"/>
      <c r="AC24" s="7887"/>
      <c r="AD24" s="7051"/>
      <c r="AE24" s="7887"/>
      <c r="AF24" s="7051"/>
      <c r="AG24" s="7887"/>
      <c r="AH24" s="7051"/>
      <c r="AI24" s="7887"/>
      <c r="AJ24" s="7051"/>
      <c r="AK24" s="7887"/>
      <c r="AL24" s="7051"/>
      <c r="AM24" s="7887"/>
      <c r="AN24" s="7051"/>
      <c r="AO24" s="7887"/>
      <c r="AP24" s="7051"/>
      <c r="AQ24" s="7887"/>
      <c r="AR24" s="7051"/>
      <c r="AS24" s="7887"/>
      <c r="AT24" s="7051"/>
      <c r="AU24" s="7887"/>
      <c r="AV24" s="7051"/>
      <c r="AW24" s="7887"/>
      <c r="AX24" s="7051"/>
      <c r="AY24" s="7887"/>
      <c r="AZ24" s="7051"/>
      <c r="BA24" s="7887"/>
      <c r="BB24" s="7051"/>
      <c r="BC24" s="7887"/>
      <c r="BD24" s="7051"/>
      <c r="BE24" s="7887"/>
      <c r="BF24" s="7051"/>
      <c r="BG24" s="7887"/>
      <c r="BH24" s="7051"/>
      <c r="BI24" s="7887"/>
      <c r="BJ24" s="7051"/>
      <c r="BK24" s="7887"/>
      <c r="BL24" s="7051"/>
      <c r="BM24" s="1204"/>
      <c r="BN24" s="957"/>
      <c r="BY24" s="912"/>
    </row>
    <row s="11126" customFormat="1" customHeight="1" ht="22.5">
      <c r="A25" s="2602"/>
      <c r="C25" s="1212"/>
      <c r="D25" s="1209" t="s">
        <v>1906</v>
      </c>
      <c r="E25" s="813" t="s">
        <v>1907</v>
      </c>
      <c r="F25" s="1206" t="s">
        <v>368</v>
      </c>
      <c r="G25" s="1206" t="s">
        <v>368</v>
      </c>
      <c r="H25" s="1205" t="s">
        <v>368</v>
      </c>
      <c r="I25" s="1206" t="s">
        <v>368</v>
      </c>
      <c r="J25" s="1205" t="s">
        <v>368</v>
      </c>
      <c r="K25" s="7017" t="s">
        <v>368</v>
      </c>
      <c r="L25" s="7018" t="s">
        <v>368</v>
      </c>
      <c r="M25" s="7017" t="s">
        <v>368</v>
      </c>
      <c r="N25" s="7018" t="s">
        <v>368</v>
      </c>
      <c r="O25" s="7017" t="s">
        <v>368</v>
      </c>
      <c r="P25" s="7018" t="s">
        <v>368</v>
      </c>
      <c r="Q25" s="7017" t="s">
        <v>368</v>
      </c>
      <c r="R25" s="7018" t="s">
        <v>368</v>
      </c>
      <c r="S25" s="7017" t="s">
        <v>368</v>
      </c>
      <c r="T25" s="7018" t="s">
        <v>368</v>
      </c>
      <c r="U25" s="7017" t="s">
        <v>368</v>
      </c>
      <c r="V25" s="7018" t="s">
        <v>368</v>
      </c>
      <c r="W25" s="7017" t="s">
        <v>368</v>
      </c>
      <c r="X25" s="7018" t="s">
        <v>368</v>
      </c>
      <c r="Y25" s="7017" t="s">
        <v>368</v>
      </c>
      <c r="Z25" s="7018" t="s">
        <v>368</v>
      </c>
      <c r="AA25" s="7017" t="s">
        <v>368</v>
      </c>
      <c r="AB25" s="7018" t="s">
        <v>368</v>
      </c>
      <c r="AC25" s="7017" t="s">
        <v>368</v>
      </c>
      <c r="AD25" s="7018" t="s">
        <v>368</v>
      </c>
      <c r="AE25" s="7017" t="s">
        <v>368</v>
      </c>
      <c r="AF25" s="7018" t="s">
        <v>368</v>
      </c>
      <c r="AG25" s="7017" t="s">
        <v>368</v>
      </c>
      <c r="AH25" s="7018" t="s">
        <v>368</v>
      </c>
      <c r="AI25" s="7017" t="s">
        <v>368</v>
      </c>
      <c r="AJ25" s="7018" t="s">
        <v>368</v>
      </c>
      <c r="AK25" s="7017" t="s">
        <v>368</v>
      </c>
      <c r="AL25" s="7018" t="s">
        <v>368</v>
      </c>
      <c r="AM25" s="7017" t="s">
        <v>368</v>
      </c>
      <c r="AN25" s="7018" t="s">
        <v>368</v>
      </c>
      <c r="AO25" s="7017" t="s">
        <v>368</v>
      </c>
      <c r="AP25" s="7018" t="s">
        <v>368</v>
      </c>
      <c r="AQ25" s="7017" t="s">
        <v>368</v>
      </c>
      <c r="AR25" s="7018" t="s">
        <v>368</v>
      </c>
      <c r="AS25" s="7017" t="s">
        <v>368</v>
      </c>
      <c r="AT25" s="7018" t="s">
        <v>368</v>
      </c>
      <c r="AU25" s="7017" t="s">
        <v>368</v>
      </c>
      <c r="AV25" s="7018" t="s">
        <v>368</v>
      </c>
      <c r="AW25" s="7017" t="s">
        <v>368</v>
      </c>
      <c r="AX25" s="7018" t="s">
        <v>368</v>
      </c>
      <c r="AY25" s="7017" t="s">
        <v>368</v>
      </c>
      <c r="AZ25" s="7018" t="s">
        <v>368</v>
      </c>
      <c r="BA25" s="7017" t="s">
        <v>368</v>
      </c>
      <c r="BB25" s="7018" t="s">
        <v>368</v>
      </c>
      <c r="BC25" s="7017" t="s">
        <v>368</v>
      </c>
      <c r="BD25" s="7018" t="s">
        <v>368</v>
      </c>
      <c r="BE25" s="7017" t="s">
        <v>368</v>
      </c>
      <c r="BF25" s="7018" t="s">
        <v>368</v>
      </c>
      <c r="BG25" s="7017" t="s">
        <v>368</v>
      </c>
      <c r="BH25" s="7018" t="s">
        <v>368</v>
      </c>
      <c r="BI25" s="7017" t="s">
        <v>368</v>
      </c>
      <c r="BJ25" s="7018" t="s">
        <v>368</v>
      </c>
      <c r="BK25" s="7017" t="s">
        <v>368</v>
      </c>
      <c r="BL25" s="7018" t="s">
        <v>368</v>
      </c>
      <c r="BM25" s="1204"/>
      <c r="BN25" s="957"/>
      <c r="BY25" s="912"/>
    </row>
    <row s="11126" customFormat="1" customHeight="1" ht="18.75">
      <c r="A26" s="2602"/>
      <c r="C26" s="1212"/>
      <c r="D26" s="1209" t="s">
        <v>1908</v>
      </c>
      <c r="E26" s="790" t="s">
        <v>1909</v>
      </c>
      <c r="F26" s="1206" t="s">
        <v>1910</v>
      </c>
      <c r="G26" s="917"/>
      <c r="H26" s="923"/>
      <c r="I26" s="917"/>
      <c r="J26" s="923"/>
      <c r="K26" s="7028"/>
      <c r="L26" s="7051"/>
      <c r="M26" s="7028"/>
      <c r="N26" s="7051"/>
      <c r="O26" s="7028"/>
      <c r="P26" s="7051"/>
      <c r="Q26" s="7028"/>
      <c r="R26" s="7051"/>
      <c r="S26" s="7028"/>
      <c r="T26" s="7051"/>
      <c r="U26" s="7028"/>
      <c r="V26" s="7051"/>
      <c r="W26" s="7028"/>
      <c r="X26" s="7051"/>
      <c r="Y26" s="7028"/>
      <c r="Z26" s="7051"/>
      <c r="AA26" s="7028"/>
      <c r="AB26" s="7051"/>
      <c r="AC26" s="7028"/>
      <c r="AD26" s="7051"/>
      <c r="AE26" s="7028"/>
      <c r="AF26" s="7051"/>
      <c r="AG26" s="7028"/>
      <c r="AH26" s="7051"/>
      <c r="AI26" s="7028"/>
      <c r="AJ26" s="7051"/>
      <c r="AK26" s="7028"/>
      <c r="AL26" s="7051"/>
      <c r="AM26" s="7028"/>
      <c r="AN26" s="7051"/>
      <c r="AO26" s="7028"/>
      <c r="AP26" s="7051"/>
      <c r="AQ26" s="7028"/>
      <c r="AR26" s="7051"/>
      <c r="AS26" s="7028"/>
      <c r="AT26" s="7051"/>
      <c r="AU26" s="7028"/>
      <c r="AV26" s="7051"/>
      <c r="AW26" s="7028"/>
      <c r="AX26" s="7051"/>
      <c r="AY26" s="7028"/>
      <c r="AZ26" s="7051"/>
      <c r="BA26" s="7028"/>
      <c r="BB26" s="7051"/>
      <c r="BC26" s="7028"/>
      <c r="BD26" s="7051"/>
      <c r="BE26" s="7028"/>
      <c r="BF26" s="7051"/>
      <c r="BG26" s="7028"/>
      <c r="BH26" s="7051"/>
      <c r="BI26" s="7028"/>
      <c r="BJ26" s="7051"/>
      <c r="BK26" s="7028"/>
      <c r="BL26" s="7051"/>
      <c r="BM26" s="1204"/>
      <c r="BN26" s="957"/>
      <c r="BY26" s="912"/>
    </row>
    <row s="11126" customFormat="1" customHeight="1" ht="18.75">
      <c r="A27" s="2602"/>
      <c r="C27" s="1212"/>
      <c r="D27" s="1209" t="s">
        <v>1911</v>
      </c>
      <c r="E27" s="790" t="s">
        <v>1912</v>
      </c>
      <c r="F27" s="1206" t="s">
        <v>1913</v>
      </c>
      <c r="G27" s="917"/>
      <c r="H27" s="923"/>
      <c r="I27" s="917"/>
      <c r="J27" s="923"/>
      <c r="K27" s="7028"/>
      <c r="L27" s="7051"/>
      <c r="M27" s="7028"/>
      <c r="N27" s="7051"/>
      <c r="O27" s="7028"/>
      <c r="P27" s="7051"/>
      <c r="Q27" s="7028"/>
      <c r="R27" s="7051"/>
      <c r="S27" s="7028"/>
      <c r="T27" s="7051"/>
      <c r="U27" s="7028"/>
      <c r="V27" s="7051"/>
      <c r="W27" s="7028"/>
      <c r="X27" s="7051"/>
      <c r="Y27" s="7028"/>
      <c r="Z27" s="7051"/>
      <c r="AA27" s="7028"/>
      <c r="AB27" s="7051"/>
      <c r="AC27" s="7028"/>
      <c r="AD27" s="7051"/>
      <c r="AE27" s="7028"/>
      <c r="AF27" s="7051"/>
      <c r="AG27" s="7028"/>
      <c r="AH27" s="7051"/>
      <c r="AI27" s="7028"/>
      <c r="AJ27" s="7051"/>
      <c r="AK27" s="7028"/>
      <c r="AL27" s="7051"/>
      <c r="AM27" s="7028"/>
      <c r="AN27" s="7051"/>
      <c r="AO27" s="7028"/>
      <c r="AP27" s="7051"/>
      <c r="AQ27" s="7028"/>
      <c r="AR27" s="7051"/>
      <c r="AS27" s="7028"/>
      <c r="AT27" s="7051"/>
      <c r="AU27" s="7028"/>
      <c r="AV27" s="7051"/>
      <c r="AW27" s="7028"/>
      <c r="AX27" s="7051"/>
      <c r="AY27" s="7028"/>
      <c r="AZ27" s="7051"/>
      <c r="BA27" s="7028"/>
      <c r="BB27" s="7051"/>
      <c r="BC27" s="7028"/>
      <c r="BD27" s="7051"/>
      <c r="BE27" s="7028"/>
      <c r="BF27" s="7051"/>
      <c r="BG27" s="7028"/>
      <c r="BH27" s="7051"/>
      <c r="BI27" s="7028"/>
      <c r="BJ27" s="7051"/>
      <c r="BK27" s="7028"/>
      <c r="BL27" s="7051"/>
      <c r="BM27" s="1204"/>
      <c r="BN27" s="957"/>
      <c r="BY27" s="912"/>
    </row>
    <row s="11126" customFormat="1" customHeight="1" ht="18.75">
      <c r="A28" s="2602"/>
      <c r="C28" s="1212"/>
      <c r="D28" s="1209" t="s">
        <v>1914</v>
      </c>
      <c r="E28" s="813" t="s">
        <v>1915</v>
      </c>
      <c r="F28" s="1206" t="s">
        <v>368</v>
      </c>
      <c r="G28" s="1206" t="s">
        <v>368</v>
      </c>
      <c r="H28" s="1205" t="s">
        <v>368</v>
      </c>
      <c r="I28" s="1206" t="s">
        <v>368</v>
      </c>
      <c r="J28" s="1205" t="s">
        <v>368</v>
      </c>
      <c r="K28" s="7017" t="s">
        <v>368</v>
      </c>
      <c r="L28" s="7018" t="s">
        <v>368</v>
      </c>
      <c r="M28" s="7017" t="s">
        <v>368</v>
      </c>
      <c r="N28" s="7018" t="s">
        <v>368</v>
      </c>
      <c r="O28" s="7017" t="s">
        <v>368</v>
      </c>
      <c r="P28" s="7018" t="s">
        <v>368</v>
      </c>
      <c r="Q28" s="7017" t="s">
        <v>368</v>
      </c>
      <c r="R28" s="7018" t="s">
        <v>368</v>
      </c>
      <c r="S28" s="7017" t="s">
        <v>368</v>
      </c>
      <c r="T28" s="7018" t="s">
        <v>368</v>
      </c>
      <c r="U28" s="7017" t="s">
        <v>368</v>
      </c>
      <c r="V28" s="7018" t="s">
        <v>368</v>
      </c>
      <c r="W28" s="7017" t="s">
        <v>368</v>
      </c>
      <c r="X28" s="7018" t="s">
        <v>368</v>
      </c>
      <c r="Y28" s="7017" t="s">
        <v>368</v>
      </c>
      <c r="Z28" s="7018" t="s">
        <v>368</v>
      </c>
      <c r="AA28" s="7017" t="s">
        <v>368</v>
      </c>
      <c r="AB28" s="7018" t="s">
        <v>368</v>
      </c>
      <c r="AC28" s="7017" t="s">
        <v>368</v>
      </c>
      <c r="AD28" s="7018" t="s">
        <v>368</v>
      </c>
      <c r="AE28" s="7017" t="s">
        <v>368</v>
      </c>
      <c r="AF28" s="7018" t="s">
        <v>368</v>
      </c>
      <c r="AG28" s="7017" t="s">
        <v>368</v>
      </c>
      <c r="AH28" s="7018" t="s">
        <v>368</v>
      </c>
      <c r="AI28" s="7017" t="s">
        <v>368</v>
      </c>
      <c r="AJ28" s="7018" t="s">
        <v>368</v>
      </c>
      <c r="AK28" s="7017" t="s">
        <v>368</v>
      </c>
      <c r="AL28" s="7018" t="s">
        <v>368</v>
      </c>
      <c r="AM28" s="7017" t="s">
        <v>368</v>
      </c>
      <c r="AN28" s="7018" t="s">
        <v>368</v>
      </c>
      <c r="AO28" s="7017" t="s">
        <v>368</v>
      </c>
      <c r="AP28" s="7018" t="s">
        <v>368</v>
      </c>
      <c r="AQ28" s="7017" t="s">
        <v>368</v>
      </c>
      <c r="AR28" s="7018" t="s">
        <v>368</v>
      </c>
      <c r="AS28" s="7017" t="s">
        <v>368</v>
      </c>
      <c r="AT28" s="7018" t="s">
        <v>368</v>
      </c>
      <c r="AU28" s="7017" t="s">
        <v>368</v>
      </c>
      <c r="AV28" s="7018" t="s">
        <v>368</v>
      </c>
      <c r="AW28" s="7017" t="s">
        <v>368</v>
      </c>
      <c r="AX28" s="7018" t="s">
        <v>368</v>
      </c>
      <c r="AY28" s="7017" t="s">
        <v>368</v>
      </c>
      <c r="AZ28" s="7018" t="s">
        <v>368</v>
      </c>
      <c r="BA28" s="7017" t="s">
        <v>368</v>
      </c>
      <c r="BB28" s="7018" t="s">
        <v>368</v>
      </c>
      <c r="BC28" s="7017" t="s">
        <v>368</v>
      </c>
      <c r="BD28" s="7018" t="s">
        <v>368</v>
      </c>
      <c r="BE28" s="7017" t="s">
        <v>368</v>
      </c>
      <c r="BF28" s="7018" t="s">
        <v>368</v>
      </c>
      <c r="BG28" s="7017" t="s">
        <v>368</v>
      </c>
      <c r="BH28" s="7018" t="s">
        <v>368</v>
      </c>
      <c r="BI28" s="7017" t="s">
        <v>368</v>
      </c>
      <c r="BJ28" s="7018" t="s">
        <v>368</v>
      </c>
      <c r="BK28" s="7017" t="s">
        <v>368</v>
      </c>
      <c r="BL28" s="7018" t="s">
        <v>368</v>
      </c>
      <c r="BM28" s="1204"/>
      <c r="BN28" s="957"/>
      <c r="BY28" s="912"/>
    </row>
    <row s="11126" customFormat="1" customHeight="1" ht="18.75">
      <c r="A29" s="2602"/>
      <c r="C29" s="1212"/>
      <c r="D29" s="1209" t="s">
        <v>1916</v>
      </c>
      <c r="E29" s="790" t="s">
        <v>1909</v>
      </c>
      <c r="F29" s="1206" t="s">
        <v>1917</v>
      </c>
      <c r="G29" s="917"/>
      <c r="H29" s="923"/>
      <c r="I29" s="917"/>
      <c r="J29" s="923"/>
      <c r="K29" s="7028"/>
      <c r="L29" s="7051"/>
      <c r="M29" s="7028"/>
      <c r="N29" s="7051"/>
      <c r="O29" s="7028"/>
      <c r="P29" s="7051"/>
      <c r="Q29" s="7028"/>
      <c r="R29" s="7051"/>
      <c r="S29" s="7028"/>
      <c r="T29" s="7051"/>
      <c r="U29" s="7028"/>
      <c r="V29" s="7051"/>
      <c r="W29" s="7028"/>
      <c r="X29" s="7051"/>
      <c r="Y29" s="7028"/>
      <c r="Z29" s="7051"/>
      <c r="AA29" s="7028"/>
      <c r="AB29" s="7051"/>
      <c r="AC29" s="7028"/>
      <c r="AD29" s="7051"/>
      <c r="AE29" s="7028"/>
      <c r="AF29" s="7051"/>
      <c r="AG29" s="7028"/>
      <c r="AH29" s="7051"/>
      <c r="AI29" s="7028"/>
      <c r="AJ29" s="7051"/>
      <c r="AK29" s="7028"/>
      <c r="AL29" s="7051"/>
      <c r="AM29" s="7028"/>
      <c r="AN29" s="7051"/>
      <c r="AO29" s="7028"/>
      <c r="AP29" s="7051"/>
      <c r="AQ29" s="7028"/>
      <c r="AR29" s="7051"/>
      <c r="AS29" s="7028"/>
      <c r="AT29" s="7051"/>
      <c r="AU29" s="7028"/>
      <c r="AV29" s="7051"/>
      <c r="AW29" s="7028"/>
      <c r="AX29" s="7051"/>
      <c r="AY29" s="7028"/>
      <c r="AZ29" s="7051"/>
      <c r="BA29" s="7028"/>
      <c r="BB29" s="7051"/>
      <c r="BC29" s="7028"/>
      <c r="BD29" s="7051"/>
      <c r="BE29" s="7028"/>
      <c r="BF29" s="7051"/>
      <c r="BG29" s="7028"/>
      <c r="BH29" s="7051"/>
      <c r="BI29" s="7028"/>
      <c r="BJ29" s="7051"/>
      <c r="BK29" s="7028"/>
      <c r="BL29" s="7051"/>
      <c r="BM29" s="1204"/>
      <c r="BN29" s="957"/>
      <c r="BY29" s="912"/>
    </row>
    <row s="11126" customFormat="1" customHeight="1" ht="18.75">
      <c r="A30" s="2602"/>
      <c r="C30" s="1212"/>
      <c r="D30" s="1209" t="s">
        <v>1918</v>
      </c>
      <c r="E30" s="790" t="s">
        <v>1919</v>
      </c>
      <c r="F30" s="1206" t="s">
        <v>1920</v>
      </c>
      <c r="G30" s="917"/>
      <c r="H30" s="923"/>
      <c r="I30" s="917"/>
      <c r="J30" s="923"/>
      <c r="K30" s="7028"/>
      <c r="L30" s="7051"/>
      <c r="M30" s="7028"/>
      <c r="N30" s="7051"/>
      <c r="O30" s="7028"/>
      <c r="P30" s="7051"/>
      <c r="Q30" s="7028"/>
      <c r="R30" s="7051"/>
      <c r="S30" s="7028"/>
      <c r="T30" s="7051"/>
      <c r="U30" s="7028"/>
      <c r="V30" s="7051"/>
      <c r="W30" s="7028"/>
      <c r="X30" s="7051"/>
      <c r="Y30" s="7028"/>
      <c r="Z30" s="7051"/>
      <c r="AA30" s="7028"/>
      <c r="AB30" s="7051"/>
      <c r="AC30" s="7028"/>
      <c r="AD30" s="7051"/>
      <c r="AE30" s="7028"/>
      <c r="AF30" s="7051"/>
      <c r="AG30" s="7028"/>
      <c r="AH30" s="7051"/>
      <c r="AI30" s="7028"/>
      <c r="AJ30" s="7051"/>
      <c r="AK30" s="7028"/>
      <c r="AL30" s="7051"/>
      <c r="AM30" s="7028"/>
      <c r="AN30" s="7051"/>
      <c r="AO30" s="7028"/>
      <c r="AP30" s="7051"/>
      <c r="AQ30" s="7028"/>
      <c r="AR30" s="7051"/>
      <c r="AS30" s="7028"/>
      <c r="AT30" s="7051"/>
      <c r="AU30" s="7028"/>
      <c r="AV30" s="7051"/>
      <c r="AW30" s="7028"/>
      <c r="AX30" s="7051"/>
      <c r="AY30" s="7028"/>
      <c r="AZ30" s="7051"/>
      <c r="BA30" s="7028"/>
      <c r="BB30" s="7051"/>
      <c r="BC30" s="7028"/>
      <c r="BD30" s="7051"/>
      <c r="BE30" s="7028"/>
      <c r="BF30" s="7051"/>
      <c r="BG30" s="7028"/>
      <c r="BH30" s="7051"/>
      <c r="BI30" s="7028"/>
      <c r="BJ30" s="7051"/>
      <c r="BK30" s="7028"/>
      <c r="BL30" s="7051"/>
      <c r="BM30" s="1204"/>
      <c r="BN30" s="957"/>
      <c r="BY30" s="912"/>
    </row>
    <row customHeight="1" ht="126.75">
      <c r="A31" s="2602"/>
      <c r="D31" s="1209" t="s">
        <v>111</v>
      </c>
      <c r="E31" s="489" t="s">
        <v>1921</v>
      </c>
      <c r="F31" s="897" t="s">
        <v>1674</v>
      </c>
      <c r="G31" s="794"/>
      <c r="H31" s="899"/>
      <c r="I31" s="794"/>
      <c r="J31" s="899"/>
      <c r="K31" s="7466"/>
      <c r="L31" s="7876"/>
      <c r="M31" s="7466"/>
      <c r="N31" s="7876"/>
      <c r="O31" s="7466"/>
      <c r="P31" s="7876"/>
      <c r="Q31" s="7466"/>
      <c r="R31" s="7876"/>
      <c r="S31" s="7466"/>
      <c r="T31" s="7876"/>
      <c r="U31" s="7466"/>
      <c r="V31" s="7876"/>
      <c r="W31" s="7466"/>
      <c r="X31" s="7876"/>
      <c r="Y31" s="7466"/>
      <c r="Z31" s="7876"/>
      <c r="AA31" s="7466"/>
      <c r="AB31" s="7876"/>
      <c r="AC31" s="7466"/>
      <c r="AD31" s="7876"/>
      <c r="AE31" s="7466"/>
      <c r="AF31" s="7876"/>
      <c r="AG31" s="7466"/>
      <c r="AH31" s="7876"/>
      <c r="AI31" s="7466"/>
      <c r="AJ31" s="7876"/>
      <c r="AK31" s="7466"/>
      <c r="AL31" s="7876"/>
      <c r="AM31" s="7466"/>
      <c r="AN31" s="7876"/>
      <c r="AO31" s="7466"/>
      <c r="AP31" s="7876"/>
      <c r="AQ31" s="7466"/>
      <c r="AR31" s="7876"/>
      <c r="AS31" s="7466"/>
      <c r="AT31" s="7876"/>
      <c r="AU31" s="7466"/>
      <c r="AV31" s="7876"/>
      <c r="AW31" s="7466"/>
      <c r="AX31" s="7876"/>
      <c r="AY31" s="7466"/>
      <c r="AZ31" s="7876"/>
      <c r="BA31" s="7466"/>
      <c r="BB31" s="7876"/>
      <c r="BC31" s="7466"/>
      <c r="BD31" s="7876"/>
      <c r="BE31" s="7466"/>
      <c r="BF31" s="7876"/>
      <c r="BG31" s="7466"/>
      <c r="BH31" s="7876"/>
      <c r="BI31" s="7466"/>
      <c r="BJ31" s="7876"/>
      <c r="BK31" s="7466"/>
      <c r="BL31" s="7876"/>
      <c r="BM31" s="499" t="s">
        <v>1922</v>
      </c>
      <c r="BN31" s="957"/>
    </row>
    <row customHeight="1" ht="56.25">
      <c r="A32" s="2602"/>
      <c r="D32" s="1209" t="s">
        <v>92</v>
      </c>
      <c r="E32" s="489" t="s">
        <v>1923</v>
      </c>
      <c r="F32" s="776" t="s">
        <v>1669</v>
      </c>
      <c r="G32" s="794"/>
      <c r="H32" s="899"/>
      <c r="I32" s="794"/>
      <c r="J32" s="899"/>
      <c r="K32" s="7466"/>
      <c r="L32" s="7876"/>
      <c r="M32" s="7466"/>
      <c r="N32" s="7876"/>
      <c r="O32" s="7466"/>
      <c r="P32" s="7876"/>
      <c r="Q32" s="7466"/>
      <c r="R32" s="7876"/>
      <c r="S32" s="7466"/>
      <c r="T32" s="7876"/>
      <c r="U32" s="7466"/>
      <c r="V32" s="7876"/>
      <c r="W32" s="7466"/>
      <c r="X32" s="7876"/>
      <c r="Y32" s="7466"/>
      <c r="Z32" s="7876"/>
      <c r="AA32" s="7466"/>
      <c r="AB32" s="7876"/>
      <c r="AC32" s="7466"/>
      <c r="AD32" s="7876"/>
      <c r="AE32" s="7466"/>
      <c r="AF32" s="7876"/>
      <c r="AG32" s="7466"/>
      <c r="AH32" s="7876"/>
      <c r="AI32" s="7466"/>
      <c r="AJ32" s="7876"/>
      <c r="AK32" s="7466"/>
      <c r="AL32" s="7876"/>
      <c r="AM32" s="7466"/>
      <c r="AN32" s="7876"/>
      <c r="AO32" s="7466"/>
      <c r="AP32" s="7876"/>
      <c r="AQ32" s="7466"/>
      <c r="AR32" s="7876"/>
      <c r="AS32" s="7466"/>
      <c r="AT32" s="7876"/>
      <c r="AU32" s="7466"/>
      <c r="AV32" s="7876"/>
      <c r="AW32" s="7466"/>
      <c r="AX32" s="7876"/>
      <c r="AY32" s="7466"/>
      <c r="AZ32" s="7876"/>
      <c r="BA32" s="7466"/>
      <c r="BB32" s="7876"/>
      <c r="BC32" s="7466"/>
      <c r="BD32" s="7876"/>
      <c r="BE32" s="7466"/>
      <c r="BF32" s="7876"/>
      <c r="BG32" s="7466"/>
      <c r="BH32" s="7876"/>
      <c r="BI32" s="7466"/>
      <c r="BJ32" s="7876"/>
      <c r="BK32" s="7466"/>
      <c r="BL32" s="7876"/>
      <c r="BM32" s="499" t="s">
        <v>1924</v>
      </c>
      <c r="BN32" s="957"/>
    </row>
    <row customHeight="1" ht="11.25">
      <c r="A33" s="2602"/>
      <c r="E33" s="901"/>
      <c r="F33" s="389"/>
      <c r="G33" s="389"/>
      <c r="H33" s="389"/>
      <c r="I33" s="389"/>
      <c r="J33" s="389"/>
      <c r="K33" s="7889"/>
      <c r="L33" s="7889"/>
      <c r="M33" s="7889"/>
      <c r="N33" s="7889"/>
      <c r="O33" s="7889"/>
      <c r="P33" s="7889"/>
      <c r="Q33" s="7889"/>
      <c r="R33" s="7889"/>
      <c r="S33" s="7889"/>
      <c r="T33" s="7889"/>
      <c r="U33" s="7889"/>
      <c r="V33" s="7889"/>
      <c r="W33" s="7889"/>
      <c r="X33" s="7889"/>
      <c r="Y33" s="7889"/>
      <c r="Z33" s="7889"/>
      <c r="AA33" s="7889"/>
      <c r="AB33" s="7889"/>
      <c r="AC33" s="7889"/>
      <c r="AD33" s="7889"/>
      <c r="AE33" s="7889"/>
      <c r="AF33" s="7889"/>
      <c r="AG33" s="7889"/>
      <c r="AH33" s="7889"/>
      <c r="AI33" s="7889"/>
      <c r="AJ33" s="7889"/>
      <c r="AK33" s="7889"/>
      <c r="AL33" s="7889"/>
      <c r="AM33" s="7889"/>
      <c r="AN33" s="7889"/>
      <c r="AO33" s="7889"/>
      <c r="AP33" s="7889"/>
      <c r="AQ33" s="7889"/>
      <c r="AR33" s="7889"/>
      <c r="AS33" s="7889"/>
      <c r="AT33" s="7889"/>
      <c r="AU33" s="7889"/>
      <c r="AV33" s="7889"/>
      <c r="AW33" s="7889"/>
      <c r="AX33" s="7889"/>
      <c r="AY33" s="7889"/>
      <c r="AZ33" s="7889"/>
      <c r="BA33" s="7889"/>
      <c r="BB33" s="7889"/>
      <c r="BC33" s="7889"/>
      <c r="BD33" s="7889"/>
      <c r="BE33" s="7889"/>
      <c r="BF33" s="7889"/>
      <c r="BG33" s="7889"/>
      <c r="BH33" s="7889"/>
      <c r="BI33" s="7889"/>
      <c r="BJ33" s="7889"/>
      <c r="BK33" s="7889"/>
      <c r="BL33" s="7889"/>
      <c r="BM33" s="389"/>
    </row>
    <row customHeight="1" ht="12.75">
      <c r="A34" s="2602"/>
      <c r="D34" s="266">
        <v>1</v>
      </c>
      <c r="E34" s="556" t="s">
        <v>1925</v>
      </c>
      <c r="K34" s="6985"/>
      <c r="L34" s="6985"/>
      <c r="M34" s="6985"/>
      <c r="N34" s="6985"/>
      <c r="O34" s="6985"/>
      <c r="P34" s="6985"/>
      <c r="Q34" s="6985"/>
      <c r="R34" s="6985"/>
      <c r="S34" s="6985"/>
      <c r="T34" s="6985"/>
      <c r="U34" s="6985"/>
      <c r="V34" s="6985"/>
      <c r="W34" s="6985"/>
      <c r="X34" s="6985"/>
      <c r="Y34" s="6985"/>
      <c r="Z34" s="6985"/>
      <c r="AA34" s="6985"/>
      <c r="AB34" s="6985"/>
      <c r="AC34" s="6985"/>
      <c r="AD34" s="6985"/>
      <c r="AE34" s="6985"/>
      <c r="AF34" s="6985"/>
      <c r="AG34" s="6985"/>
      <c r="AH34" s="6985"/>
      <c r="AI34" s="6985"/>
      <c r="AJ34" s="6985"/>
      <c r="AK34" s="6985"/>
      <c r="AL34" s="6985"/>
      <c r="AM34" s="6985"/>
      <c r="AN34" s="6985"/>
      <c r="AO34" s="6985"/>
      <c r="AP34" s="6985"/>
      <c r="AQ34" s="6985"/>
      <c r="AR34" s="6985"/>
      <c r="AS34" s="6985"/>
      <c r="AT34" s="6985"/>
      <c r="AU34" s="6985"/>
      <c r="AV34" s="6985"/>
      <c r="AW34" s="6985"/>
      <c r="AX34" s="6985"/>
      <c r="AY34" s="6985"/>
      <c r="AZ34" s="6985"/>
      <c r="BA34" s="6985"/>
      <c r="BB34" s="6985"/>
      <c r="BC34" s="6985"/>
      <c r="BD34" s="6985"/>
      <c r="BE34" s="6985"/>
      <c r="BF34" s="6985"/>
      <c r="BG34" s="6985"/>
      <c r="BH34" s="6985"/>
      <c r="BI34" s="6985"/>
      <c r="BJ34" s="6985"/>
      <c r="BK34" s="6985"/>
      <c r="BL34" s="6985"/>
    </row>
    <row customHeight="1" ht="11.25">
      <c r="A35" s="2602"/>
      <c r="D35" s="594"/>
      <c r="E35" s="556" t="s">
        <v>1926</v>
      </c>
      <c r="K35" s="6985"/>
      <c r="L35" s="6985"/>
      <c r="M35" s="6985"/>
      <c r="N35" s="6985"/>
      <c r="O35" s="6985"/>
      <c r="P35" s="6985"/>
      <c r="Q35" s="6985"/>
      <c r="R35" s="6985"/>
      <c r="S35" s="6985"/>
      <c r="T35" s="6985"/>
      <c r="U35" s="6985"/>
      <c r="V35" s="6985"/>
      <c r="W35" s="6985"/>
      <c r="X35" s="6985"/>
      <c r="Y35" s="6985"/>
      <c r="Z35" s="6985"/>
      <c r="AA35" s="6985"/>
      <c r="AB35" s="6985"/>
      <c r="AC35" s="6985"/>
      <c r="AD35" s="6985"/>
      <c r="AE35" s="6985"/>
      <c r="AF35" s="6985"/>
      <c r="AG35" s="6985"/>
      <c r="AH35" s="6985"/>
      <c r="AI35" s="6985"/>
      <c r="AJ35" s="6985"/>
      <c r="AK35" s="6985"/>
      <c r="AL35" s="6985"/>
      <c r="AM35" s="6985"/>
      <c r="AN35" s="6985"/>
      <c r="AO35" s="6985"/>
      <c r="AP35" s="6985"/>
      <c r="AQ35" s="6985"/>
      <c r="AR35" s="6985"/>
      <c r="AS35" s="6985"/>
      <c r="AT35" s="6985"/>
      <c r="AU35" s="6985"/>
      <c r="AV35" s="6985"/>
      <c r="AW35" s="6985"/>
      <c r="AX35" s="6985"/>
      <c r="AY35" s="6985"/>
      <c r="AZ35" s="6985"/>
      <c r="BA35" s="6985"/>
      <c r="BB35" s="6985"/>
      <c r="BC35" s="6985"/>
      <c r="BD35" s="6985"/>
      <c r="BE35" s="6985"/>
      <c r="BF35" s="6985"/>
      <c r="BG35" s="6985"/>
      <c r="BH35" s="6985"/>
      <c r="BI35" s="6985"/>
      <c r="BJ35" s="6985"/>
      <c r="BK35" s="6985"/>
      <c r="BL35" s="6985"/>
    </row>
    <row s="11126" customFormat="1" customHeight="1" ht="11.25">
      <c r="A36" s="1291"/>
      <c r="B36" s="755"/>
      <c r="D36" s="1292"/>
      <c r="E36" s="1293"/>
      <c r="K36" s="6985"/>
      <c r="L36" s="6985"/>
      <c r="M36" s="6985"/>
      <c r="N36" s="6985"/>
      <c r="O36" s="6985"/>
      <c r="P36" s="6985"/>
      <c r="Q36" s="6985"/>
      <c r="R36" s="6985"/>
      <c r="S36" s="6985"/>
      <c r="T36" s="6985"/>
      <c r="U36" s="6985"/>
      <c r="V36" s="6985"/>
      <c r="W36" s="6985"/>
      <c r="X36" s="6985"/>
      <c r="Y36" s="6985"/>
      <c r="Z36" s="6985"/>
      <c r="AA36" s="6985"/>
      <c r="AB36" s="6985"/>
      <c r="AC36" s="6985"/>
      <c r="AD36" s="6985"/>
      <c r="AE36" s="6985"/>
      <c r="AF36" s="6985"/>
      <c r="AG36" s="6985"/>
      <c r="AH36" s="6985"/>
      <c r="AI36" s="6985"/>
      <c r="AJ36" s="6985"/>
      <c r="AK36" s="6985"/>
      <c r="AL36" s="6985"/>
      <c r="AM36" s="6985"/>
      <c r="AN36" s="6985"/>
      <c r="AO36" s="6985"/>
      <c r="AP36" s="6985"/>
      <c r="AQ36" s="6985"/>
      <c r="AR36" s="6985"/>
      <c r="AS36" s="6985"/>
      <c r="AT36" s="6985"/>
      <c r="AU36" s="6985"/>
      <c r="AV36" s="6985"/>
      <c r="AW36" s="6985"/>
      <c r="AX36" s="6985"/>
      <c r="AY36" s="6985"/>
      <c r="AZ36" s="6985"/>
      <c r="BA36" s="6985"/>
      <c r="BB36" s="6985"/>
      <c r="BC36" s="6985"/>
      <c r="BD36" s="6985"/>
      <c r="BE36" s="6985"/>
      <c r="BF36" s="6985"/>
      <c r="BG36" s="6985"/>
      <c r="BH36" s="6985"/>
      <c r="BI36" s="6985"/>
      <c r="BJ36" s="6985"/>
      <c r="BK36" s="6985"/>
      <c r="BL36" s="6985"/>
    </row>
    <row s="11126" customFormat="1" customHeight="1" ht="22.5" hidden="1">
      <c r="A37" s="2602" t="s">
        <v>463</v>
      </c>
      <c r="B37" s="748"/>
      <c r="D37" s="1209">
        <v>1</v>
      </c>
      <c r="E37" s="944" t="s">
        <v>1927</v>
      </c>
      <c r="F37" s="897" t="s">
        <v>1657</v>
      </c>
      <c r="G37" s="794"/>
      <c r="H37" s="756"/>
      <c r="I37" s="794"/>
      <c r="J37" s="756"/>
      <c r="K37" s="7466"/>
      <c r="L37" s="7894"/>
      <c r="M37" s="7466"/>
      <c r="N37" s="7894"/>
      <c r="O37" s="7466"/>
      <c r="P37" s="7894"/>
      <c r="Q37" s="7466"/>
      <c r="R37" s="7894"/>
      <c r="S37" s="7466"/>
      <c r="T37" s="7894"/>
      <c r="U37" s="7466"/>
      <c r="V37" s="7894"/>
      <c r="W37" s="7466"/>
      <c r="X37" s="7894"/>
      <c r="Y37" s="7466"/>
      <c r="Z37" s="7894"/>
      <c r="AA37" s="7466"/>
      <c r="AB37" s="7894"/>
      <c r="AC37" s="7466"/>
      <c r="AD37" s="7894"/>
      <c r="AE37" s="7466"/>
      <c r="AF37" s="7894"/>
      <c r="AG37" s="7466"/>
      <c r="AH37" s="7894"/>
      <c r="AI37" s="7466"/>
      <c r="AJ37" s="7894"/>
      <c r="AK37" s="7466"/>
      <c r="AL37" s="7894"/>
      <c r="AM37" s="7466"/>
      <c r="AN37" s="7894"/>
      <c r="AO37" s="7466"/>
      <c r="AP37" s="7894"/>
      <c r="AQ37" s="7466"/>
      <c r="AR37" s="7894"/>
      <c r="AS37" s="7466"/>
      <c r="AT37" s="7894"/>
      <c r="AU37" s="7466"/>
      <c r="AV37" s="7894"/>
      <c r="AW37" s="7466"/>
      <c r="AX37" s="7894"/>
      <c r="AY37" s="7466"/>
      <c r="AZ37" s="7894"/>
      <c r="BA37" s="7466"/>
      <c r="BB37" s="7894"/>
      <c r="BC37" s="7466"/>
      <c r="BD37" s="7894"/>
      <c r="BE37" s="7466"/>
      <c r="BF37" s="7894"/>
      <c r="BG37" s="7466"/>
      <c r="BH37" s="7894"/>
      <c r="BI37" s="7466"/>
      <c r="BJ37" s="7894"/>
      <c r="BK37" s="7466"/>
      <c r="BL37" s="7894"/>
      <c r="BM37" s="499" t="s">
        <v>1928</v>
      </c>
    </row>
    <row s="11126" customFormat="1" customHeight="1" ht="22.5" hidden="1">
      <c r="A38" s="2602"/>
      <c r="B38" s="748"/>
      <c r="D38" s="906" t="s">
        <v>110</v>
      </c>
      <c r="E38" s="1290" t="s">
        <v>1929</v>
      </c>
      <c r="F38" s="1294" t="s">
        <v>1488</v>
      </c>
      <c r="G38" s="1294" t="s">
        <v>1488</v>
      </c>
      <c r="H38" s="1288"/>
      <c r="I38" s="1294" t="s">
        <v>1488</v>
      </c>
      <c r="J38" s="1288"/>
      <c r="K38" s="7899" t="s">
        <v>1488</v>
      </c>
      <c r="L38" s="7900"/>
      <c r="M38" s="7899" t="s">
        <v>1488</v>
      </c>
      <c r="N38" s="7900"/>
      <c r="O38" s="7899" t="s">
        <v>1488</v>
      </c>
      <c r="P38" s="7900"/>
      <c r="Q38" s="7899" t="s">
        <v>1488</v>
      </c>
      <c r="R38" s="7900"/>
      <c r="S38" s="7899" t="s">
        <v>1488</v>
      </c>
      <c r="T38" s="7900"/>
      <c r="U38" s="7899" t="s">
        <v>1488</v>
      </c>
      <c r="V38" s="7900"/>
      <c r="W38" s="7899" t="s">
        <v>1488</v>
      </c>
      <c r="X38" s="7900"/>
      <c r="Y38" s="7899" t="s">
        <v>1488</v>
      </c>
      <c r="Z38" s="7900"/>
      <c r="AA38" s="7899" t="s">
        <v>1488</v>
      </c>
      <c r="AB38" s="7900"/>
      <c r="AC38" s="7899" t="s">
        <v>1488</v>
      </c>
      <c r="AD38" s="7900"/>
      <c r="AE38" s="7899" t="s">
        <v>1488</v>
      </c>
      <c r="AF38" s="7900"/>
      <c r="AG38" s="7899" t="s">
        <v>1488</v>
      </c>
      <c r="AH38" s="7900"/>
      <c r="AI38" s="7899" t="s">
        <v>1488</v>
      </c>
      <c r="AJ38" s="7900"/>
      <c r="AK38" s="7899" t="s">
        <v>1488</v>
      </c>
      <c r="AL38" s="7900"/>
      <c r="AM38" s="7899" t="s">
        <v>1488</v>
      </c>
      <c r="AN38" s="7900"/>
      <c r="AO38" s="7899" t="s">
        <v>1488</v>
      </c>
      <c r="AP38" s="7900"/>
      <c r="AQ38" s="7899" t="s">
        <v>1488</v>
      </c>
      <c r="AR38" s="7900"/>
      <c r="AS38" s="7899" t="s">
        <v>1488</v>
      </c>
      <c r="AT38" s="7900"/>
      <c r="AU38" s="7899" t="s">
        <v>1488</v>
      </c>
      <c r="AV38" s="7900"/>
      <c r="AW38" s="7899" t="s">
        <v>1488</v>
      </c>
      <c r="AX38" s="7900"/>
      <c r="AY38" s="7899" t="s">
        <v>1488</v>
      </c>
      <c r="AZ38" s="7900"/>
      <c r="BA38" s="7899" t="s">
        <v>1488</v>
      </c>
      <c r="BB38" s="7900"/>
      <c r="BC38" s="7899" t="s">
        <v>1488</v>
      </c>
      <c r="BD38" s="7900"/>
      <c r="BE38" s="7899" t="s">
        <v>1488</v>
      </c>
      <c r="BF38" s="7900"/>
      <c r="BG38" s="7899" t="s">
        <v>1488</v>
      </c>
      <c r="BH38" s="7900"/>
      <c r="BI38" s="7899" t="s">
        <v>1488</v>
      </c>
      <c r="BJ38" s="7900"/>
      <c r="BK38" s="7899" t="s">
        <v>1488</v>
      </c>
      <c r="BL38" s="7900"/>
      <c r="BM38" s="1289"/>
    </row>
    <row s="11126" customFormat="1" customHeight="1" ht="33.75" hidden="1">
      <c r="A39" s="2602"/>
      <c r="B39" s="748"/>
      <c r="D39" s="902" t="s">
        <v>1513</v>
      </c>
      <c r="E39" s="961" t="s">
        <v>1930</v>
      </c>
      <c r="F39" s="897" t="s">
        <v>1931</v>
      </c>
      <c r="G39" s="905"/>
      <c r="H39" s="1281"/>
      <c r="I39" s="905"/>
      <c r="J39" s="1281"/>
      <c r="K39" s="7905"/>
      <c r="L39" s="7906"/>
      <c r="M39" s="7905"/>
      <c r="N39" s="7906"/>
      <c r="O39" s="7905"/>
      <c r="P39" s="7906"/>
      <c r="Q39" s="7905"/>
      <c r="R39" s="7906"/>
      <c r="S39" s="7905"/>
      <c r="T39" s="7906"/>
      <c r="U39" s="7905"/>
      <c r="V39" s="7906"/>
      <c r="W39" s="7905"/>
      <c r="X39" s="7906"/>
      <c r="Y39" s="7905"/>
      <c r="Z39" s="7906"/>
      <c r="AA39" s="7905"/>
      <c r="AB39" s="7906"/>
      <c r="AC39" s="7905"/>
      <c r="AD39" s="7906"/>
      <c r="AE39" s="7905"/>
      <c r="AF39" s="7906"/>
      <c r="AG39" s="7905"/>
      <c r="AH39" s="7906"/>
      <c r="AI39" s="7905"/>
      <c r="AJ39" s="7906"/>
      <c r="AK39" s="7905"/>
      <c r="AL39" s="7906"/>
      <c r="AM39" s="7905"/>
      <c r="AN39" s="7906"/>
      <c r="AO39" s="7905"/>
      <c r="AP39" s="7906"/>
      <c r="AQ39" s="7905"/>
      <c r="AR39" s="7906"/>
      <c r="AS39" s="7905"/>
      <c r="AT39" s="7906"/>
      <c r="AU39" s="7905"/>
      <c r="AV39" s="7906"/>
      <c r="AW39" s="7905"/>
      <c r="AX39" s="7906"/>
      <c r="AY39" s="7905"/>
      <c r="AZ39" s="7906"/>
      <c r="BA39" s="7905"/>
      <c r="BB39" s="7906"/>
      <c r="BC39" s="7905"/>
      <c r="BD39" s="7906"/>
      <c r="BE39" s="7905"/>
      <c r="BF39" s="7906"/>
      <c r="BG39" s="7905"/>
      <c r="BH39" s="7906"/>
      <c r="BI39" s="7905"/>
      <c r="BJ39" s="7906"/>
      <c r="BK39" s="7905"/>
      <c r="BL39" s="7906"/>
      <c r="BM39" s="499" t="s">
        <v>1932</v>
      </c>
    </row>
    <row s="11126" customFormat="1" customHeight="1" ht="33.75" hidden="1">
      <c r="A40" s="2602"/>
      <c r="B40" s="748"/>
      <c r="D40" s="902" t="s">
        <v>1843</v>
      </c>
      <c r="E40" s="961" t="s">
        <v>1933</v>
      </c>
      <c r="F40" s="1285" t="s">
        <v>1934</v>
      </c>
      <c r="G40" s="979"/>
      <c r="H40" s="1281"/>
      <c r="I40" s="979"/>
      <c r="J40" s="1281"/>
      <c r="K40" s="7909"/>
      <c r="L40" s="7906"/>
      <c r="M40" s="7909"/>
      <c r="N40" s="7906"/>
      <c r="O40" s="7909"/>
      <c r="P40" s="7906"/>
      <c r="Q40" s="7909"/>
      <c r="R40" s="7906"/>
      <c r="S40" s="7909"/>
      <c r="T40" s="7906"/>
      <c r="U40" s="7909"/>
      <c r="V40" s="7906"/>
      <c r="W40" s="7909"/>
      <c r="X40" s="7906"/>
      <c r="Y40" s="7909"/>
      <c r="Z40" s="7906"/>
      <c r="AA40" s="7909"/>
      <c r="AB40" s="7906"/>
      <c r="AC40" s="7909"/>
      <c r="AD40" s="7906"/>
      <c r="AE40" s="7909"/>
      <c r="AF40" s="7906"/>
      <c r="AG40" s="7909"/>
      <c r="AH40" s="7906"/>
      <c r="AI40" s="7909"/>
      <c r="AJ40" s="7906"/>
      <c r="AK40" s="7909"/>
      <c r="AL40" s="7906"/>
      <c r="AM40" s="7909"/>
      <c r="AN40" s="7906"/>
      <c r="AO40" s="7909"/>
      <c r="AP40" s="7906"/>
      <c r="AQ40" s="7909"/>
      <c r="AR40" s="7906"/>
      <c r="AS40" s="7909"/>
      <c r="AT40" s="7906"/>
      <c r="AU40" s="7909"/>
      <c r="AV40" s="7906"/>
      <c r="AW40" s="7909"/>
      <c r="AX40" s="7906"/>
      <c r="AY40" s="7909"/>
      <c r="AZ40" s="7906"/>
      <c r="BA40" s="7909"/>
      <c r="BB40" s="7906"/>
      <c r="BC40" s="7909"/>
      <c r="BD40" s="7906"/>
      <c r="BE40" s="7909"/>
      <c r="BF40" s="7906"/>
      <c r="BG40" s="7909"/>
      <c r="BH40" s="7906"/>
      <c r="BI40" s="7909"/>
      <c r="BJ40" s="7906"/>
      <c r="BK40" s="7909"/>
      <c r="BL40" s="7906"/>
      <c r="BM40" s="499" t="s">
        <v>1935</v>
      </c>
    </row>
    <row s="11126" customFormat="1" customHeight="1" ht="22.5" hidden="1">
      <c r="A41" s="2602"/>
      <c r="B41" s="748"/>
      <c r="D41" s="902" t="s">
        <v>90</v>
      </c>
      <c r="E41" s="960" t="s">
        <v>1936</v>
      </c>
      <c r="F41" s="897" t="s">
        <v>1488</v>
      </c>
      <c r="G41" s="897" t="s">
        <v>1488</v>
      </c>
      <c r="H41" s="1282"/>
      <c r="I41" s="897" t="s">
        <v>1488</v>
      </c>
      <c r="J41" s="1282"/>
      <c r="K41" s="7912" t="s">
        <v>1488</v>
      </c>
      <c r="L41" s="7913"/>
      <c r="M41" s="7912" t="s">
        <v>1488</v>
      </c>
      <c r="N41" s="7913"/>
      <c r="O41" s="7912" t="s">
        <v>1488</v>
      </c>
      <c r="P41" s="7913"/>
      <c r="Q41" s="7912" t="s">
        <v>1488</v>
      </c>
      <c r="R41" s="7913"/>
      <c r="S41" s="7912" t="s">
        <v>1488</v>
      </c>
      <c r="T41" s="7913"/>
      <c r="U41" s="7912" t="s">
        <v>1488</v>
      </c>
      <c r="V41" s="7913"/>
      <c r="W41" s="7912" t="s">
        <v>1488</v>
      </c>
      <c r="X41" s="7913"/>
      <c r="Y41" s="7912" t="s">
        <v>1488</v>
      </c>
      <c r="Z41" s="7913"/>
      <c r="AA41" s="7912" t="s">
        <v>1488</v>
      </c>
      <c r="AB41" s="7913"/>
      <c r="AC41" s="7912" t="s">
        <v>1488</v>
      </c>
      <c r="AD41" s="7913"/>
      <c r="AE41" s="7912" t="s">
        <v>1488</v>
      </c>
      <c r="AF41" s="7913"/>
      <c r="AG41" s="7912" t="s">
        <v>1488</v>
      </c>
      <c r="AH41" s="7913"/>
      <c r="AI41" s="7912" t="s">
        <v>1488</v>
      </c>
      <c r="AJ41" s="7913"/>
      <c r="AK41" s="7912" t="s">
        <v>1488</v>
      </c>
      <c r="AL41" s="7913"/>
      <c r="AM41" s="7912" t="s">
        <v>1488</v>
      </c>
      <c r="AN41" s="7913"/>
      <c r="AO41" s="7912" t="s">
        <v>1488</v>
      </c>
      <c r="AP41" s="7913"/>
      <c r="AQ41" s="7912" t="s">
        <v>1488</v>
      </c>
      <c r="AR41" s="7913"/>
      <c r="AS41" s="7912" t="s">
        <v>1488</v>
      </c>
      <c r="AT41" s="7913"/>
      <c r="AU41" s="7912" t="s">
        <v>1488</v>
      </c>
      <c r="AV41" s="7913"/>
      <c r="AW41" s="7912" t="s">
        <v>1488</v>
      </c>
      <c r="AX41" s="7913"/>
      <c r="AY41" s="7912" t="s">
        <v>1488</v>
      </c>
      <c r="AZ41" s="7913"/>
      <c r="BA41" s="7912" t="s">
        <v>1488</v>
      </c>
      <c r="BB41" s="7913"/>
      <c r="BC41" s="7912" t="s">
        <v>1488</v>
      </c>
      <c r="BD41" s="7913"/>
      <c r="BE41" s="7912" t="s">
        <v>1488</v>
      </c>
      <c r="BF41" s="7913"/>
      <c r="BG41" s="7912" t="s">
        <v>1488</v>
      </c>
      <c r="BH41" s="7913"/>
      <c r="BI41" s="7912" t="s">
        <v>1488</v>
      </c>
      <c r="BJ41" s="7913"/>
      <c r="BK41" s="7912" t="s">
        <v>1488</v>
      </c>
      <c r="BL41" s="7913"/>
      <c r="BM41" s="512"/>
    </row>
    <row s="11126" customFormat="1" customHeight="1" ht="45" hidden="1">
      <c r="A42" s="2602"/>
      <c r="B42" s="748"/>
      <c r="D42" s="902" t="s">
        <v>388</v>
      </c>
      <c r="E42" s="961" t="s">
        <v>1937</v>
      </c>
      <c r="F42" s="897" t="s">
        <v>1674</v>
      </c>
      <c r="G42" s="794"/>
      <c r="H42" s="1282"/>
      <c r="I42" s="794"/>
      <c r="J42" s="1282"/>
      <c r="K42" s="7466"/>
      <c r="L42" s="7913"/>
      <c r="M42" s="7466"/>
      <c r="N42" s="7913"/>
      <c r="O42" s="7466"/>
      <c r="P42" s="7913"/>
      <c r="Q42" s="7466"/>
      <c r="R42" s="7913"/>
      <c r="S42" s="7466"/>
      <c r="T42" s="7913"/>
      <c r="U42" s="7466"/>
      <c r="V42" s="7913"/>
      <c r="W42" s="7466"/>
      <c r="X42" s="7913"/>
      <c r="Y42" s="7466"/>
      <c r="Z42" s="7913"/>
      <c r="AA42" s="7466"/>
      <c r="AB42" s="7913"/>
      <c r="AC42" s="7466"/>
      <c r="AD42" s="7913"/>
      <c r="AE42" s="7466"/>
      <c r="AF42" s="7913"/>
      <c r="AG42" s="7466"/>
      <c r="AH42" s="7913"/>
      <c r="AI42" s="7466"/>
      <c r="AJ42" s="7913"/>
      <c r="AK42" s="7466"/>
      <c r="AL42" s="7913"/>
      <c r="AM42" s="7466"/>
      <c r="AN42" s="7913"/>
      <c r="AO42" s="7466"/>
      <c r="AP42" s="7913"/>
      <c r="AQ42" s="7466"/>
      <c r="AR42" s="7913"/>
      <c r="AS42" s="7466"/>
      <c r="AT42" s="7913"/>
      <c r="AU42" s="7466"/>
      <c r="AV42" s="7913"/>
      <c r="AW42" s="7466"/>
      <c r="AX42" s="7913"/>
      <c r="AY42" s="7466"/>
      <c r="AZ42" s="7913"/>
      <c r="BA42" s="7466"/>
      <c r="BB42" s="7913"/>
      <c r="BC42" s="7466"/>
      <c r="BD42" s="7913"/>
      <c r="BE42" s="7466"/>
      <c r="BF42" s="7913"/>
      <c r="BG42" s="7466"/>
      <c r="BH42" s="7913"/>
      <c r="BI42" s="7466"/>
      <c r="BJ42" s="7913"/>
      <c r="BK42" s="7466"/>
      <c r="BL42" s="7913"/>
      <c r="BM42" s="512" t="s">
        <v>1938</v>
      </c>
    </row>
    <row s="11126" customFormat="1" customHeight="1" ht="45" hidden="1">
      <c r="A43" s="2602"/>
      <c r="B43" s="748"/>
      <c r="D43" s="902" t="s">
        <v>396</v>
      </c>
      <c r="E43" s="904" t="s">
        <v>1939</v>
      </c>
      <c r="F43" s="1286" t="s">
        <v>1674</v>
      </c>
      <c r="G43" s="980"/>
      <c r="H43" s="1281"/>
      <c r="I43" s="980"/>
      <c r="J43" s="1281"/>
      <c r="K43" s="7916"/>
      <c r="L43" s="7906"/>
      <c r="M43" s="7916"/>
      <c r="N43" s="7906"/>
      <c r="O43" s="7916"/>
      <c r="P43" s="7906"/>
      <c r="Q43" s="7916"/>
      <c r="R43" s="7906"/>
      <c r="S43" s="7916"/>
      <c r="T43" s="7906"/>
      <c r="U43" s="7916"/>
      <c r="V43" s="7906"/>
      <c r="W43" s="7916"/>
      <c r="X43" s="7906"/>
      <c r="Y43" s="7916"/>
      <c r="Z43" s="7906"/>
      <c r="AA43" s="7916"/>
      <c r="AB43" s="7906"/>
      <c r="AC43" s="7916"/>
      <c r="AD43" s="7906"/>
      <c r="AE43" s="7916"/>
      <c r="AF43" s="7906"/>
      <c r="AG43" s="7916"/>
      <c r="AH43" s="7906"/>
      <c r="AI43" s="7916"/>
      <c r="AJ43" s="7906"/>
      <c r="AK43" s="7916"/>
      <c r="AL43" s="7906"/>
      <c r="AM43" s="7916"/>
      <c r="AN43" s="7906"/>
      <c r="AO43" s="7916"/>
      <c r="AP43" s="7906"/>
      <c r="AQ43" s="7916"/>
      <c r="AR43" s="7906"/>
      <c r="AS43" s="7916"/>
      <c r="AT43" s="7906"/>
      <c r="AU43" s="7916"/>
      <c r="AV43" s="7906"/>
      <c r="AW43" s="7916"/>
      <c r="AX43" s="7906"/>
      <c r="AY43" s="7916"/>
      <c r="AZ43" s="7906"/>
      <c r="BA43" s="7916"/>
      <c r="BB43" s="7906"/>
      <c r="BC43" s="7916"/>
      <c r="BD43" s="7906"/>
      <c r="BE43" s="7916"/>
      <c r="BF43" s="7906"/>
      <c r="BG43" s="7916"/>
      <c r="BH43" s="7906"/>
      <c r="BI43" s="7916"/>
      <c r="BJ43" s="7906"/>
      <c r="BK43" s="7916"/>
      <c r="BL43" s="7906"/>
      <c r="BM43" s="512" t="s">
        <v>1940</v>
      </c>
    </row>
    <row s="11126" customFormat="1" customHeight="1" ht="11.25" hidden="1">
      <c r="A44" s="2602"/>
      <c r="B44" s="748"/>
      <c r="D44" s="902" t="s">
        <v>91</v>
      </c>
      <c r="E44" s="903" t="s">
        <v>1941</v>
      </c>
      <c r="F44" s="897" t="s">
        <v>1931</v>
      </c>
      <c r="G44" s="905"/>
      <c r="H44" s="1281"/>
      <c r="I44" s="905"/>
      <c r="J44" s="1281"/>
      <c r="K44" s="7905"/>
      <c r="L44" s="7906"/>
      <c r="M44" s="7905"/>
      <c r="N44" s="7906"/>
      <c r="O44" s="7905"/>
      <c r="P44" s="7906"/>
      <c r="Q44" s="7905"/>
      <c r="R44" s="7906"/>
      <c r="S44" s="7905"/>
      <c r="T44" s="7906"/>
      <c r="U44" s="7905"/>
      <c r="V44" s="7906"/>
      <c r="W44" s="7905"/>
      <c r="X44" s="7906"/>
      <c r="Y44" s="7905"/>
      <c r="Z44" s="7906"/>
      <c r="AA44" s="7905"/>
      <c r="AB44" s="7906"/>
      <c r="AC44" s="7905"/>
      <c r="AD44" s="7906"/>
      <c r="AE44" s="7905"/>
      <c r="AF44" s="7906"/>
      <c r="AG44" s="7905"/>
      <c r="AH44" s="7906"/>
      <c r="AI44" s="7905"/>
      <c r="AJ44" s="7906"/>
      <c r="AK44" s="7905"/>
      <c r="AL44" s="7906"/>
      <c r="AM44" s="7905"/>
      <c r="AN44" s="7906"/>
      <c r="AO44" s="7905"/>
      <c r="AP44" s="7906"/>
      <c r="AQ44" s="7905"/>
      <c r="AR44" s="7906"/>
      <c r="AS44" s="7905"/>
      <c r="AT44" s="7906"/>
      <c r="AU44" s="7905"/>
      <c r="AV44" s="7906"/>
      <c r="AW44" s="7905"/>
      <c r="AX44" s="7906"/>
      <c r="AY44" s="7905"/>
      <c r="AZ44" s="7906"/>
      <c r="BA44" s="7905"/>
      <c r="BB44" s="7906"/>
      <c r="BC44" s="7905"/>
      <c r="BD44" s="7906"/>
      <c r="BE44" s="7905"/>
      <c r="BF44" s="7906"/>
      <c r="BG44" s="7905"/>
      <c r="BH44" s="7906"/>
      <c r="BI44" s="7905"/>
      <c r="BJ44" s="7906"/>
      <c r="BK44" s="7905"/>
      <c r="BL44" s="7906"/>
      <c r="BM44" s="499"/>
    </row>
    <row s="11126" customFormat="1" customHeight="1" ht="11.25" hidden="1">
      <c r="A45" s="2602"/>
      <c r="B45" s="748"/>
      <c r="D45" s="902" t="s">
        <v>678</v>
      </c>
      <c r="E45" s="904" t="s">
        <v>1942</v>
      </c>
      <c r="F45" s="897" t="s">
        <v>1931</v>
      </c>
      <c r="G45" s="905"/>
      <c r="H45" s="1281"/>
      <c r="I45" s="905"/>
      <c r="J45" s="1281"/>
      <c r="K45" s="7905"/>
      <c r="L45" s="7906"/>
      <c r="M45" s="7905"/>
      <c r="N45" s="7906"/>
      <c r="O45" s="7905"/>
      <c r="P45" s="7906"/>
      <c r="Q45" s="7905"/>
      <c r="R45" s="7906"/>
      <c r="S45" s="7905"/>
      <c r="T45" s="7906"/>
      <c r="U45" s="7905"/>
      <c r="V45" s="7906"/>
      <c r="W45" s="7905"/>
      <c r="X45" s="7906"/>
      <c r="Y45" s="7905"/>
      <c r="Z45" s="7906"/>
      <c r="AA45" s="7905"/>
      <c r="AB45" s="7906"/>
      <c r="AC45" s="7905"/>
      <c r="AD45" s="7906"/>
      <c r="AE45" s="7905"/>
      <c r="AF45" s="7906"/>
      <c r="AG45" s="7905"/>
      <c r="AH45" s="7906"/>
      <c r="AI45" s="7905"/>
      <c r="AJ45" s="7906"/>
      <c r="AK45" s="7905"/>
      <c r="AL45" s="7906"/>
      <c r="AM45" s="7905"/>
      <c r="AN45" s="7906"/>
      <c r="AO45" s="7905"/>
      <c r="AP45" s="7906"/>
      <c r="AQ45" s="7905"/>
      <c r="AR45" s="7906"/>
      <c r="AS45" s="7905"/>
      <c r="AT45" s="7906"/>
      <c r="AU45" s="7905"/>
      <c r="AV45" s="7906"/>
      <c r="AW45" s="7905"/>
      <c r="AX45" s="7906"/>
      <c r="AY45" s="7905"/>
      <c r="AZ45" s="7906"/>
      <c r="BA45" s="7905"/>
      <c r="BB45" s="7906"/>
      <c r="BC45" s="7905"/>
      <c r="BD45" s="7906"/>
      <c r="BE45" s="7905"/>
      <c r="BF45" s="7906"/>
      <c r="BG45" s="7905"/>
      <c r="BH45" s="7906"/>
      <c r="BI45" s="7905"/>
      <c r="BJ45" s="7906"/>
      <c r="BK45" s="7905"/>
      <c r="BL45" s="7906"/>
      <c r="BM45" s="499"/>
    </row>
    <row s="11126" customFormat="1" customHeight="1" ht="11.25" hidden="1">
      <c r="A46" s="2602"/>
      <c r="B46" s="748"/>
      <c r="D46" s="902" t="s">
        <v>697</v>
      </c>
      <c r="E46" s="904" t="s">
        <v>1943</v>
      </c>
      <c r="F46" s="897" t="s">
        <v>1931</v>
      </c>
      <c r="G46" s="905"/>
      <c r="H46" s="1281"/>
      <c r="I46" s="905"/>
      <c r="J46" s="1281"/>
      <c r="K46" s="7905"/>
      <c r="L46" s="7906"/>
      <c r="M46" s="7905"/>
      <c r="N46" s="7906"/>
      <c r="O46" s="7905"/>
      <c r="P46" s="7906"/>
      <c r="Q46" s="7905"/>
      <c r="R46" s="7906"/>
      <c r="S46" s="7905"/>
      <c r="T46" s="7906"/>
      <c r="U46" s="7905"/>
      <c r="V46" s="7906"/>
      <c r="W46" s="7905"/>
      <c r="X46" s="7906"/>
      <c r="Y46" s="7905"/>
      <c r="Z46" s="7906"/>
      <c r="AA46" s="7905"/>
      <c r="AB46" s="7906"/>
      <c r="AC46" s="7905"/>
      <c r="AD46" s="7906"/>
      <c r="AE46" s="7905"/>
      <c r="AF46" s="7906"/>
      <c r="AG46" s="7905"/>
      <c r="AH46" s="7906"/>
      <c r="AI46" s="7905"/>
      <c r="AJ46" s="7906"/>
      <c r="AK46" s="7905"/>
      <c r="AL46" s="7906"/>
      <c r="AM46" s="7905"/>
      <c r="AN46" s="7906"/>
      <c r="AO46" s="7905"/>
      <c r="AP46" s="7906"/>
      <c r="AQ46" s="7905"/>
      <c r="AR46" s="7906"/>
      <c r="AS46" s="7905"/>
      <c r="AT46" s="7906"/>
      <c r="AU46" s="7905"/>
      <c r="AV46" s="7906"/>
      <c r="AW46" s="7905"/>
      <c r="AX46" s="7906"/>
      <c r="AY46" s="7905"/>
      <c r="AZ46" s="7906"/>
      <c r="BA46" s="7905"/>
      <c r="BB46" s="7906"/>
      <c r="BC46" s="7905"/>
      <c r="BD46" s="7906"/>
      <c r="BE46" s="7905"/>
      <c r="BF46" s="7906"/>
      <c r="BG46" s="7905"/>
      <c r="BH46" s="7906"/>
      <c r="BI46" s="7905"/>
      <c r="BJ46" s="7906"/>
      <c r="BK46" s="7905"/>
      <c r="BL46" s="7906"/>
      <c r="BM46" s="499"/>
    </row>
    <row s="11126" customFormat="1" customHeight="1" ht="11.25" hidden="1">
      <c r="A47" s="2602"/>
      <c r="B47" s="748"/>
      <c r="D47" s="902" t="s">
        <v>1670</v>
      </c>
      <c r="E47" s="904" t="s">
        <v>1944</v>
      </c>
      <c r="F47" s="897" t="s">
        <v>1931</v>
      </c>
      <c r="G47" s="905"/>
      <c r="H47" s="1281"/>
      <c r="I47" s="905"/>
      <c r="J47" s="1281"/>
      <c r="K47" s="7905"/>
      <c r="L47" s="7906"/>
      <c r="M47" s="7905"/>
      <c r="N47" s="7906"/>
      <c r="O47" s="7905"/>
      <c r="P47" s="7906"/>
      <c r="Q47" s="7905"/>
      <c r="R47" s="7906"/>
      <c r="S47" s="7905"/>
      <c r="T47" s="7906"/>
      <c r="U47" s="7905"/>
      <c r="V47" s="7906"/>
      <c r="W47" s="7905"/>
      <c r="X47" s="7906"/>
      <c r="Y47" s="7905"/>
      <c r="Z47" s="7906"/>
      <c r="AA47" s="7905"/>
      <c r="AB47" s="7906"/>
      <c r="AC47" s="7905"/>
      <c r="AD47" s="7906"/>
      <c r="AE47" s="7905"/>
      <c r="AF47" s="7906"/>
      <c r="AG47" s="7905"/>
      <c r="AH47" s="7906"/>
      <c r="AI47" s="7905"/>
      <c r="AJ47" s="7906"/>
      <c r="AK47" s="7905"/>
      <c r="AL47" s="7906"/>
      <c r="AM47" s="7905"/>
      <c r="AN47" s="7906"/>
      <c r="AO47" s="7905"/>
      <c r="AP47" s="7906"/>
      <c r="AQ47" s="7905"/>
      <c r="AR47" s="7906"/>
      <c r="AS47" s="7905"/>
      <c r="AT47" s="7906"/>
      <c r="AU47" s="7905"/>
      <c r="AV47" s="7906"/>
      <c r="AW47" s="7905"/>
      <c r="AX47" s="7906"/>
      <c r="AY47" s="7905"/>
      <c r="AZ47" s="7906"/>
      <c r="BA47" s="7905"/>
      <c r="BB47" s="7906"/>
      <c r="BC47" s="7905"/>
      <c r="BD47" s="7906"/>
      <c r="BE47" s="7905"/>
      <c r="BF47" s="7906"/>
      <c r="BG47" s="7905"/>
      <c r="BH47" s="7906"/>
      <c r="BI47" s="7905"/>
      <c r="BJ47" s="7906"/>
      <c r="BK47" s="7905"/>
      <c r="BL47" s="7906"/>
      <c r="BM47" s="499"/>
    </row>
    <row s="11126" customFormat="1" customHeight="1" ht="11.25" hidden="1">
      <c r="A48" s="2602"/>
      <c r="B48" s="748"/>
      <c r="D48" s="902" t="s">
        <v>1945</v>
      </c>
      <c r="E48" s="908" t="s">
        <v>1946</v>
      </c>
      <c r="F48" s="897" t="s">
        <v>1931</v>
      </c>
      <c r="G48" s="905"/>
      <c r="H48" s="1281"/>
      <c r="I48" s="905"/>
      <c r="J48" s="1281"/>
      <c r="K48" s="7905"/>
      <c r="L48" s="7906"/>
      <c r="M48" s="7905"/>
      <c r="N48" s="7906"/>
      <c r="O48" s="7905"/>
      <c r="P48" s="7906"/>
      <c r="Q48" s="7905"/>
      <c r="R48" s="7906"/>
      <c r="S48" s="7905"/>
      <c r="T48" s="7906"/>
      <c r="U48" s="7905"/>
      <c r="V48" s="7906"/>
      <c r="W48" s="7905"/>
      <c r="X48" s="7906"/>
      <c r="Y48" s="7905"/>
      <c r="Z48" s="7906"/>
      <c r="AA48" s="7905"/>
      <c r="AB48" s="7906"/>
      <c r="AC48" s="7905"/>
      <c r="AD48" s="7906"/>
      <c r="AE48" s="7905"/>
      <c r="AF48" s="7906"/>
      <c r="AG48" s="7905"/>
      <c r="AH48" s="7906"/>
      <c r="AI48" s="7905"/>
      <c r="AJ48" s="7906"/>
      <c r="AK48" s="7905"/>
      <c r="AL48" s="7906"/>
      <c r="AM48" s="7905"/>
      <c r="AN48" s="7906"/>
      <c r="AO48" s="7905"/>
      <c r="AP48" s="7906"/>
      <c r="AQ48" s="7905"/>
      <c r="AR48" s="7906"/>
      <c r="AS48" s="7905"/>
      <c r="AT48" s="7906"/>
      <c r="AU48" s="7905"/>
      <c r="AV48" s="7906"/>
      <c r="AW48" s="7905"/>
      <c r="AX48" s="7906"/>
      <c r="AY48" s="7905"/>
      <c r="AZ48" s="7906"/>
      <c r="BA48" s="7905"/>
      <c r="BB48" s="7906"/>
      <c r="BC48" s="7905"/>
      <c r="BD48" s="7906"/>
      <c r="BE48" s="7905"/>
      <c r="BF48" s="7906"/>
      <c r="BG48" s="7905"/>
      <c r="BH48" s="7906"/>
      <c r="BI48" s="7905"/>
      <c r="BJ48" s="7906"/>
      <c r="BK48" s="7905"/>
      <c r="BL48" s="7906"/>
      <c r="BM48" s="499"/>
    </row>
    <row s="11126" customFormat="1" customHeight="1" ht="11.25" hidden="1">
      <c r="A49" s="2602"/>
      <c r="B49" s="748"/>
      <c r="D49" s="902" t="s">
        <v>1947</v>
      </c>
      <c r="E49" s="908" t="s">
        <v>1948</v>
      </c>
      <c r="F49" s="897" t="s">
        <v>1931</v>
      </c>
      <c r="G49" s="905"/>
      <c r="H49" s="1281"/>
      <c r="I49" s="905"/>
      <c r="J49" s="1281"/>
      <c r="K49" s="7905"/>
      <c r="L49" s="7906"/>
      <c r="M49" s="7905"/>
      <c r="N49" s="7906"/>
      <c r="O49" s="7905"/>
      <c r="P49" s="7906"/>
      <c r="Q49" s="7905"/>
      <c r="R49" s="7906"/>
      <c r="S49" s="7905"/>
      <c r="T49" s="7906"/>
      <c r="U49" s="7905"/>
      <c r="V49" s="7906"/>
      <c r="W49" s="7905"/>
      <c r="X49" s="7906"/>
      <c r="Y49" s="7905"/>
      <c r="Z49" s="7906"/>
      <c r="AA49" s="7905"/>
      <c r="AB49" s="7906"/>
      <c r="AC49" s="7905"/>
      <c r="AD49" s="7906"/>
      <c r="AE49" s="7905"/>
      <c r="AF49" s="7906"/>
      <c r="AG49" s="7905"/>
      <c r="AH49" s="7906"/>
      <c r="AI49" s="7905"/>
      <c r="AJ49" s="7906"/>
      <c r="AK49" s="7905"/>
      <c r="AL49" s="7906"/>
      <c r="AM49" s="7905"/>
      <c r="AN49" s="7906"/>
      <c r="AO49" s="7905"/>
      <c r="AP49" s="7906"/>
      <c r="AQ49" s="7905"/>
      <c r="AR49" s="7906"/>
      <c r="AS49" s="7905"/>
      <c r="AT49" s="7906"/>
      <c r="AU49" s="7905"/>
      <c r="AV49" s="7906"/>
      <c r="AW49" s="7905"/>
      <c r="AX49" s="7906"/>
      <c r="AY49" s="7905"/>
      <c r="AZ49" s="7906"/>
      <c r="BA49" s="7905"/>
      <c r="BB49" s="7906"/>
      <c r="BC49" s="7905"/>
      <c r="BD49" s="7906"/>
      <c r="BE49" s="7905"/>
      <c r="BF49" s="7906"/>
      <c r="BG49" s="7905"/>
      <c r="BH49" s="7906"/>
      <c r="BI49" s="7905"/>
      <c r="BJ49" s="7906"/>
      <c r="BK49" s="7905"/>
      <c r="BL49" s="7906"/>
      <c r="BM49" s="499"/>
    </row>
    <row s="11126" customFormat="1" customHeight="1" ht="11.25" hidden="1">
      <c r="A50" s="2602"/>
      <c r="B50" s="748"/>
      <c r="D50" s="902" t="s">
        <v>1949</v>
      </c>
      <c r="E50" s="904" t="s">
        <v>1950</v>
      </c>
      <c r="F50" s="897" t="s">
        <v>1931</v>
      </c>
      <c r="G50" s="905"/>
      <c r="H50" s="1281"/>
      <c r="I50" s="905"/>
      <c r="J50" s="1281"/>
      <c r="K50" s="7905"/>
      <c r="L50" s="7906"/>
      <c r="M50" s="7905"/>
      <c r="N50" s="7906"/>
      <c r="O50" s="7905"/>
      <c r="P50" s="7906"/>
      <c r="Q50" s="7905"/>
      <c r="R50" s="7906"/>
      <c r="S50" s="7905"/>
      <c r="T50" s="7906"/>
      <c r="U50" s="7905"/>
      <c r="V50" s="7906"/>
      <c r="W50" s="7905"/>
      <c r="X50" s="7906"/>
      <c r="Y50" s="7905"/>
      <c r="Z50" s="7906"/>
      <c r="AA50" s="7905"/>
      <c r="AB50" s="7906"/>
      <c r="AC50" s="7905"/>
      <c r="AD50" s="7906"/>
      <c r="AE50" s="7905"/>
      <c r="AF50" s="7906"/>
      <c r="AG50" s="7905"/>
      <c r="AH50" s="7906"/>
      <c r="AI50" s="7905"/>
      <c r="AJ50" s="7906"/>
      <c r="AK50" s="7905"/>
      <c r="AL50" s="7906"/>
      <c r="AM50" s="7905"/>
      <c r="AN50" s="7906"/>
      <c r="AO50" s="7905"/>
      <c r="AP50" s="7906"/>
      <c r="AQ50" s="7905"/>
      <c r="AR50" s="7906"/>
      <c r="AS50" s="7905"/>
      <c r="AT50" s="7906"/>
      <c r="AU50" s="7905"/>
      <c r="AV50" s="7906"/>
      <c r="AW50" s="7905"/>
      <c r="AX50" s="7906"/>
      <c r="AY50" s="7905"/>
      <c r="AZ50" s="7906"/>
      <c r="BA50" s="7905"/>
      <c r="BB50" s="7906"/>
      <c r="BC50" s="7905"/>
      <c r="BD50" s="7906"/>
      <c r="BE50" s="7905"/>
      <c r="BF50" s="7906"/>
      <c r="BG50" s="7905"/>
      <c r="BH50" s="7906"/>
      <c r="BI50" s="7905"/>
      <c r="BJ50" s="7906"/>
      <c r="BK50" s="7905"/>
      <c r="BL50" s="7906"/>
      <c r="BM50" s="499"/>
    </row>
    <row s="11126" customFormat="1" customHeight="1" ht="11.25" hidden="1">
      <c r="A51" s="2602"/>
      <c r="B51" s="748"/>
      <c r="D51" s="902" t="s">
        <v>1951</v>
      </c>
      <c r="E51" s="904" t="s">
        <v>1952</v>
      </c>
      <c r="F51" s="897" t="s">
        <v>1931</v>
      </c>
      <c r="G51" s="905"/>
      <c r="H51" s="1281"/>
      <c r="I51" s="905"/>
      <c r="J51" s="1281"/>
      <c r="K51" s="7905"/>
      <c r="L51" s="7906"/>
      <c r="M51" s="7905"/>
      <c r="N51" s="7906"/>
      <c r="O51" s="7905"/>
      <c r="P51" s="7906"/>
      <c r="Q51" s="7905"/>
      <c r="R51" s="7906"/>
      <c r="S51" s="7905"/>
      <c r="T51" s="7906"/>
      <c r="U51" s="7905"/>
      <c r="V51" s="7906"/>
      <c r="W51" s="7905"/>
      <c r="X51" s="7906"/>
      <c r="Y51" s="7905"/>
      <c r="Z51" s="7906"/>
      <c r="AA51" s="7905"/>
      <c r="AB51" s="7906"/>
      <c r="AC51" s="7905"/>
      <c r="AD51" s="7906"/>
      <c r="AE51" s="7905"/>
      <c r="AF51" s="7906"/>
      <c r="AG51" s="7905"/>
      <c r="AH51" s="7906"/>
      <c r="AI51" s="7905"/>
      <c r="AJ51" s="7906"/>
      <c r="AK51" s="7905"/>
      <c r="AL51" s="7906"/>
      <c r="AM51" s="7905"/>
      <c r="AN51" s="7906"/>
      <c r="AO51" s="7905"/>
      <c r="AP51" s="7906"/>
      <c r="AQ51" s="7905"/>
      <c r="AR51" s="7906"/>
      <c r="AS51" s="7905"/>
      <c r="AT51" s="7906"/>
      <c r="AU51" s="7905"/>
      <c r="AV51" s="7906"/>
      <c r="AW51" s="7905"/>
      <c r="AX51" s="7906"/>
      <c r="AY51" s="7905"/>
      <c r="AZ51" s="7906"/>
      <c r="BA51" s="7905"/>
      <c r="BB51" s="7906"/>
      <c r="BC51" s="7905"/>
      <c r="BD51" s="7906"/>
      <c r="BE51" s="7905"/>
      <c r="BF51" s="7906"/>
      <c r="BG51" s="7905"/>
      <c r="BH51" s="7906"/>
      <c r="BI51" s="7905"/>
      <c r="BJ51" s="7906"/>
      <c r="BK51" s="7905"/>
      <c r="BL51" s="7906"/>
      <c r="BM51" s="499"/>
    </row>
    <row s="11126" customFormat="1" customHeight="1" ht="45" hidden="1">
      <c r="A52" s="2602"/>
      <c r="B52" s="748"/>
      <c r="D52" s="902" t="s">
        <v>111</v>
      </c>
      <c r="E52" s="903" t="s">
        <v>1953</v>
      </c>
      <c r="F52" s="897" t="s">
        <v>1931</v>
      </c>
      <c r="G52" s="905"/>
      <c r="H52" s="1281"/>
      <c r="I52" s="905"/>
      <c r="J52" s="1281"/>
      <c r="K52" s="7905"/>
      <c r="L52" s="7906"/>
      <c r="M52" s="7905"/>
      <c r="N52" s="7906"/>
      <c r="O52" s="7905"/>
      <c r="P52" s="7906"/>
      <c r="Q52" s="7905"/>
      <c r="R52" s="7906"/>
      <c r="S52" s="7905"/>
      <c r="T52" s="7906"/>
      <c r="U52" s="7905"/>
      <c r="V52" s="7906"/>
      <c r="W52" s="7905"/>
      <c r="X52" s="7906"/>
      <c r="Y52" s="7905"/>
      <c r="Z52" s="7906"/>
      <c r="AA52" s="7905"/>
      <c r="AB52" s="7906"/>
      <c r="AC52" s="7905"/>
      <c r="AD52" s="7906"/>
      <c r="AE52" s="7905"/>
      <c r="AF52" s="7906"/>
      <c r="AG52" s="7905"/>
      <c r="AH52" s="7906"/>
      <c r="AI52" s="7905"/>
      <c r="AJ52" s="7906"/>
      <c r="AK52" s="7905"/>
      <c r="AL52" s="7906"/>
      <c r="AM52" s="7905"/>
      <c r="AN52" s="7906"/>
      <c r="AO52" s="7905"/>
      <c r="AP52" s="7906"/>
      <c r="AQ52" s="7905"/>
      <c r="AR52" s="7906"/>
      <c r="AS52" s="7905"/>
      <c r="AT52" s="7906"/>
      <c r="AU52" s="7905"/>
      <c r="AV52" s="7906"/>
      <c r="AW52" s="7905"/>
      <c r="AX52" s="7906"/>
      <c r="AY52" s="7905"/>
      <c r="AZ52" s="7906"/>
      <c r="BA52" s="7905"/>
      <c r="BB52" s="7906"/>
      <c r="BC52" s="7905"/>
      <c r="BD52" s="7906"/>
      <c r="BE52" s="7905"/>
      <c r="BF52" s="7906"/>
      <c r="BG52" s="7905"/>
      <c r="BH52" s="7906"/>
      <c r="BI52" s="7905"/>
      <c r="BJ52" s="7906"/>
      <c r="BK52" s="7905"/>
      <c r="BL52" s="7906"/>
      <c r="BM52" s="499"/>
    </row>
    <row s="11126" customFormat="1" customHeight="1" ht="11.25" hidden="1">
      <c r="A53" s="2602"/>
      <c r="B53" s="748"/>
      <c r="D53" s="902" t="s">
        <v>377</v>
      </c>
      <c r="E53" s="904" t="s">
        <v>1942</v>
      </c>
      <c r="F53" s="897" t="s">
        <v>1931</v>
      </c>
      <c r="G53" s="905"/>
      <c r="H53" s="1281"/>
      <c r="I53" s="905"/>
      <c r="J53" s="1281"/>
      <c r="K53" s="7905"/>
      <c r="L53" s="7906"/>
      <c r="M53" s="7905"/>
      <c r="N53" s="7906"/>
      <c r="O53" s="7905"/>
      <c r="P53" s="7906"/>
      <c r="Q53" s="7905"/>
      <c r="R53" s="7906"/>
      <c r="S53" s="7905"/>
      <c r="T53" s="7906"/>
      <c r="U53" s="7905"/>
      <c r="V53" s="7906"/>
      <c r="W53" s="7905"/>
      <c r="X53" s="7906"/>
      <c r="Y53" s="7905"/>
      <c r="Z53" s="7906"/>
      <c r="AA53" s="7905"/>
      <c r="AB53" s="7906"/>
      <c r="AC53" s="7905"/>
      <c r="AD53" s="7906"/>
      <c r="AE53" s="7905"/>
      <c r="AF53" s="7906"/>
      <c r="AG53" s="7905"/>
      <c r="AH53" s="7906"/>
      <c r="AI53" s="7905"/>
      <c r="AJ53" s="7906"/>
      <c r="AK53" s="7905"/>
      <c r="AL53" s="7906"/>
      <c r="AM53" s="7905"/>
      <c r="AN53" s="7906"/>
      <c r="AO53" s="7905"/>
      <c r="AP53" s="7906"/>
      <c r="AQ53" s="7905"/>
      <c r="AR53" s="7906"/>
      <c r="AS53" s="7905"/>
      <c r="AT53" s="7906"/>
      <c r="AU53" s="7905"/>
      <c r="AV53" s="7906"/>
      <c r="AW53" s="7905"/>
      <c r="AX53" s="7906"/>
      <c r="AY53" s="7905"/>
      <c r="AZ53" s="7906"/>
      <c r="BA53" s="7905"/>
      <c r="BB53" s="7906"/>
      <c r="BC53" s="7905"/>
      <c r="BD53" s="7906"/>
      <c r="BE53" s="7905"/>
      <c r="BF53" s="7906"/>
      <c r="BG53" s="7905"/>
      <c r="BH53" s="7906"/>
      <c r="BI53" s="7905"/>
      <c r="BJ53" s="7906"/>
      <c r="BK53" s="7905"/>
      <c r="BL53" s="7906"/>
      <c r="BM53" s="499"/>
    </row>
    <row s="11126" customFormat="1" customHeight="1" ht="11.25" hidden="1">
      <c r="A54" s="2602"/>
      <c r="B54" s="748"/>
      <c r="D54" s="902" t="s">
        <v>379</v>
      </c>
      <c r="E54" s="904" t="s">
        <v>1943</v>
      </c>
      <c r="F54" s="897" t="s">
        <v>1931</v>
      </c>
      <c r="G54" s="905"/>
      <c r="H54" s="1281"/>
      <c r="I54" s="905"/>
      <c r="J54" s="1281"/>
      <c r="K54" s="7905"/>
      <c r="L54" s="7906"/>
      <c r="M54" s="7905"/>
      <c r="N54" s="7906"/>
      <c r="O54" s="7905"/>
      <c r="P54" s="7906"/>
      <c r="Q54" s="7905"/>
      <c r="R54" s="7906"/>
      <c r="S54" s="7905"/>
      <c r="T54" s="7906"/>
      <c r="U54" s="7905"/>
      <c r="V54" s="7906"/>
      <c r="W54" s="7905"/>
      <c r="X54" s="7906"/>
      <c r="Y54" s="7905"/>
      <c r="Z54" s="7906"/>
      <c r="AA54" s="7905"/>
      <c r="AB54" s="7906"/>
      <c r="AC54" s="7905"/>
      <c r="AD54" s="7906"/>
      <c r="AE54" s="7905"/>
      <c r="AF54" s="7906"/>
      <c r="AG54" s="7905"/>
      <c r="AH54" s="7906"/>
      <c r="AI54" s="7905"/>
      <c r="AJ54" s="7906"/>
      <c r="AK54" s="7905"/>
      <c r="AL54" s="7906"/>
      <c r="AM54" s="7905"/>
      <c r="AN54" s="7906"/>
      <c r="AO54" s="7905"/>
      <c r="AP54" s="7906"/>
      <c r="AQ54" s="7905"/>
      <c r="AR54" s="7906"/>
      <c r="AS54" s="7905"/>
      <c r="AT54" s="7906"/>
      <c r="AU54" s="7905"/>
      <c r="AV54" s="7906"/>
      <c r="AW54" s="7905"/>
      <c r="AX54" s="7906"/>
      <c r="AY54" s="7905"/>
      <c r="AZ54" s="7906"/>
      <c r="BA54" s="7905"/>
      <c r="BB54" s="7906"/>
      <c r="BC54" s="7905"/>
      <c r="BD54" s="7906"/>
      <c r="BE54" s="7905"/>
      <c r="BF54" s="7906"/>
      <c r="BG54" s="7905"/>
      <c r="BH54" s="7906"/>
      <c r="BI54" s="7905"/>
      <c r="BJ54" s="7906"/>
      <c r="BK54" s="7905"/>
      <c r="BL54" s="7906"/>
      <c r="BM54" s="499"/>
    </row>
    <row s="11126" customFormat="1" customHeight="1" ht="11.25" hidden="1">
      <c r="A55" s="2602"/>
      <c r="B55" s="748"/>
      <c r="D55" s="902" t="s">
        <v>382</v>
      </c>
      <c r="E55" s="904" t="s">
        <v>1944</v>
      </c>
      <c r="F55" s="897" t="s">
        <v>1931</v>
      </c>
      <c r="G55" s="905"/>
      <c r="H55" s="1281"/>
      <c r="I55" s="905"/>
      <c r="J55" s="1281"/>
      <c r="K55" s="7905"/>
      <c r="L55" s="7906"/>
      <c r="M55" s="7905"/>
      <c r="N55" s="7906"/>
      <c r="O55" s="7905"/>
      <c r="P55" s="7906"/>
      <c r="Q55" s="7905"/>
      <c r="R55" s="7906"/>
      <c r="S55" s="7905"/>
      <c r="T55" s="7906"/>
      <c r="U55" s="7905"/>
      <c r="V55" s="7906"/>
      <c r="W55" s="7905"/>
      <c r="X55" s="7906"/>
      <c r="Y55" s="7905"/>
      <c r="Z55" s="7906"/>
      <c r="AA55" s="7905"/>
      <c r="AB55" s="7906"/>
      <c r="AC55" s="7905"/>
      <c r="AD55" s="7906"/>
      <c r="AE55" s="7905"/>
      <c r="AF55" s="7906"/>
      <c r="AG55" s="7905"/>
      <c r="AH55" s="7906"/>
      <c r="AI55" s="7905"/>
      <c r="AJ55" s="7906"/>
      <c r="AK55" s="7905"/>
      <c r="AL55" s="7906"/>
      <c r="AM55" s="7905"/>
      <c r="AN55" s="7906"/>
      <c r="AO55" s="7905"/>
      <c r="AP55" s="7906"/>
      <c r="AQ55" s="7905"/>
      <c r="AR55" s="7906"/>
      <c r="AS55" s="7905"/>
      <c r="AT55" s="7906"/>
      <c r="AU55" s="7905"/>
      <c r="AV55" s="7906"/>
      <c r="AW55" s="7905"/>
      <c r="AX55" s="7906"/>
      <c r="AY55" s="7905"/>
      <c r="AZ55" s="7906"/>
      <c r="BA55" s="7905"/>
      <c r="BB55" s="7906"/>
      <c r="BC55" s="7905"/>
      <c r="BD55" s="7906"/>
      <c r="BE55" s="7905"/>
      <c r="BF55" s="7906"/>
      <c r="BG55" s="7905"/>
      <c r="BH55" s="7906"/>
      <c r="BI55" s="7905"/>
      <c r="BJ55" s="7906"/>
      <c r="BK55" s="7905"/>
      <c r="BL55" s="7906"/>
      <c r="BM55" s="499"/>
    </row>
    <row s="11126" customFormat="1" customHeight="1" ht="11.25" hidden="1">
      <c r="A56" s="2602"/>
      <c r="B56" s="748"/>
      <c r="D56" s="902" t="s">
        <v>1650</v>
      </c>
      <c r="E56" s="908" t="s">
        <v>1946</v>
      </c>
      <c r="F56" s="897" t="s">
        <v>1931</v>
      </c>
      <c r="G56" s="905"/>
      <c r="H56" s="1281"/>
      <c r="I56" s="905"/>
      <c r="J56" s="1281"/>
      <c r="K56" s="7905"/>
      <c r="L56" s="7906"/>
      <c r="M56" s="7905"/>
      <c r="N56" s="7906"/>
      <c r="O56" s="7905"/>
      <c r="P56" s="7906"/>
      <c r="Q56" s="7905"/>
      <c r="R56" s="7906"/>
      <c r="S56" s="7905"/>
      <c r="T56" s="7906"/>
      <c r="U56" s="7905"/>
      <c r="V56" s="7906"/>
      <c r="W56" s="7905"/>
      <c r="X56" s="7906"/>
      <c r="Y56" s="7905"/>
      <c r="Z56" s="7906"/>
      <c r="AA56" s="7905"/>
      <c r="AB56" s="7906"/>
      <c r="AC56" s="7905"/>
      <c r="AD56" s="7906"/>
      <c r="AE56" s="7905"/>
      <c r="AF56" s="7906"/>
      <c r="AG56" s="7905"/>
      <c r="AH56" s="7906"/>
      <c r="AI56" s="7905"/>
      <c r="AJ56" s="7906"/>
      <c r="AK56" s="7905"/>
      <c r="AL56" s="7906"/>
      <c r="AM56" s="7905"/>
      <c r="AN56" s="7906"/>
      <c r="AO56" s="7905"/>
      <c r="AP56" s="7906"/>
      <c r="AQ56" s="7905"/>
      <c r="AR56" s="7906"/>
      <c r="AS56" s="7905"/>
      <c r="AT56" s="7906"/>
      <c r="AU56" s="7905"/>
      <c r="AV56" s="7906"/>
      <c r="AW56" s="7905"/>
      <c r="AX56" s="7906"/>
      <c r="AY56" s="7905"/>
      <c r="AZ56" s="7906"/>
      <c r="BA56" s="7905"/>
      <c r="BB56" s="7906"/>
      <c r="BC56" s="7905"/>
      <c r="BD56" s="7906"/>
      <c r="BE56" s="7905"/>
      <c r="BF56" s="7906"/>
      <c r="BG56" s="7905"/>
      <c r="BH56" s="7906"/>
      <c r="BI56" s="7905"/>
      <c r="BJ56" s="7906"/>
      <c r="BK56" s="7905"/>
      <c r="BL56" s="7906"/>
      <c r="BM56" s="499"/>
    </row>
    <row s="11126" customFormat="1" customHeight="1" ht="11.25" hidden="1">
      <c r="A57" s="2602"/>
      <c r="B57" s="748"/>
      <c r="D57" s="902" t="s">
        <v>1954</v>
      </c>
      <c r="E57" s="908" t="s">
        <v>1948</v>
      </c>
      <c r="F57" s="897" t="s">
        <v>1931</v>
      </c>
      <c r="G57" s="905"/>
      <c r="H57" s="1281"/>
      <c r="I57" s="905"/>
      <c r="J57" s="1281"/>
      <c r="K57" s="7905"/>
      <c r="L57" s="7906"/>
      <c r="M57" s="7905"/>
      <c r="N57" s="7906"/>
      <c r="O57" s="7905"/>
      <c r="P57" s="7906"/>
      <c r="Q57" s="7905"/>
      <c r="R57" s="7906"/>
      <c r="S57" s="7905"/>
      <c r="T57" s="7906"/>
      <c r="U57" s="7905"/>
      <c r="V57" s="7906"/>
      <c r="W57" s="7905"/>
      <c r="X57" s="7906"/>
      <c r="Y57" s="7905"/>
      <c r="Z57" s="7906"/>
      <c r="AA57" s="7905"/>
      <c r="AB57" s="7906"/>
      <c r="AC57" s="7905"/>
      <c r="AD57" s="7906"/>
      <c r="AE57" s="7905"/>
      <c r="AF57" s="7906"/>
      <c r="AG57" s="7905"/>
      <c r="AH57" s="7906"/>
      <c r="AI57" s="7905"/>
      <c r="AJ57" s="7906"/>
      <c r="AK57" s="7905"/>
      <c r="AL57" s="7906"/>
      <c r="AM57" s="7905"/>
      <c r="AN57" s="7906"/>
      <c r="AO57" s="7905"/>
      <c r="AP57" s="7906"/>
      <c r="AQ57" s="7905"/>
      <c r="AR57" s="7906"/>
      <c r="AS57" s="7905"/>
      <c r="AT57" s="7906"/>
      <c r="AU57" s="7905"/>
      <c r="AV57" s="7906"/>
      <c r="AW57" s="7905"/>
      <c r="AX57" s="7906"/>
      <c r="AY57" s="7905"/>
      <c r="AZ57" s="7906"/>
      <c r="BA57" s="7905"/>
      <c r="BB57" s="7906"/>
      <c r="BC57" s="7905"/>
      <c r="BD57" s="7906"/>
      <c r="BE57" s="7905"/>
      <c r="BF57" s="7906"/>
      <c r="BG57" s="7905"/>
      <c r="BH57" s="7906"/>
      <c r="BI57" s="7905"/>
      <c r="BJ57" s="7906"/>
      <c r="BK57" s="7905"/>
      <c r="BL57" s="7906"/>
      <c r="BM57" s="499"/>
    </row>
    <row s="11126" customFormat="1" customHeight="1" ht="11.25" hidden="1">
      <c r="A58" s="2602"/>
      <c r="B58" s="748"/>
      <c r="D58" s="902" t="s">
        <v>384</v>
      </c>
      <c r="E58" s="904" t="s">
        <v>1950</v>
      </c>
      <c r="F58" s="897" t="s">
        <v>1931</v>
      </c>
      <c r="G58" s="905"/>
      <c r="H58" s="1281"/>
      <c r="I58" s="905"/>
      <c r="J58" s="1281"/>
      <c r="K58" s="7905"/>
      <c r="L58" s="7906"/>
      <c r="M58" s="7905"/>
      <c r="N58" s="7906"/>
      <c r="O58" s="7905"/>
      <c r="P58" s="7906"/>
      <c r="Q58" s="7905"/>
      <c r="R58" s="7906"/>
      <c r="S58" s="7905"/>
      <c r="T58" s="7906"/>
      <c r="U58" s="7905"/>
      <c r="V58" s="7906"/>
      <c r="W58" s="7905"/>
      <c r="X58" s="7906"/>
      <c r="Y58" s="7905"/>
      <c r="Z58" s="7906"/>
      <c r="AA58" s="7905"/>
      <c r="AB58" s="7906"/>
      <c r="AC58" s="7905"/>
      <c r="AD58" s="7906"/>
      <c r="AE58" s="7905"/>
      <c r="AF58" s="7906"/>
      <c r="AG58" s="7905"/>
      <c r="AH58" s="7906"/>
      <c r="AI58" s="7905"/>
      <c r="AJ58" s="7906"/>
      <c r="AK58" s="7905"/>
      <c r="AL58" s="7906"/>
      <c r="AM58" s="7905"/>
      <c r="AN58" s="7906"/>
      <c r="AO58" s="7905"/>
      <c r="AP58" s="7906"/>
      <c r="AQ58" s="7905"/>
      <c r="AR58" s="7906"/>
      <c r="AS58" s="7905"/>
      <c r="AT58" s="7906"/>
      <c r="AU58" s="7905"/>
      <c r="AV58" s="7906"/>
      <c r="AW58" s="7905"/>
      <c r="AX58" s="7906"/>
      <c r="AY58" s="7905"/>
      <c r="AZ58" s="7906"/>
      <c r="BA58" s="7905"/>
      <c r="BB58" s="7906"/>
      <c r="BC58" s="7905"/>
      <c r="BD58" s="7906"/>
      <c r="BE58" s="7905"/>
      <c r="BF58" s="7906"/>
      <c r="BG58" s="7905"/>
      <c r="BH58" s="7906"/>
      <c r="BI58" s="7905"/>
      <c r="BJ58" s="7906"/>
      <c r="BK58" s="7905"/>
      <c r="BL58" s="7906"/>
      <c r="BM58" s="499"/>
    </row>
    <row s="11126" customFormat="1" customHeight="1" ht="11.25" hidden="1">
      <c r="A59" s="2602"/>
      <c r="B59" s="748"/>
      <c r="D59" s="902" t="s">
        <v>1955</v>
      </c>
      <c r="E59" s="904" t="s">
        <v>1952</v>
      </c>
      <c r="F59" s="897" t="s">
        <v>1931</v>
      </c>
      <c r="G59" s="905"/>
      <c r="H59" s="1281"/>
      <c r="I59" s="905"/>
      <c r="J59" s="1281"/>
      <c r="K59" s="7905"/>
      <c r="L59" s="7906"/>
      <c r="M59" s="7905"/>
      <c r="N59" s="7906"/>
      <c r="O59" s="7905"/>
      <c r="P59" s="7906"/>
      <c r="Q59" s="7905"/>
      <c r="R59" s="7906"/>
      <c r="S59" s="7905"/>
      <c r="T59" s="7906"/>
      <c r="U59" s="7905"/>
      <c r="V59" s="7906"/>
      <c r="W59" s="7905"/>
      <c r="X59" s="7906"/>
      <c r="Y59" s="7905"/>
      <c r="Z59" s="7906"/>
      <c r="AA59" s="7905"/>
      <c r="AB59" s="7906"/>
      <c r="AC59" s="7905"/>
      <c r="AD59" s="7906"/>
      <c r="AE59" s="7905"/>
      <c r="AF59" s="7906"/>
      <c r="AG59" s="7905"/>
      <c r="AH59" s="7906"/>
      <c r="AI59" s="7905"/>
      <c r="AJ59" s="7906"/>
      <c r="AK59" s="7905"/>
      <c r="AL59" s="7906"/>
      <c r="AM59" s="7905"/>
      <c r="AN59" s="7906"/>
      <c r="AO59" s="7905"/>
      <c r="AP59" s="7906"/>
      <c r="AQ59" s="7905"/>
      <c r="AR59" s="7906"/>
      <c r="AS59" s="7905"/>
      <c r="AT59" s="7906"/>
      <c r="AU59" s="7905"/>
      <c r="AV59" s="7906"/>
      <c r="AW59" s="7905"/>
      <c r="AX59" s="7906"/>
      <c r="AY59" s="7905"/>
      <c r="AZ59" s="7906"/>
      <c r="BA59" s="7905"/>
      <c r="BB59" s="7906"/>
      <c r="BC59" s="7905"/>
      <c r="BD59" s="7906"/>
      <c r="BE59" s="7905"/>
      <c r="BF59" s="7906"/>
      <c r="BG59" s="7905"/>
      <c r="BH59" s="7906"/>
      <c r="BI59" s="7905"/>
      <c r="BJ59" s="7906"/>
      <c r="BK59" s="7905"/>
      <c r="BL59" s="7906"/>
      <c r="BM59" s="499"/>
    </row>
    <row s="11126" customFormat="1" customHeight="1" ht="33.75" hidden="1">
      <c r="A60" s="2602"/>
      <c r="B60" s="748"/>
      <c r="D60" s="902" t="s">
        <v>92</v>
      </c>
      <c r="E60" s="903" t="s">
        <v>1956</v>
      </c>
      <c r="F60" s="959" t="s">
        <v>1674</v>
      </c>
      <c r="G60" s="980"/>
      <c r="H60" s="1281"/>
      <c r="I60" s="980"/>
      <c r="J60" s="1281"/>
      <c r="K60" s="7916"/>
      <c r="L60" s="7906"/>
      <c r="M60" s="7916"/>
      <c r="N60" s="7906"/>
      <c r="O60" s="7916"/>
      <c r="P60" s="7906"/>
      <c r="Q60" s="7916"/>
      <c r="R60" s="7906"/>
      <c r="S60" s="7916"/>
      <c r="T60" s="7906"/>
      <c r="U60" s="7916"/>
      <c r="V60" s="7906"/>
      <c r="W60" s="7916"/>
      <c r="X60" s="7906"/>
      <c r="Y60" s="7916"/>
      <c r="Z60" s="7906"/>
      <c r="AA60" s="7916"/>
      <c r="AB60" s="7906"/>
      <c r="AC60" s="7916"/>
      <c r="AD60" s="7906"/>
      <c r="AE60" s="7916"/>
      <c r="AF60" s="7906"/>
      <c r="AG60" s="7916"/>
      <c r="AH60" s="7906"/>
      <c r="AI60" s="7916"/>
      <c r="AJ60" s="7906"/>
      <c r="AK60" s="7916"/>
      <c r="AL60" s="7906"/>
      <c r="AM60" s="7916"/>
      <c r="AN60" s="7906"/>
      <c r="AO60" s="7916"/>
      <c r="AP60" s="7906"/>
      <c r="AQ60" s="7916"/>
      <c r="AR60" s="7906"/>
      <c r="AS60" s="7916"/>
      <c r="AT60" s="7906"/>
      <c r="AU60" s="7916"/>
      <c r="AV60" s="7906"/>
      <c r="AW60" s="7916"/>
      <c r="AX60" s="7906"/>
      <c r="AY60" s="7916"/>
      <c r="AZ60" s="7906"/>
      <c r="BA60" s="7916"/>
      <c r="BB60" s="7906"/>
      <c r="BC60" s="7916"/>
      <c r="BD60" s="7906"/>
      <c r="BE60" s="7916"/>
      <c r="BF60" s="7906"/>
      <c r="BG60" s="7916"/>
      <c r="BH60" s="7906"/>
      <c r="BI60" s="7916"/>
      <c r="BJ60" s="7906"/>
      <c r="BK60" s="7916"/>
      <c r="BL60" s="7906"/>
      <c r="BM60" s="512" t="s">
        <v>1957</v>
      </c>
    </row>
    <row s="11126" customFormat="1" customHeight="1" ht="33.75" hidden="1">
      <c r="A61" s="2602"/>
      <c r="B61" s="748"/>
      <c r="D61" s="902" t="s">
        <v>93</v>
      </c>
      <c r="E61" s="903" t="s">
        <v>1958</v>
      </c>
      <c r="F61" s="964" t="s">
        <v>1669</v>
      </c>
      <c r="G61" s="905"/>
      <c r="H61" s="1281"/>
      <c r="I61" s="905"/>
      <c r="J61" s="1281"/>
      <c r="K61" s="7905"/>
      <c r="L61" s="7906"/>
      <c r="M61" s="7905"/>
      <c r="N61" s="7906"/>
      <c r="O61" s="7905"/>
      <c r="P61" s="7906"/>
      <c r="Q61" s="7905"/>
      <c r="R61" s="7906"/>
      <c r="S61" s="7905"/>
      <c r="T61" s="7906"/>
      <c r="U61" s="7905"/>
      <c r="V61" s="7906"/>
      <c r="W61" s="7905"/>
      <c r="X61" s="7906"/>
      <c r="Y61" s="7905"/>
      <c r="Z61" s="7906"/>
      <c r="AA61" s="7905"/>
      <c r="AB61" s="7906"/>
      <c r="AC61" s="7905"/>
      <c r="AD61" s="7906"/>
      <c r="AE61" s="7905"/>
      <c r="AF61" s="7906"/>
      <c r="AG61" s="7905"/>
      <c r="AH61" s="7906"/>
      <c r="AI61" s="7905"/>
      <c r="AJ61" s="7906"/>
      <c r="AK61" s="7905"/>
      <c r="AL61" s="7906"/>
      <c r="AM61" s="7905"/>
      <c r="AN61" s="7906"/>
      <c r="AO61" s="7905"/>
      <c r="AP61" s="7906"/>
      <c r="AQ61" s="7905"/>
      <c r="AR61" s="7906"/>
      <c r="AS61" s="7905"/>
      <c r="AT61" s="7906"/>
      <c r="AU61" s="7905"/>
      <c r="AV61" s="7906"/>
      <c r="AW61" s="7905"/>
      <c r="AX61" s="7906"/>
      <c r="AY61" s="7905"/>
      <c r="AZ61" s="7906"/>
      <c r="BA61" s="7905"/>
      <c r="BB61" s="7906"/>
      <c r="BC61" s="7905"/>
      <c r="BD61" s="7906"/>
      <c r="BE61" s="7905"/>
      <c r="BF61" s="7906"/>
      <c r="BG61" s="7905"/>
      <c r="BH61" s="7906"/>
      <c r="BI61" s="7905"/>
      <c r="BJ61" s="7906"/>
      <c r="BK61" s="7905"/>
      <c r="BL61" s="7906"/>
      <c r="BM61" s="499"/>
    </row>
    <row s="11126" customFormat="1" customHeight="1" ht="22.5" hidden="1">
      <c r="A62" s="2602"/>
      <c r="B62" s="748" t="s">
        <v>1793</v>
      </c>
      <c r="D62" s="902" t="s">
        <v>112</v>
      </c>
      <c r="E62" s="903" t="s">
        <v>1959</v>
      </c>
      <c r="F62" s="964" t="s">
        <v>368</v>
      </c>
      <c r="G62" s="613"/>
      <c r="H62" s="1281"/>
      <c r="I62" s="613"/>
      <c r="J62" s="1281"/>
      <c r="K62" s="7921"/>
      <c r="L62" s="7906"/>
      <c r="M62" s="7921"/>
      <c r="N62" s="7906"/>
      <c r="O62" s="7921"/>
      <c r="P62" s="7906"/>
      <c r="Q62" s="7921"/>
      <c r="R62" s="7906"/>
      <c r="S62" s="7921"/>
      <c r="T62" s="7906"/>
      <c r="U62" s="7921"/>
      <c r="V62" s="7906"/>
      <c r="W62" s="7921"/>
      <c r="X62" s="7906"/>
      <c r="Y62" s="7921"/>
      <c r="Z62" s="7906"/>
      <c r="AA62" s="7921"/>
      <c r="AB62" s="7906"/>
      <c r="AC62" s="7921"/>
      <c r="AD62" s="7906"/>
      <c r="AE62" s="7921"/>
      <c r="AF62" s="7906"/>
      <c r="AG62" s="7921"/>
      <c r="AH62" s="7906"/>
      <c r="AI62" s="7921"/>
      <c r="AJ62" s="7906"/>
      <c r="AK62" s="7921"/>
      <c r="AL62" s="7906"/>
      <c r="AM62" s="7921"/>
      <c r="AN62" s="7906"/>
      <c r="AO62" s="7921"/>
      <c r="AP62" s="7906"/>
      <c r="AQ62" s="7921"/>
      <c r="AR62" s="7906"/>
      <c r="AS62" s="7921"/>
      <c r="AT62" s="7906"/>
      <c r="AU62" s="7921"/>
      <c r="AV62" s="7906"/>
      <c r="AW62" s="7921"/>
      <c r="AX62" s="7906"/>
      <c r="AY62" s="7921"/>
      <c r="AZ62" s="7906"/>
      <c r="BA62" s="7921"/>
      <c r="BB62" s="7906"/>
      <c r="BC62" s="7921"/>
      <c r="BD62" s="7906"/>
      <c r="BE62" s="7921"/>
      <c r="BF62" s="7906"/>
      <c r="BG62" s="7921"/>
      <c r="BH62" s="7906"/>
      <c r="BI62" s="7921"/>
      <c r="BJ62" s="7906"/>
      <c r="BK62" s="7921"/>
      <c r="BL62" s="7906"/>
      <c r="BM62" s="499" t="s">
        <v>775</v>
      </c>
    </row>
    <row s="11126" customFormat="1" customHeight="1" ht="45" hidden="1">
      <c r="A63" s="2602"/>
      <c r="B63" s="748" t="s">
        <v>1793</v>
      </c>
      <c r="D63" s="902" t="s">
        <v>1960</v>
      </c>
      <c r="E63" s="904" t="s">
        <v>1961</v>
      </c>
      <c r="F63" s="959" t="s">
        <v>368</v>
      </c>
      <c r="G63" s="613"/>
      <c r="H63" s="1281"/>
      <c r="I63" s="613"/>
      <c r="J63" s="1281"/>
      <c r="K63" s="7921"/>
      <c r="L63" s="7906"/>
      <c r="M63" s="7921"/>
      <c r="N63" s="7906"/>
      <c r="O63" s="7921"/>
      <c r="P63" s="7906"/>
      <c r="Q63" s="7921"/>
      <c r="R63" s="7906"/>
      <c r="S63" s="7921"/>
      <c r="T63" s="7906"/>
      <c r="U63" s="7921"/>
      <c r="V63" s="7906"/>
      <c r="W63" s="7921"/>
      <c r="X63" s="7906"/>
      <c r="Y63" s="7921"/>
      <c r="Z63" s="7906"/>
      <c r="AA63" s="7921"/>
      <c r="AB63" s="7906"/>
      <c r="AC63" s="7921"/>
      <c r="AD63" s="7906"/>
      <c r="AE63" s="7921"/>
      <c r="AF63" s="7906"/>
      <c r="AG63" s="7921"/>
      <c r="AH63" s="7906"/>
      <c r="AI63" s="7921"/>
      <c r="AJ63" s="7906"/>
      <c r="AK63" s="7921"/>
      <c r="AL63" s="7906"/>
      <c r="AM63" s="7921"/>
      <c r="AN63" s="7906"/>
      <c r="AO63" s="7921"/>
      <c r="AP63" s="7906"/>
      <c r="AQ63" s="7921"/>
      <c r="AR63" s="7906"/>
      <c r="AS63" s="7921"/>
      <c r="AT63" s="7906"/>
      <c r="AU63" s="7921"/>
      <c r="AV63" s="7906"/>
      <c r="AW63" s="7921"/>
      <c r="AX63" s="7906"/>
      <c r="AY63" s="7921"/>
      <c r="AZ63" s="7906"/>
      <c r="BA63" s="7921"/>
      <c r="BB63" s="7906"/>
      <c r="BC63" s="7921"/>
      <c r="BD63" s="7906"/>
      <c r="BE63" s="7921"/>
      <c r="BF63" s="7906"/>
      <c r="BG63" s="7921"/>
      <c r="BH63" s="7906"/>
      <c r="BI63" s="7921"/>
      <c r="BJ63" s="7906"/>
      <c r="BK63" s="7921"/>
      <c r="BL63" s="7906"/>
      <c r="BM63" s="499" t="s">
        <v>775</v>
      </c>
    </row>
    <row s="11126" customFormat="1" customHeight="1" ht="11.25">
      <c r="A64" s="1291"/>
      <c r="B64" s="755"/>
      <c r="D64" s="1292"/>
      <c r="E64" s="1293"/>
      <c r="K64" s="6985"/>
      <c r="L64" s="6985"/>
      <c r="M64" s="6985"/>
      <c r="N64" s="6985"/>
      <c r="O64" s="6985"/>
      <c r="P64" s="6985"/>
      <c r="Q64" s="6985"/>
      <c r="R64" s="6985"/>
      <c r="S64" s="6985"/>
      <c r="T64" s="6985"/>
      <c r="U64" s="6985"/>
      <c r="V64" s="6985"/>
      <c r="W64" s="6985"/>
      <c r="X64" s="6985"/>
      <c r="Y64" s="6985"/>
      <c r="Z64" s="6985"/>
      <c r="AA64" s="6985"/>
      <c r="AB64" s="6985"/>
      <c r="AC64" s="6985"/>
      <c r="AD64" s="6985"/>
      <c r="AE64" s="6985"/>
      <c r="AF64" s="6985"/>
      <c r="AG64" s="6985"/>
      <c r="AH64" s="6985"/>
      <c r="AI64" s="6985"/>
      <c r="AJ64" s="6985"/>
      <c r="AK64" s="6985"/>
      <c r="AL64" s="6985"/>
      <c r="AM64" s="6985"/>
      <c r="AN64" s="6985"/>
      <c r="AO64" s="6985"/>
      <c r="AP64" s="6985"/>
      <c r="AQ64" s="6985"/>
      <c r="AR64" s="6985"/>
      <c r="AS64" s="6985"/>
      <c r="AT64" s="6985"/>
      <c r="AU64" s="6985"/>
      <c r="AV64" s="6985"/>
      <c r="AW64" s="6985"/>
      <c r="AX64" s="6985"/>
      <c r="AY64" s="6985"/>
      <c r="AZ64" s="6985"/>
      <c r="BA64" s="6985"/>
      <c r="BB64" s="6985"/>
      <c r="BC64" s="6985"/>
      <c r="BD64" s="6985"/>
      <c r="BE64" s="6985"/>
      <c r="BF64" s="6985"/>
      <c r="BG64" s="6985"/>
      <c r="BH64" s="6985"/>
      <c r="BI64" s="6985"/>
      <c r="BJ64" s="6985"/>
      <c r="BK64" s="6985"/>
      <c r="BL64" s="6985"/>
    </row>
    <row s="11126" customFormat="1" customHeight="1" ht="22.5" hidden="1">
      <c r="A65" s="2602" t="s">
        <v>465</v>
      </c>
      <c r="B65" s="748"/>
      <c r="D65" s="902">
        <v>1</v>
      </c>
      <c r="E65" s="982" t="s">
        <v>1962</v>
      </c>
      <c r="F65" s="978" t="s">
        <v>1657</v>
      </c>
      <c r="G65" s="979"/>
      <c r="H65" s="1287"/>
      <c r="I65" s="979"/>
      <c r="J65" s="1287"/>
      <c r="K65" s="7909"/>
      <c r="L65" s="7925"/>
      <c r="M65" s="7909"/>
      <c r="N65" s="7925"/>
      <c r="O65" s="7909"/>
      <c r="P65" s="7925"/>
      <c r="Q65" s="7909"/>
      <c r="R65" s="7925"/>
      <c r="S65" s="7909"/>
      <c r="T65" s="7925"/>
      <c r="U65" s="7909"/>
      <c r="V65" s="7925"/>
      <c r="W65" s="7909"/>
      <c r="X65" s="7925"/>
      <c r="Y65" s="7909"/>
      <c r="Z65" s="7925"/>
      <c r="AA65" s="7909"/>
      <c r="AB65" s="7925"/>
      <c r="AC65" s="7909"/>
      <c r="AD65" s="7925"/>
      <c r="AE65" s="7909"/>
      <c r="AF65" s="7925"/>
      <c r="AG65" s="7909"/>
      <c r="AH65" s="7925"/>
      <c r="AI65" s="7909"/>
      <c r="AJ65" s="7925"/>
      <c r="AK65" s="7909"/>
      <c r="AL65" s="7925"/>
      <c r="AM65" s="7909"/>
      <c r="AN65" s="7925"/>
      <c r="AO65" s="7909"/>
      <c r="AP65" s="7925"/>
      <c r="AQ65" s="7909"/>
      <c r="AR65" s="7925"/>
      <c r="AS65" s="7909"/>
      <c r="AT65" s="7925"/>
      <c r="AU65" s="7909"/>
      <c r="AV65" s="7925"/>
      <c r="AW65" s="7909"/>
      <c r="AX65" s="7925"/>
      <c r="AY65" s="7909"/>
      <c r="AZ65" s="7925"/>
      <c r="BA65" s="7909"/>
      <c r="BB65" s="7925"/>
      <c r="BC65" s="7909"/>
      <c r="BD65" s="7925"/>
      <c r="BE65" s="7909"/>
      <c r="BF65" s="7925"/>
      <c r="BG65" s="7909"/>
      <c r="BH65" s="7925"/>
      <c r="BI65" s="7909"/>
      <c r="BJ65" s="7925"/>
      <c r="BK65" s="7909"/>
      <c r="BL65" s="7925"/>
      <c r="BM65" s="511" t="s">
        <v>1963</v>
      </c>
    </row>
    <row s="11126" customFormat="1" customHeight="1" ht="56.25" hidden="1">
      <c r="A66" s="2602"/>
      <c r="B66" s="748"/>
      <c r="D66" s="981" t="s">
        <v>110</v>
      </c>
      <c r="E66" s="944" t="s">
        <v>1964</v>
      </c>
      <c r="F66" s="897" t="s">
        <v>1488</v>
      </c>
      <c r="G66" s="897" t="s">
        <v>1488</v>
      </c>
      <c r="H66" s="756"/>
      <c r="I66" s="897" t="s">
        <v>1488</v>
      </c>
      <c r="J66" s="756"/>
      <c r="K66" s="7912" t="s">
        <v>1488</v>
      </c>
      <c r="L66" s="7894"/>
      <c r="M66" s="7912" t="s">
        <v>1488</v>
      </c>
      <c r="N66" s="7894"/>
      <c r="O66" s="7912" t="s">
        <v>1488</v>
      </c>
      <c r="P66" s="7894"/>
      <c r="Q66" s="7912" t="s">
        <v>1488</v>
      </c>
      <c r="R66" s="7894"/>
      <c r="S66" s="7912" t="s">
        <v>1488</v>
      </c>
      <c r="T66" s="7894"/>
      <c r="U66" s="7912" t="s">
        <v>1488</v>
      </c>
      <c r="V66" s="7894"/>
      <c r="W66" s="7912" t="s">
        <v>1488</v>
      </c>
      <c r="X66" s="7894"/>
      <c r="Y66" s="7912" t="s">
        <v>1488</v>
      </c>
      <c r="Z66" s="7894"/>
      <c r="AA66" s="7912" t="s">
        <v>1488</v>
      </c>
      <c r="AB66" s="7894"/>
      <c r="AC66" s="7912" t="s">
        <v>1488</v>
      </c>
      <c r="AD66" s="7894"/>
      <c r="AE66" s="7912" t="s">
        <v>1488</v>
      </c>
      <c r="AF66" s="7894"/>
      <c r="AG66" s="7912" t="s">
        <v>1488</v>
      </c>
      <c r="AH66" s="7894"/>
      <c r="AI66" s="7912" t="s">
        <v>1488</v>
      </c>
      <c r="AJ66" s="7894"/>
      <c r="AK66" s="7912" t="s">
        <v>1488</v>
      </c>
      <c r="AL66" s="7894"/>
      <c r="AM66" s="7912" t="s">
        <v>1488</v>
      </c>
      <c r="AN66" s="7894"/>
      <c r="AO66" s="7912" t="s">
        <v>1488</v>
      </c>
      <c r="AP66" s="7894"/>
      <c r="AQ66" s="7912" t="s">
        <v>1488</v>
      </c>
      <c r="AR66" s="7894"/>
      <c r="AS66" s="7912" t="s">
        <v>1488</v>
      </c>
      <c r="AT66" s="7894"/>
      <c r="AU66" s="7912" t="s">
        <v>1488</v>
      </c>
      <c r="AV66" s="7894"/>
      <c r="AW66" s="7912" t="s">
        <v>1488</v>
      </c>
      <c r="AX66" s="7894"/>
      <c r="AY66" s="7912" t="s">
        <v>1488</v>
      </c>
      <c r="AZ66" s="7894"/>
      <c r="BA66" s="7912" t="s">
        <v>1488</v>
      </c>
      <c r="BB66" s="7894"/>
      <c r="BC66" s="7912" t="s">
        <v>1488</v>
      </c>
      <c r="BD66" s="7894"/>
      <c r="BE66" s="7912" t="s">
        <v>1488</v>
      </c>
      <c r="BF66" s="7894"/>
      <c r="BG66" s="7912" t="s">
        <v>1488</v>
      </c>
      <c r="BH66" s="7894"/>
      <c r="BI66" s="7912" t="s">
        <v>1488</v>
      </c>
      <c r="BJ66" s="7894"/>
      <c r="BK66" s="7912" t="s">
        <v>1488</v>
      </c>
      <c r="BL66" s="7894"/>
      <c r="BM66" s="499"/>
    </row>
    <row s="11126" customFormat="1" customHeight="1" ht="33.75" hidden="1">
      <c r="A67" s="2602"/>
      <c r="B67" s="748"/>
      <c r="D67" s="981" t="s">
        <v>570</v>
      </c>
      <c r="E67" s="1210" t="s">
        <v>1965</v>
      </c>
      <c r="F67" s="897" t="s">
        <v>1934</v>
      </c>
      <c r="G67" s="965"/>
      <c r="H67" s="756"/>
      <c r="I67" s="965"/>
      <c r="J67" s="756"/>
      <c r="K67" s="7928"/>
      <c r="L67" s="7894"/>
      <c r="M67" s="7928"/>
      <c r="N67" s="7894"/>
      <c r="O67" s="7928"/>
      <c r="P67" s="7894"/>
      <c r="Q67" s="7928"/>
      <c r="R67" s="7894"/>
      <c r="S67" s="7928"/>
      <c r="T67" s="7894"/>
      <c r="U67" s="7928"/>
      <c r="V67" s="7894"/>
      <c r="W67" s="7928"/>
      <c r="X67" s="7894"/>
      <c r="Y67" s="7928"/>
      <c r="Z67" s="7894"/>
      <c r="AA67" s="7928"/>
      <c r="AB67" s="7894"/>
      <c r="AC67" s="7928"/>
      <c r="AD67" s="7894"/>
      <c r="AE67" s="7928"/>
      <c r="AF67" s="7894"/>
      <c r="AG67" s="7928"/>
      <c r="AH67" s="7894"/>
      <c r="AI67" s="7928"/>
      <c r="AJ67" s="7894"/>
      <c r="AK67" s="7928"/>
      <c r="AL67" s="7894"/>
      <c r="AM67" s="7928"/>
      <c r="AN67" s="7894"/>
      <c r="AO67" s="7928"/>
      <c r="AP67" s="7894"/>
      <c r="AQ67" s="7928"/>
      <c r="AR67" s="7894"/>
      <c r="AS67" s="7928"/>
      <c r="AT67" s="7894"/>
      <c r="AU67" s="7928"/>
      <c r="AV67" s="7894"/>
      <c r="AW67" s="7928"/>
      <c r="AX67" s="7894"/>
      <c r="AY67" s="7928"/>
      <c r="AZ67" s="7894"/>
      <c r="BA67" s="7928"/>
      <c r="BB67" s="7894"/>
      <c r="BC67" s="7928"/>
      <c r="BD67" s="7894"/>
      <c r="BE67" s="7928"/>
      <c r="BF67" s="7894"/>
      <c r="BG67" s="7928"/>
      <c r="BH67" s="7894"/>
      <c r="BI67" s="7928"/>
      <c r="BJ67" s="7894"/>
      <c r="BK67" s="7928"/>
      <c r="BL67" s="7894"/>
      <c r="BM67" s="499"/>
    </row>
    <row s="11126" customFormat="1" customHeight="1" ht="22.5" hidden="1">
      <c r="A68" s="2602"/>
      <c r="B68" s="748"/>
      <c r="D68" s="981" t="s">
        <v>369</v>
      </c>
      <c r="E68" s="1210" t="s">
        <v>1966</v>
      </c>
      <c r="F68" s="897" t="s">
        <v>1934</v>
      </c>
      <c r="G68" s="965"/>
      <c r="H68" s="756"/>
      <c r="I68" s="965"/>
      <c r="J68" s="756"/>
      <c r="K68" s="7928"/>
      <c r="L68" s="7894"/>
      <c r="M68" s="7928"/>
      <c r="N68" s="7894"/>
      <c r="O68" s="7928"/>
      <c r="P68" s="7894"/>
      <c r="Q68" s="7928"/>
      <c r="R68" s="7894"/>
      <c r="S68" s="7928"/>
      <c r="T68" s="7894"/>
      <c r="U68" s="7928"/>
      <c r="V68" s="7894"/>
      <c r="W68" s="7928"/>
      <c r="X68" s="7894"/>
      <c r="Y68" s="7928"/>
      <c r="Z68" s="7894"/>
      <c r="AA68" s="7928"/>
      <c r="AB68" s="7894"/>
      <c r="AC68" s="7928"/>
      <c r="AD68" s="7894"/>
      <c r="AE68" s="7928"/>
      <c r="AF68" s="7894"/>
      <c r="AG68" s="7928"/>
      <c r="AH68" s="7894"/>
      <c r="AI68" s="7928"/>
      <c r="AJ68" s="7894"/>
      <c r="AK68" s="7928"/>
      <c r="AL68" s="7894"/>
      <c r="AM68" s="7928"/>
      <c r="AN68" s="7894"/>
      <c r="AO68" s="7928"/>
      <c r="AP68" s="7894"/>
      <c r="AQ68" s="7928"/>
      <c r="AR68" s="7894"/>
      <c r="AS68" s="7928"/>
      <c r="AT68" s="7894"/>
      <c r="AU68" s="7928"/>
      <c r="AV68" s="7894"/>
      <c r="AW68" s="7928"/>
      <c r="AX68" s="7894"/>
      <c r="AY68" s="7928"/>
      <c r="AZ68" s="7894"/>
      <c r="BA68" s="7928"/>
      <c r="BB68" s="7894"/>
      <c r="BC68" s="7928"/>
      <c r="BD68" s="7894"/>
      <c r="BE68" s="7928"/>
      <c r="BF68" s="7894"/>
      <c r="BG68" s="7928"/>
      <c r="BH68" s="7894"/>
      <c r="BI68" s="7928"/>
      <c r="BJ68" s="7894"/>
      <c r="BK68" s="7928"/>
      <c r="BL68" s="7894"/>
      <c r="BM68" s="499"/>
    </row>
    <row s="11126" customFormat="1" customHeight="1" ht="22.5" hidden="1">
      <c r="A69" s="2602"/>
      <c r="B69" s="748"/>
      <c r="D69" s="981" t="s">
        <v>372</v>
      </c>
      <c r="E69" s="1210" t="s">
        <v>1967</v>
      </c>
      <c r="F69" s="959" t="s">
        <v>1674</v>
      </c>
      <c r="G69" s="980"/>
      <c r="H69" s="756"/>
      <c r="I69" s="980"/>
      <c r="J69" s="756"/>
      <c r="K69" s="7916"/>
      <c r="L69" s="7894"/>
      <c r="M69" s="7916"/>
      <c r="N69" s="7894"/>
      <c r="O69" s="7916"/>
      <c r="P69" s="7894"/>
      <c r="Q69" s="7916"/>
      <c r="R69" s="7894"/>
      <c r="S69" s="7916"/>
      <c r="T69" s="7894"/>
      <c r="U69" s="7916"/>
      <c r="V69" s="7894"/>
      <c r="W69" s="7916"/>
      <c r="X69" s="7894"/>
      <c r="Y69" s="7916"/>
      <c r="Z69" s="7894"/>
      <c r="AA69" s="7916"/>
      <c r="AB69" s="7894"/>
      <c r="AC69" s="7916"/>
      <c r="AD69" s="7894"/>
      <c r="AE69" s="7916"/>
      <c r="AF69" s="7894"/>
      <c r="AG69" s="7916"/>
      <c r="AH69" s="7894"/>
      <c r="AI69" s="7916"/>
      <c r="AJ69" s="7894"/>
      <c r="AK69" s="7916"/>
      <c r="AL69" s="7894"/>
      <c r="AM69" s="7916"/>
      <c r="AN69" s="7894"/>
      <c r="AO69" s="7916"/>
      <c r="AP69" s="7894"/>
      <c r="AQ69" s="7916"/>
      <c r="AR69" s="7894"/>
      <c r="AS69" s="7916"/>
      <c r="AT69" s="7894"/>
      <c r="AU69" s="7916"/>
      <c r="AV69" s="7894"/>
      <c r="AW69" s="7916"/>
      <c r="AX69" s="7894"/>
      <c r="AY69" s="7916"/>
      <c r="AZ69" s="7894"/>
      <c r="BA69" s="7916"/>
      <c r="BB69" s="7894"/>
      <c r="BC69" s="7916"/>
      <c r="BD69" s="7894"/>
      <c r="BE69" s="7916"/>
      <c r="BF69" s="7894"/>
      <c r="BG69" s="7916"/>
      <c r="BH69" s="7894"/>
      <c r="BI69" s="7916"/>
      <c r="BJ69" s="7894"/>
      <c r="BK69" s="7916"/>
      <c r="BL69" s="7894"/>
      <c r="BM69" s="499"/>
    </row>
    <row s="11126" customFormat="1" customHeight="1" ht="22.5" hidden="1">
      <c r="A70" s="2602"/>
      <c r="B70" s="748"/>
      <c r="D70" s="981" t="s">
        <v>579</v>
      </c>
      <c r="E70" s="1210" t="s">
        <v>1968</v>
      </c>
      <c r="F70" s="959" t="s">
        <v>1674</v>
      </c>
      <c r="G70" s="980"/>
      <c r="H70" s="756"/>
      <c r="I70" s="980"/>
      <c r="J70" s="756"/>
      <c r="K70" s="7916"/>
      <c r="L70" s="7894"/>
      <c r="M70" s="7916"/>
      <c r="N70" s="7894"/>
      <c r="O70" s="7916"/>
      <c r="P70" s="7894"/>
      <c r="Q70" s="7916"/>
      <c r="R70" s="7894"/>
      <c r="S70" s="7916"/>
      <c r="T70" s="7894"/>
      <c r="U70" s="7916"/>
      <c r="V70" s="7894"/>
      <c r="W70" s="7916"/>
      <c r="X70" s="7894"/>
      <c r="Y70" s="7916"/>
      <c r="Z70" s="7894"/>
      <c r="AA70" s="7916"/>
      <c r="AB70" s="7894"/>
      <c r="AC70" s="7916"/>
      <c r="AD70" s="7894"/>
      <c r="AE70" s="7916"/>
      <c r="AF70" s="7894"/>
      <c r="AG70" s="7916"/>
      <c r="AH70" s="7894"/>
      <c r="AI70" s="7916"/>
      <c r="AJ70" s="7894"/>
      <c r="AK70" s="7916"/>
      <c r="AL70" s="7894"/>
      <c r="AM70" s="7916"/>
      <c r="AN70" s="7894"/>
      <c r="AO70" s="7916"/>
      <c r="AP70" s="7894"/>
      <c r="AQ70" s="7916"/>
      <c r="AR70" s="7894"/>
      <c r="AS70" s="7916"/>
      <c r="AT70" s="7894"/>
      <c r="AU70" s="7916"/>
      <c r="AV70" s="7894"/>
      <c r="AW70" s="7916"/>
      <c r="AX70" s="7894"/>
      <c r="AY70" s="7916"/>
      <c r="AZ70" s="7894"/>
      <c r="BA70" s="7916"/>
      <c r="BB70" s="7894"/>
      <c r="BC70" s="7916"/>
      <c r="BD70" s="7894"/>
      <c r="BE70" s="7916"/>
      <c r="BF70" s="7894"/>
      <c r="BG70" s="7916"/>
      <c r="BH70" s="7894"/>
      <c r="BI70" s="7916"/>
      <c r="BJ70" s="7894"/>
      <c r="BK70" s="7916"/>
      <c r="BL70" s="7894"/>
      <c r="BM70" s="499"/>
    </row>
    <row s="11126" customFormat="1" customHeight="1" ht="22.5" hidden="1">
      <c r="A71" s="2602"/>
      <c r="B71" s="748"/>
      <c r="D71" s="902" t="s">
        <v>90</v>
      </c>
      <c r="E71" s="903" t="s">
        <v>1969</v>
      </c>
      <c r="F71" s="897" t="s">
        <v>1934</v>
      </c>
      <c r="G71" s="794"/>
      <c r="H71" s="1288"/>
      <c r="I71" s="794"/>
      <c r="J71" s="1288"/>
      <c r="K71" s="7466"/>
      <c r="L71" s="7900"/>
      <c r="M71" s="7466"/>
      <c r="N71" s="7900"/>
      <c r="O71" s="7466"/>
      <c r="P71" s="7900"/>
      <c r="Q71" s="7466"/>
      <c r="R71" s="7900"/>
      <c r="S71" s="7466"/>
      <c r="T71" s="7900"/>
      <c r="U71" s="7466"/>
      <c r="V71" s="7900"/>
      <c r="W71" s="7466"/>
      <c r="X71" s="7900"/>
      <c r="Y71" s="7466"/>
      <c r="Z71" s="7900"/>
      <c r="AA71" s="7466"/>
      <c r="AB71" s="7900"/>
      <c r="AC71" s="7466"/>
      <c r="AD71" s="7900"/>
      <c r="AE71" s="7466"/>
      <c r="AF71" s="7900"/>
      <c r="AG71" s="7466"/>
      <c r="AH71" s="7900"/>
      <c r="AI71" s="7466"/>
      <c r="AJ71" s="7900"/>
      <c r="AK71" s="7466"/>
      <c r="AL71" s="7900"/>
      <c r="AM71" s="7466"/>
      <c r="AN71" s="7900"/>
      <c r="AO71" s="7466"/>
      <c r="AP71" s="7900"/>
      <c r="AQ71" s="7466"/>
      <c r="AR71" s="7900"/>
      <c r="AS71" s="7466"/>
      <c r="AT71" s="7900"/>
      <c r="AU71" s="7466"/>
      <c r="AV71" s="7900"/>
      <c r="AW71" s="7466"/>
      <c r="AX71" s="7900"/>
      <c r="AY71" s="7466"/>
      <c r="AZ71" s="7900"/>
      <c r="BA71" s="7466"/>
      <c r="BB71" s="7900"/>
      <c r="BC71" s="7466"/>
      <c r="BD71" s="7900"/>
      <c r="BE71" s="7466"/>
      <c r="BF71" s="7900"/>
      <c r="BG71" s="7466"/>
      <c r="BH71" s="7900"/>
      <c r="BI71" s="7466"/>
      <c r="BJ71" s="7900"/>
      <c r="BK71" s="7466"/>
      <c r="BL71" s="7900"/>
      <c r="BM71" s="512"/>
    </row>
    <row s="11126" customFormat="1" customHeight="1" ht="56.25" hidden="1">
      <c r="A72" s="2602"/>
      <c r="B72" s="748"/>
      <c r="D72" s="902" t="s">
        <v>91</v>
      </c>
      <c r="E72" s="903" t="s">
        <v>1970</v>
      </c>
      <c r="F72" s="959" t="s">
        <v>1674</v>
      </c>
      <c r="G72" s="980"/>
      <c r="H72" s="1281"/>
      <c r="I72" s="980"/>
      <c r="J72" s="1281"/>
      <c r="K72" s="7916"/>
      <c r="L72" s="7906"/>
      <c r="M72" s="7916"/>
      <c r="N72" s="7906"/>
      <c r="O72" s="7916"/>
      <c r="P72" s="7906"/>
      <c r="Q72" s="7916"/>
      <c r="R72" s="7906"/>
      <c r="S72" s="7916"/>
      <c r="T72" s="7906"/>
      <c r="U72" s="7916"/>
      <c r="V72" s="7906"/>
      <c r="W72" s="7916"/>
      <c r="X72" s="7906"/>
      <c r="Y72" s="7916"/>
      <c r="Z72" s="7906"/>
      <c r="AA72" s="7916"/>
      <c r="AB72" s="7906"/>
      <c r="AC72" s="7916"/>
      <c r="AD72" s="7906"/>
      <c r="AE72" s="7916"/>
      <c r="AF72" s="7906"/>
      <c r="AG72" s="7916"/>
      <c r="AH72" s="7906"/>
      <c r="AI72" s="7916"/>
      <c r="AJ72" s="7906"/>
      <c r="AK72" s="7916"/>
      <c r="AL72" s="7906"/>
      <c r="AM72" s="7916"/>
      <c r="AN72" s="7906"/>
      <c r="AO72" s="7916"/>
      <c r="AP72" s="7906"/>
      <c r="AQ72" s="7916"/>
      <c r="AR72" s="7906"/>
      <c r="AS72" s="7916"/>
      <c r="AT72" s="7906"/>
      <c r="AU72" s="7916"/>
      <c r="AV72" s="7906"/>
      <c r="AW72" s="7916"/>
      <c r="AX72" s="7906"/>
      <c r="AY72" s="7916"/>
      <c r="AZ72" s="7906"/>
      <c r="BA72" s="7916"/>
      <c r="BB72" s="7906"/>
      <c r="BC72" s="7916"/>
      <c r="BD72" s="7906"/>
      <c r="BE72" s="7916"/>
      <c r="BF72" s="7906"/>
      <c r="BG72" s="7916"/>
      <c r="BH72" s="7906"/>
      <c r="BI72" s="7916"/>
      <c r="BJ72" s="7906"/>
      <c r="BK72" s="7916"/>
      <c r="BL72" s="7906"/>
      <c r="BM72" s="512"/>
    </row>
    <row s="11126" customFormat="1" customHeight="1" ht="33.75" hidden="1">
      <c r="A73" s="2602"/>
      <c r="B73" s="748"/>
      <c r="D73" s="902" t="s">
        <v>111</v>
      </c>
      <c r="E73" s="903" t="s">
        <v>1971</v>
      </c>
      <c r="F73" s="964" t="s">
        <v>1669</v>
      </c>
      <c r="G73" s="905"/>
      <c r="H73" s="1281"/>
      <c r="I73" s="905"/>
      <c r="J73" s="1281"/>
      <c r="K73" s="7905"/>
      <c r="L73" s="7906"/>
      <c r="M73" s="7905"/>
      <c r="N73" s="7906"/>
      <c r="O73" s="7905"/>
      <c r="P73" s="7906"/>
      <c r="Q73" s="7905"/>
      <c r="R73" s="7906"/>
      <c r="S73" s="7905"/>
      <c r="T73" s="7906"/>
      <c r="U73" s="7905"/>
      <c r="V73" s="7906"/>
      <c r="W73" s="7905"/>
      <c r="X73" s="7906"/>
      <c r="Y73" s="7905"/>
      <c r="Z73" s="7906"/>
      <c r="AA73" s="7905"/>
      <c r="AB73" s="7906"/>
      <c r="AC73" s="7905"/>
      <c r="AD73" s="7906"/>
      <c r="AE73" s="7905"/>
      <c r="AF73" s="7906"/>
      <c r="AG73" s="7905"/>
      <c r="AH73" s="7906"/>
      <c r="AI73" s="7905"/>
      <c r="AJ73" s="7906"/>
      <c r="AK73" s="7905"/>
      <c r="AL73" s="7906"/>
      <c r="AM73" s="7905"/>
      <c r="AN73" s="7906"/>
      <c r="AO73" s="7905"/>
      <c r="AP73" s="7906"/>
      <c r="AQ73" s="7905"/>
      <c r="AR73" s="7906"/>
      <c r="AS73" s="7905"/>
      <c r="AT73" s="7906"/>
      <c r="AU73" s="7905"/>
      <c r="AV73" s="7906"/>
      <c r="AW73" s="7905"/>
      <c r="AX73" s="7906"/>
      <c r="AY73" s="7905"/>
      <c r="AZ73" s="7906"/>
      <c r="BA73" s="7905"/>
      <c r="BB73" s="7906"/>
      <c r="BC73" s="7905"/>
      <c r="BD73" s="7906"/>
      <c r="BE73" s="7905"/>
      <c r="BF73" s="7906"/>
      <c r="BG73" s="7905"/>
      <c r="BH73" s="7906"/>
      <c r="BI73" s="7905"/>
      <c r="BJ73" s="7906"/>
      <c r="BK73" s="7905"/>
      <c r="BL73" s="7906"/>
      <c r="BM73" s="499"/>
    </row>
    <row s="11126" customFormat="1" customHeight="1" ht="22.5" hidden="1">
      <c r="A74" s="2602"/>
      <c r="B74" s="748" t="s">
        <v>1793</v>
      </c>
      <c r="D74" s="902" t="s">
        <v>92</v>
      </c>
      <c r="E74" s="903" t="s">
        <v>1972</v>
      </c>
      <c r="F74" s="964" t="s">
        <v>368</v>
      </c>
      <c r="G74" s="613"/>
      <c r="H74" s="1281"/>
      <c r="I74" s="613"/>
      <c r="J74" s="1281"/>
      <c r="K74" s="7921"/>
      <c r="L74" s="7906"/>
      <c r="M74" s="7921"/>
      <c r="N74" s="7906"/>
      <c r="O74" s="7921"/>
      <c r="P74" s="7906"/>
      <c r="Q74" s="7921"/>
      <c r="R74" s="7906"/>
      <c r="S74" s="7921"/>
      <c r="T74" s="7906"/>
      <c r="U74" s="7921"/>
      <c r="V74" s="7906"/>
      <c r="W74" s="7921"/>
      <c r="X74" s="7906"/>
      <c r="Y74" s="7921"/>
      <c r="Z74" s="7906"/>
      <c r="AA74" s="7921"/>
      <c r="AB74" s="7906"/>
      <c r="AC74" s="7921"/>
      <c r="AD74" s="7906"/>
      <c r="AE74" s="7921"/>
      <c r="AF74" s="7906"/>
      <c r="AG74" s="7921"/>
      <c r="AH74" s="7906"/>
      <c r="AI74" s="7921"/>
      <c r="AJ74" s="7906"/>
      <c r="AK74" s="7921"/>
      <c r="AL74" s="7906"/>
      <c r="AM74" s="7921"/>
      <c r="AN74" s="7906"/>
      <c r="AO74" s="7921"/>
      <c r="AP74" s="7906"/>
      <c r="AQ74" s="7921"/>
      <c r="AR74" s="7906"/>
      <c r="AS74" s="7921"/>
      <c r="AT74" s="7906"/>
      <c r="AU74" s="7921"/>
      <c r="AV74" s="7906"/>
      <c r="AW74" s="7921"/>
      <c r="AX74" s="7906"/>
      <c r="AY74" s="7921"/>
      <c r="AZ74" s="7906"/>
      <c r="BA74" s="7921"/>
      <c r="BB74" s="7906"/>
      <c r="BC74" s="7921"/>
      <c r="BD74" s="7906"/>
      <c r="BE74" s="7921"/>
      <c r="BF74" s="7906"/>
      <c r="BG74" s="7921"/>
      <c r="BH74" s="7906"/>
      <c r="BI74" s="7921"/>
      <c r="BJ74" s="7906"/>
      <c r="BK74" s="7921"/>
      <c r="BL74" s="7906"/>
      <c r="BM74" s="499" t="s">
        <v>775</v>
      </c>
    </row>
    <row s="11126" customFormat="1" customHeight="1" ht="45" hidden="1">
      <c r="A75" s="2602"/>
      <c r="B75" s="748" t="s">
        <v>1793</v>
      </c>
      <c r="D75" s="902" t="s">
        <v>583</v>
      </c>
      <c r="E75" s="904" t="s">
        <v>1973</v>
      </c>
      <c r="F75" s="959" t="s">
        <v>368</v>
      </c>
      <c r="G75" s="613"/>
      <c r="H75" s="1281"/>
      <c r="I75" s="613"/>
      <c r="J75" s="1281"/>
      <c r="K75" s="7921"/>
      <c r="L75" s="7906"/>
      <c r="M75" s="7921"/>
      <c r="N75" s="7906"/>
      <c r="O75" s="7921"/>
      <c r="P75" s="7906"/>
      <c r="Q75" s="7921"/>
      <c r="R75" s="7906"/>
      <c r="S75" s="7921"/>
      <c r="T75" s="7906"/>
      <c r="U75" s="7921"/>
      <c r="V75" s="7906"/>
      <c r="W75" s="7921"/>
      <c r="X75" s="7906"/>
      <c r="Y75" s="7921"/>
      <c r="Z75" s="7906"/>
      <c r="AA75" s="7921"/>
      <c r="AB75" s="7906"/>
      <c r="AC75" s="7921"/>
      <c r="AD75" s="7906"/>
      <c r="AE75" s="7921"/>
      <c r="AF75" s="7906"/>
      <c r="AG75" s="7921"/>
      <c r="AH75" s="7906"/>
      <c r="AI75" s="7921"/>
      <c r="AJ75" s="7906"/>
      <c r="AK75" s="7921"/>
      <c r="AL75" s="7906"/>
      <c r="AM75" s="7921"/>
      <c r="AN75" s="7906"/>
      <c r="AO75" s="7921"/>
      <c r="AP75" s="7906"/>
      <c r="AQ75" s="7921"/>
      <c r="AR75" s="7906"/>
      <c r="AS75" s="7921"/>
      <c r="AT75" s="7906"/>
      <c r="AU75" s="7921"/>
      <c r="AV75" s="7906"/>
      <c r="AW75" s="7921"/>
      <c r="AX75" s="7906"/>
      <c r="AY75" s="7921"/>
      <c r="AZ75" s="7906"/>
      <c r="BA75" s="7921"/>
      <c r="BB75" s="7906"/>
      <c r="BC75" s="7921"/>
      <c r="BD75" s="7906"/>
      <c r="BE75" s="7921"/>
      <c r="BF75" s="7906"/>
      <c r="BG75" s="7921"/>
      <c r="BH75" s="7906"/>
      <c r="BI75" s="7921"/>
      <c r="BJ75" s="7906"/>
      <c r="BK75" s="7921"/>
      <c r="BL75" s="7906"/>
      <c r="BM75" s="499" t="s">
        <v>775</v>
      </c>
    </row>
    <row s="11126" customFormat="1" customHeight="1" ht="11.25">
      <c r="A76" s="1291"/>
      <c r="B76" s="755"/>
      <c r="D76" s="1292"/>
      <c r="E76" s="1293"/>
      <c r="K76" s="6985"/>
      <c r="L76" s="6985"/>
      <c r="M76" s="6985"/>
      <c r="N76" s="6985"/>
      <c r="O76" s="6985"/>
      <c r="P76" s="6985"/>
      <c r="Q76" s="6985"/>
      <c r="R76" s="6985"/>
      <c r="S76" s="6985"/>
      <c r="T76" s="6985"/>
      <c r="U76" s="6985"/>
      <c r="V76" s="6985"/>
      <c r="W76" s="6985"/>
      <c r="X76" s="6985"/>
      <c r="Y76" s="6985"/>
      <c r="Z76" s="6985"/>
      <c r="AA76" s="6985"/>
      <c r="AB76" s="6985"/>
      <c r="AC76" s="6985"/>
      <c r="AD76" s="6985"/>
      <c r="AE76" s="6985"/>
      <c r="AF76" s="6985"/>
      <c r="AG76" s="6985"/>
      <c r="AH76" s="6985"/>
      <c r="AI76" s="6985"/>
      <c r="AJ76" s="6985"/>
      <c r="AK76" s="6985"/>
      <c r="AL76" s="6985"/>
      <c r="AM76" s="6985"/>
      <c r="AN76" s="6985"/>
      <c r="AO76" s="6985"/>
      <c r="AP76" s="6985"/>
      <c r="AQ76" s="6985"/>
      <c r="AR76" s="6985"/>
      <c r="AS76" s="6985"/>
      <c r="AT76" s="6985"/>
      <c r="AU76" s="6985"/>
      <c r="AV76" s="6985"/>
      <c r="AW76" s="6985"/>
      <c r="AX76" s="6985"/>
      <c r="AY76" s="6985"/>
      <c r="AZ76" s="6985"/>
      <c r="BA76" s="6985"/>
      <c r="BB76" s="6985"/>
      <c r="BC76" s="6985"/>
      <c r="BD76" s="6985"/>
      <c r="BE76" s="6985"/>
      <c r="BF76" s="6985"/>
      <c r="BG76" s="6985"/>
      <c r="BH76" s="6985"/>
      <c r="BI76" s="6985"/>
      <c r="BJ76" s="6985"/>
      <c r="BK76" s="6985"/>
      <c r="BL76" s="6985"/>
    </row>
    <row s="11126" customFormat="1" customHeight="1" ht="11.25" hidden="1">
      <c r="A77" s="2602" t="s">
        <v>464</v>
      </c>
      <c r="B77" s="748"/>
      <c r="D77" s="902">
        <v>1</v>
      </c>
      <c r="E77" s="903" t="s">
        <v>1974</v>
      </c>
      <c r="F77" s="959" t="s">
        <v>1657</v>
      </c>
      <c r="G77" s="962"/>
      <c r="H77" s="1281"/>
      <c r="I77" s="962"/>
      <c r="J77" s="1281"/>
      <c r="K77" s="7929"/>
      <c r="L77" s="7906"/>
      <c r="M77" s="7929"/>
      <c r="N77" s="7906"/>
      <c r="O77" s="7929"/>
      <c r="P77" s="7906"/>
      <c r="Q77" s="7929"/>
      <c r="R77" s="7906"/>
      <c r="S77" s="7929"/>
      <c r="T77" s="7906"/>
      <c r="U77" s="7929"/>
      <c r="V77" s="7906"/>
      <c r="W77" s="7929"/>
      <c r="X77" s="7906"/>
      <c r="Y77" s="7929"/>
      <c r="Z77" s="7906"/>
      <c r="AA77" s="7929"/>
      <c r="AB77" s="7906"/>
      <c r="AC77" s="7929"/>
      <c r="AD77" s="7906"/>
      <c r="AE77" s="7929"/>
      <c r="AF77" s="7906"/>
      <c r="AG77" s="7929"/>
      <c r="AH77" s="7906"/>
      <c r="AI77" s="7929"/>
      <c r="AJ77" s="7906"/>
      <c r="AK77" s="7929"/>
      <c r="AL77" s="7906"/>
      <c r="AM77" s="7929"/>
      <c r="AN77" s="7906"/>
      <c r="AO77" s="7929"/>
      <c r="AP77" s="7906"/>
      <c r="AQ77" s="7929"/>
      <c r="AR77" s="7906"/>
      <c r="AS77" s="7929"/>
      <c r="AT77" s="7906"/>
      <c r="AU77" s="7929"/>
      <c r="AV77" s="7906"/>
      <c r="AW77" s="7929"/>
      <c r="AX77" s="7906"/>
      <c r="AY77" s="7929"/>
      <c r="AZ77" s="7906"/>
      <c r="BA77" s="7929"/>
      <c r="BB77" s="7906"/>
      <c r="BC77" s="7929"/>
      <c r="BD77" s="7906"/>
      <c r="BE77" s="7929"/>
      <c r="BF77" s="7906"/>
      <c r="BG77" s="7929"/>
      <c r="BH77" s="7906"/>
      <c r="BI77" s="7929"/>
      <c r="BJ77" s="7906"/>
      <c r="BK77" s="7929"/>
      <c r="BL77" s="7906"/>
      <c r="BM77" s="499" t="s">
        <v>1975</v>
      </c>
    </row>
    <row s="11126" customFormat="1" customHeight="1" ht="11.25" hidden="1">
      <c r="A78" s="2602"/>
      <c r="B78" s="748"/>
      <c r="D78" s="902" t="s">
        <v>110</v>
      </c>
      <c r="E78" s="903" t="s">
        <v>1976</v>
      </c>
      <c r="F78" s="959" t="s">
        <v>1657</v>
      </c>
      <c r="G78" s="962"/>
      <c r="H78" s="1281"/>
      <c r="I78" s="962"/>
      <c r="J78" s="1281"/>
      <c r="K78" s="7929"/>
      <c r="L78" s="7906"/>
      <c r="M78" s="7929"/>
      <c r="N78" s="7906"/>
      <c r="O78" s="7929"/>
      <c r="P78" s="7906"/>
      <c r="Q78" s="7929"/>
      <c r="R78" s="7906"/>
      <c r="S78" s="7929"/>
      <c r="T78" s="7906"/>
      <c r="U78" s="7929"/>
      <c r="V78" s="7906"/>
      <c r="W78" s="7929"/>
      <c r="X78" s="7906"/>
      <c r="Y78" s="7929"/>
      <c r="Z78" s="7906"/>
      <c r="AA78" s="7929"/>
      <c r="AB78" s="7906"/>
      <c r="AC78" s="7929"/>
      <c r="AD78" s="7906"/>
      <c r="AE78" s="7929"/>
      <c r="AF78" s="7906"/>
      <c r="AG78" s="7929"/>
      <c r="AH78" s="7906"/>
      <c r="AI78" s="7929"/>
      <c r="AJ78" s="7906"/>
      <c r="AK78" s="7929"/>
      <c r="AL78" s="7906"/>
      <c r="AM78" s="7929"/>
      <c r="AN78" s="7906"/>
      <c r="AO78" s="7929"/>
      <c r="AP78" s="7906"/>
      <c r="AQ78" s="7929"/>
      <c r="AR78" s="7906"/>
      <c r="AS78" s="7929"/>
      <c r="AT78" s="7906"/>
      <c r="AU78" s="7929"/>
      <c r="AV78" s="7906"/>
      <c r="AW78" s="7929"/>
      <c r="AX78" s="7906"/>
      <c r="AY78" s="7929"/>
      <c r="AZ78" s="7906"/>
      <c r="BA78" s="7929"/>
      <c r="BB78" s="7906"/>
      <c r="BC78" s="7929"/>
      <c r="BD78" s="7906"/>
      <c r="BE78" s="7929"/>
      <c r="BF78" s="7906"/>
      <c r="BG78" s="7929"/>
      <c r="BH78" s="7906"/>
      <c r="BI78" s="7929"/>
      <c r="BJ78" s="7906"/>
      <c r="BK78" s="7929"/>
      <c r="BL78" s="7906"/>
      <c r="BM78" s="499" t="s">
        <v>1977</v>
      </c>
    </row>
    <row s="11126" customFormat="1" customHeight="1" ht="22.5" hidden="1">
      <c r="A79" s="2602"/>
      <c r="B79" s="748"/>
      <c r="D79" s="902" t="s">
        <v>90</v>
      </c>
      <c r="E79" s="960" t="s">
        <v>1978</v>
      </c>
      <c r="F79" s="897" t="s">
        <v>1931</v>
      </c>
      <c r="G79" s="962"/>
      <c r="H79" s="1281"/>
      <c r="I79" s="962"/>
      <c r="J79" s="1281"/>
      <c r="K79" s="7929"/>
      <c r="L79" s="7906"/>
      <c r="M79" s="7929"/>
      <c r="N79" s="7906"/>
      <c r="O79" s="7929"/>
      <c r="P79" s="7906"/>
      <c r="Q79" s="7929"/>
      <c r="R79" s="7906"/>
      <c r="S79" s="7929"/>
      <c r="T79" s="7906"/>
      <c r="U79" s="7929"/>
      <c r="V79" s="7906"/>
      <c r="W79" s="7929"/>
      <c r="X79" s="7906"/>
      <c r="Y79" s="7929"/>
      <c r="Z79" s="7906"/>
      <c r="AA79" s="7929"/>
      <c r="AB79" s="7906"/>
      <c r="AC79" s="7929"/>
      <c r="AD79" s="7906"/>
      <c r="AE79" s="7929"/>
      <c r="AF79" s="7906"/>
      <c r="AG79" s="7929"/>
      <c r="AH79" s="7906"/>
      <c r="AI79" s="7929"/>
      <c r="AJ79" s="7906"/>
      <c r="AK79" s="7929"/>
      <c r="AL79" s="7906"/>
      <c r="AM79" s="7929"/>
      <c r="AN79" s="7906"/>
      <c r="AO79" s="7929"/>
      <c r="AP79" s="7906"/>
      <c r="AQ79" s="7929"/>
      <c r="AR79" s="7906"/>
      <c r="AS79" s="7929"/>
      <c r="AT79" s="7906"/>
      <c r="AU79" s="7929"/>
      <c r="AV79" s="7906"/>
      <c r="AW79" s="7929"/>
      <c r="AX79" s="7906"/>
      <c r="AY79" s="7929"/>
      <c r="AZ79" s="7906"/>
      <c r="BA79" s="7929"/>
      <c r="BB79" s="7906"/>
      <c r="BC79" s="7929"/>
      <c r="BD79" s="7906"/>
      <c r="BE79" s="7929"/>
      <c r="BF79" s="7906"/>
      <c r="BG79" s="7929"/>
      <c r="BH79" s="7906"/>
      <c r="BI79" s="7929"/>
      <c r="BJ79" s="7906"/>
      <c r="BK79" s="7929"/>
      <c r="BL79" s="7906"/>
      <c r="BM79" s="499" t="s">
        <v>1979</v>
      </c>
    </row>
    <row s="11126" customFormat="1" customHeight="1" ht="11.25" hidden="1">
      <c r="A80" s="2602"/>
      <c r="B80" s="748"/>
      <c r="D80" s="902" t="s">
        <v>388</v>
      </c>
      <c r="E80" s="961" t="s">
        <v>1980</v>
      </c>
      <c r="F80" s="897" t="s">
        <v>1931</v>
      </c>
      <c r="G80" s="962"/>
      <c r="H80" s="1281"/>
      <c r="I80" s="962"/>
      <c r="J80" s="1281"/>
      <c r="K80" s="7929"/>
      <c r="L80" s="7906"/>
      <c r="M80" s="7929"/>
      <c r="N80" s="7906"/>
      <c r="O80" s="7929"/>
      <c r="P80" s="7906"/>
      <c r="Q80" s="7929"/>
      <c r="R80" s="7906"/>
      <c r="S80" s="7929"/>
      <c r="T80" s="7906"/>
      <c r="U80" s="7929"/>
      <c r="V80" s="7906"/>
      <c r="W80" s="7929"/>
      <c r="X80" s="7906"/>
      <c r="Y80" s="7929"/>
      <c r="Z80" s="7906"/>
      <c r="AA80" s="7929"/>
      <c r="AB80" s="7906"/>
      <c r="AC80" s="7929"/>
      <c r="AD80" s="7906"/>
      <c r="AE80" s="7929"/>
      <c r="AF80" s="7906"/>
      <c r="AG80" s="7929"/>
      <c r="AH80" s="7906"/>
      <c r="AI80" s="7929"/>
      <c r="AJ80" s="7906"/>
      <c r="AK80" s="7929"/>
      <c r="AL80" s="7906"/>
      <c r="AM80" s="7929"/>
      <c r="AN80" s="7906"/>
      <c r="AO80" s="7929"/>
      <c r="AP80" s="7906"/>
      <c r="AQ80" s="7929"/>
      <c r="AR80" s="7906"/>
      <c r="AS80" s="7929"/>
      <c r="AT80" s="7906"/>
      <c r="AU80" s="7929"/>
      <c r="AV80" s="7906"/>
      <c r="AW80" s="7929"/>
      <c r="AX80" s="7906"/>
      <c r="AY80" s="7929"/>
      <c r="AZ80" s="7906"/>
      <c r="BA80" s="7929"/>
      <c r="BB80" s="7906"/>
      <c r="BC80" s="7929"/>
      <c r="BD80" s="7906"/>
      <c r="BE80" s="7929"/>
      <c r="BF80" s="7906"/>
      <c r="BG80" s="7929"/>
      <c r="BH80" s="7906"/>
      <c r="BI80" s="7929"/>
      <c r="BJ80" s="7906"/>
      <c r="BK80" s="7929"/>
      <c r="BL80" s="7906"/>
      <c r="BM80" s="499"/>
    </row>
    <row s="11126" customFormat="1" customHeight="1" ht="11.25" hidden="1">
      <c r="A81" s="2602"/>
      <c r="B81" s="748"/>
      <c r="D81" s="902" t="s">
        <v>396</v>
      </c>
      <c r="E81" s="961" t="s">
        <v>1981</v>
      </c>
      <c r="F81" s="897" t="s">
        <v>1931</v>
      </c>
      <c r="G81" s="962"/>
      <c r="H81" s="1281"/>
      <c r="I81" s="962"/>
      <c r="J81" s="1281"/>
      <c r="K81" s="7929"/>
      <c r="L81" s="7906"/>
      <c r="M81" s="7929"/>
      <c r="N81" s="7906"/>
      <c r="O81" s="7929"/>
      <c r="P81" s="7906"/>
      <c r="Q81" s="7929"/>
      <c r="R81" s="7906"/>
      <c r="S81" s="7929"/>
      <c r="T81" s="7906"/>
      <c r="U81" s="7929"/>
      <c r="V81" s="7906"/>
      <c r="W81" s="7929"/>
      <c r="X81" s="7906"/>
      <c r="Y81" s="7929"/>
      <c r="Z81" s="7906"/>
      <c r="AA81" s="7929"/>
      <c r="AB81" s="7906"/>
      <c r="AC81" s="7929"/>
      <c r="AD81" s="7906"/>
      <c r="AE81" s="7929"/>
      <c r="AF81" s="7906"/>
      <c r="AG81" s="7929"/>
      <c r="AH81" s="7906"/>
      <c r="AI81" s="7929"/>
      <c r="AJ81" s="7906"/>
      <c r="AK81" s="7929"/>
      <c r="AL81" s="7906"/>
      <c r="AM81" s="7929"/>
      <c r="AN81" s="7906"/>
      <c r="AO81" s="7929"/>
      <c r="AP81" s="7906"/>
      <c r="AQ81" s="7929"/>
      <c r="AR81" s="7906"/>
      <c r="AS81" s="7929"/>
      <c r="AT81" s="7906"/>
      <c r="AU81" s="7929"/>
      <c r="AV81" s="7906"/>
      <c r="AW81" s="7929"/>
      <c r="AX81" s="7906"/>
      <c r="AY81" s="7929"/>
      <c r="AZ81" s="7906"/>
      <c r="BA81" s="7929"/>
      <c r="BB81" s="7906"/>
      <c r="BC81" s="7929"/>
      <c r="BD81" s="7906"/>
      <c r="BE81" s="7929"/>
      <c r="BF81" s="7906"/>
      <c r="BG81" s="7929"/>
      <c r="BH81" s="7906"/>
      <c r="BI81" s="7929"/>
      <c r="BJ81" s="7906"/>
      <c r="BK81" s="7929"/>
      <c r="BL81" s="7906"/>
      <c r="BM81" s="499"/>
    </row>
    <row s="11126" customFormat="1" customHeight="1" ht="11.25" hidden="1">
      <c r="A82" s="2602"/>
      <c r="B82" s="748"/>
      <c r="D82" s="902" t="s">
        <v>398</v>
      </c>
      <c r="E82" s="961" t="s">
        <v>1982</v>
      </c>
      <c r="F82" s="897" t="s">
        <v>1931</v>
      </c>
      <c r="G82" s="962"/>
      <c r="H82" s="1281"/>
      <c r="I82" s="962"/>
      <c r="J82" s="1281"/>
      <c r="K82" s="7929"/>
      <c r="L82" s="7906"/>
      <c r="M82" s="7929"/>
      <c r="N82" s="7906"/>
      <c r="O82" s="7929"/>
      <c r="P82" s="7906"/>
      <c r="Q82" s="7929"/>
      <c r="R82" s="7906"/>
      <c r="S82" s="7929"/>
      <c r="T82" s="7906"/>
      <c r="U82" s="7929"/>
      <c r="V82" s="7906"/>
      <c r="W82" s="7929"/>
      <c r="X82" s="7906"/>
      <c r="Y82" s="7929"/>
      <c r="Z82" s="7906"/>
      <c r="AA82" s="7929"/>
      <c r="AB82" s="7906"/>
      <c r="AC82" s="7929"/>
      <c r="AD82" s="7906"/>
      <c r="AE82" s="7929"/>
      <c r="AF82" s="7906"/>
      <c r="AG82" s="7929"/>
      <c r="AH82" s="7906"/>
      <c r="AI82" s="7929"/>
      <c r="AJ82" s="7906"/>
      <c r="AK82" s="7929"/>
      <c r="AL82" s="7906"/>
      <c r="AM82" s="7929"/>
      <c r="AN82" s="7906"/>
      <c r="AO82" s="7929"/>
      <c r="AP82" s="7906"/>
      <c r="AQ82" s="7929"/>
      <c r="AR82" s="7906"/>
      <c r="AS82" s="7929"/>
      <c r="AT82" s="7906"/>
      <c r="AU82" s="7929"/>
      <c r="AV82" s="7906"/>
      <c r="AW82" s="7929"/>
      <c r="AX82" s="7906"/>
      <c r="AY82" s="7929"/>
      <c r="AZ82" s="7906"/>
      <c r="BA82" s="7929"/>
      <c r="BB82" s="7906"/>
      <c r="BC82" s="7929"/>
      <c r="BD82" s="7906"/>
      <c r="BE82" s="7929"/>
      <c r="BF82" s="7906"/>
      <c r="BG82" s="7929"/>
      <c r="BH82" s="7906"/>
      <c r="BI82" s="7929"/>
      <c r="BJ82" s="7906"/>
      <c r="BK82" s="7929"/>
      <c r="BL82" s="7906"/>
      <c r="BM82" s="499"/>
    </row>
    <row s="11126" customFormat="1" customHeight="1" ht="11.25" hidden="1">
      <c r="A83" s="2602"/>
      <c r="B83" s="748"/>
      <c r="D83" s="902" t="s">
        <v>400</v>
      </c>
      <c r="E83" s="961" t="s">
        <v>1983</v>
      </c>
      <c r="F83" s="897" t="s">
        <v>1931</v>
      </c>
      <c r="G83" s="962"/>
      <c r="H83" s="1281"/>
      <c r="I83" s="962"/>
      <c r="J83" s="1281"/>
      <c r="K83" s="7929"/>
      <c r="L83" s="7906"/>
      <c r="M83" s="7929"/>
      <c r="N83" s="7906"/>
      <c r="O83" s="7929"/>
      <c r="P83" s="7906"/>
      <c r="Q83" s="7929"/>
      <c r="R83" s="7906"/>
      <c r="S83" s="7929"/>
      <c r="T83" s="7906"/>
      <c r="U83" s="7929"/>
      <c r="V83" s="7906"/>
      <c r="W83" s="7929"/>
      <c r="X83" s="7906"/>
      <c r="Y83" s="7929"/>
      <c r="Z83" s="7906"/>
      <c r="AA83" s="7929"/>
      <c r="AB83" s="7906"/>
      <c r="AC83" s="7929"/>
      <c r="AD83" s="7906"/>
      <c r="AE83" s="7929"/>
      <c r="AF83" s="7906"/>
      <c r="AG83" s="7929"/>
      <c r="AH83" s="7906"/>
      <c r="AI83" s="7929"/>
      <c r="AJ83" s="7906"/>
      <c r="AK83" s="7929"/>
      <c r="AL83" s="7906"/>
      <c r="AM83" s="7929"/>
      <c r="AN83" s="7906"/>
      <c r="AO83" s="7929"/>
      <c r="AP83" s="7906"/>
      <c r="AQ83" s="7929"/>
      <c r="AR83" s="7906"/>
      <c r="AS83" s="7929"/>
      <c r="AT83" s="7906"/>
      <c r="AU83" s="7929"/>
      <c r="AV83" s="7906"/>
      <c r="AW83" s="7929"/>
      <c r="AX83" s="7906"/>
      <c r="AY83" s="7929"/>
      <c r="AZ83" s="7906"/>
      <c r="BA83" s="7929"/>
      <c r="BB83" s="7906"/>
      <c r="BC83" s="7929"/>
      <c r="BD83" s="7906"/>
      <c r="BE83" s="7929"/>
      <c r="BF83" s="7906"/>
      <c r="BG83" s="7929"/>
      <c r="BH83" s="7906"/>
      <c r="BI83" s="7929"/>
      <c r="BJ83" s="7906"/>
      <c r="BK83" s="7929"/>
      <c r="BL83" s="7906"/>
      <c r="BM83" s="499"/>
    </row>
    <row s="11126" customFormat="1" customHeight="1" ht="11.25" hidden="1">
      <c r="A84" s="2602"/>
      <c r="B84" s="748"/>
      <c r="D84" s="902" t="s">
        <v>1984</v>
      </c>
      <c r="E84" s="961" t="s">
        <v>1985</v>
      </c>
      <c r="F84" s="897" t="s">
        <v>1931</v>
      </c>
      <c r="G84" s="962"/>
      <c r="H84" s="1281"/>
      <c r="I84" s="962"/>
      <c r="J84" s="1281"/>
      <c r="K84" s="7929"/>
      <c r="L84" s="7906"/>
      <c r="M84" s="7929"/>
      <c r="N84" s="7906"/>
      <c r="O84" s="7929"/>
      <c r="P84" s="7906"/>
      <c r="Q84" s="7929"/>
      <c r="R84" s="7906"/>
      <c r="S84" s="7929"/>
      <c r="T84" s="7906"/>
      <c r="U84" s="7929"/>
      <c r="V84" s="7906"/>
      <c r="W84" s="7929"/>
      <c r="X84" s="7906"/>
      <c r="Y84" s="7929"/>
      <c r="Z84" s="7906"/>
      <c r="AA84" s="7929"/>
      <c r="AB84" s="7906"/>
      <c r="AC84" s="7929"/>
      <c r="AD84" s="7906"/>
      <c r="AE84" s="7929"/>
      <c r="AF84" s="7906"/>
      <c r="AG84" s="7929"/>
      <c r="AH84" s="7906"/>
      <c r="AI84" s="7929"/>
      <c r="AJ84" s="7906"/>
      <c r="AK84" s="7929"/>
      <c r="AL84" s="7906"/>
      <c r="AM84" s="7929"/>
      <c r="AN84" s="7906"/>
      <c r="AO84" s="7929"/>
      <c r="AP84" s="7906"/>
      <c r="AQ84" s="7929"/>
      <c r="AR84" s="7906"/>
      <c r="AS84" s="7929"/>
      <c r="AT84" s="7906"/>
      <c r="AU84" s="7929"/>
      <c r="AV84" s="7906"/>
      <c r="AW84" s="7929"/>
      <c r="AX84" s="7906"/>
      <c r="AY84" s="7929"/>
      <c r="AZ84" s="7906"/>
      <c r="BA84" s="7929"/>
      <c r="BB84" s="7906"/>
      <c r="BC84" s="7929"/>
      <c r="BD84" s="7906"/>
      <c r="BE84" s="7929"/>
      <c r="BF84" s="7906"/>
      <c r="BG84" s="7929"/>
      <c r="BH84" s="7906"/>
      <c r="BI84" s="7929"/>
      <c r="BJ84" s="7906"/>
      <c r="BK84" s="7929"/>
      <c r="BL84" s="7906"/>
      <c r="BM84" s="499"/>
    </row>
    <row s="11126" customFormat="1" customHeight="1" ht="11.25" hidden="1">
      <c r="A85" s="2602"/>
      <c r="B85" s="748"/>
      <c r="D85" s="902" t="s">
        <v>1986</v>
      </c>
      <c r="E85" s="961" t="s">
        <v>1987</v>
      </c>
      <c r="F85" s="897" t="s">
        <v>1931</v>
      </c>
      <c r="G85" s="962"/>
      <c r="H85" s="1281"/>
      <c r="I85" s="962"/>
      <c r="J85" s="1281"/>
      <c r="K85" s="7929"/>
      <c r="L85" s="7906"/>
      <c r="M85" s="7929"/>
      <c r="N85" s="7906"/>
      <c r="O85" s="7929"/>
      <c r="P85" s="7906"/>
      <c r="Q85" s="7929"/>
      <c r="R85" s="7906"/>
      <c r="S85" s="7929"/>
      <c r="T85" s="7906"/>
      <c r="U85" s="7929"/>
      <c r="V85" s="7906"/>
      <c r="W85" s="7929"/>
      <c r="X85" s="7906"/>
      <c r="Y85" s="7929"/>
      <c r="Z85" s="7906"/>
      <c r="AA85" s="7929"/>
      <c r="AB85" s="7906"/>
      <c r="AC85" s="7929"/>
      <c r="AD85" s="7906"/>
      <c r="AE85" s="7929"/>
      <c r="AF85" s="7906"/>
      <c r="AG85" s="7929"/>
      <c r="AH85" s="7906"/>
      <c r="AI85" s="7929"/>
      <c r="AJ85" s="7906"/>
      <c r="AK85" s="7929"/>
      <c r="AL85" s="7906"/>
      <c r="AM85" s="7929"/>
      <c r="AN85" s="7906"/>
      <c r="AO85" s="7929"/>
      <c r="AP85" s="7906"/>
      <c r="AQ85" s="7929"/>
      <c r="AR85" s="7906"/>
      <c r="AS85" s="7929"/>
      <c r="AT85" s="7906"/>
      <c r="AU85" s="7929"/>
      <c r="AV85" s="7906"/>
      <c r="AW85" s="7929"/>
      <c r="AX85" s="7906"/>
      <c r="AY85" s="7929"/>
      <c r="AZ85" s="7906"/>
      <c r="BA85" s="7929"/>
      <c r="BB85" s="7906"/>
      <c r="BC85" s="7929"/>
      <c r="BD85" s="7906"/>
      <c r="BE85" s="7929"/>
      <c r="BF85" s="7906"/>
      <c r="BG85" s="7929"/>
      <c r="BH85" s="7906"/>
      <c r="BI85" s="7929"/>
      <c r="BJ85" s="7906"/>
      <c r="BK85" s="7929"/>
      <c r="BL85" s="7906"/>
      <c r="BM85" s="499"/>
    </row>
    <row s="11126" customFormat="1" customHeight="1" ht="11.25" hidden="1">
      <c r="A86" s="2602"/>
      <c r="B86" s="748"/>
      <c r="D86" s="902" t="s">
        <v>1988</v>
      </c>
      <c r="E86" s="961" t="s">
        <v>1989</v>
      </c>
      <c r="F86" s="897" t="s">
        <v>1931</v>
      </c>
      <c r="G86" s="962"/>
      <c r="H86" s="1281"/>
      <c r="I86" s="962"/>
      <c r="J86" s="1281"/>
      <c r="K86" s="7929"/>
      <c r="L86" s="7906"/>
      <c r="M86" s="7929"/>
      <c r="N86" s="7906"/>
      <c r="O86" s="7929"/>
      <c r="P86" s="7906"/>
      <c r="Q86" s="7929"/>
      <c r="R86" s="7906"/>
      <c r="S86" s="7929"/>
      <c r="T86" s="7906"/>
      <c r="U86" s="7929"/>
      <c r="V86" s="7906"/>
      <c r="W86" s="7929"/>
      <c r="X86" s="7906"/>
      <c r="Y86" s="7929"/>
      <c r="Z86" s="7906"/>
      <c r="AA86" s="7929"/>
      <c r="AB86" s="7906"/>
      <c r="AC86" s="7929"/>
      <c r="AD86" s="7906"/>
      <c r="AE86" s="7929"/>
      <c r="AF86" s="7906"/>
      <c r="AG86" s="7929"/>
      <c r="AH86" s="7906"/>
      <c r="AI86" s="7929"/>
      <c r="AJ86" s="7906"/>
      <c r="AK86" s="7929"/>
      <c r="AL86" s="7906"/>
      <c r="AM86" s="7929"/>
      <c r="AN86" s="7906"/>
      <c r="AO86" s="7929"/>
      <c r="AP86" s="7906"/>
      <c r="AQ86" s="7929"/>
      <c r="AR86" s="7906"/>
      <c r="AS86" s="7929"/>
      <c r="AT86" s="7906"/>
      <c r="AU86" s="7929"/>
      <c r="AV86" s="7906"/>
      <c r="AW86" s="7929"/>
      <c r="AX86" s="7906"/>
      <c r="AY86" s="7929"/>
      <c r="AZ86" s="7906"/>
      <c r="BA86" s="7929"/>
      <c r="BB86" s="7906"/>
      <c r="BC86" s="7929"/>
      <c r="BD86" s="7906"/>
      <c r="BE86" s="7929"/>
      <c r="BF86" s="7906"/>
      <c r="BG86" s="7929"/>
      <c r="BH86" s="7906"/>
      <c r="BI86" s="7929"/>
      <c r="BJ86" s="7906"/>
      <c r="BK86" s="7929"/>
      <c r="BL86" s="7906"/>
      <c r="BM86" s="499"/>
    </row>
    <row s="11126" customFormat="1" customHeight="1" ht="45" hidden="1">
      <c r="A87" s="2602"/>
      <c r="B87" s="748"/>
      <c r="D87" s="902" t="s">
        <v>91</v>
      </c>
      <c r="E87" s="903" t="s">
        <v>1990</v>
      </c>
      <c r="F87" s="897" t="s">
        <v>1931</v>
      </c>
      <c r="G87" s="962"/>
      <c r="H87" s="1281"/>
      <c r="I87" s="962"/>
      <c r="J87" s="1281"/>
      <c r="K87" s="7929"/>
      <c r="L87" s="7906"/>
      <c r="M87" s="7929"/>
      <c r="N87" s="7906"/>
      <c r="O87" s="7929"/>
      <c r="P87" s="7906"/>
      <c r="Q87" s="7929"/>
      <c r="R87" s="7906"/>
      <c r="S87" s="7929"/>
      <c r="T87" s="7906"/>
      <c r="U87" s="7929"/>
      <c r="V87" s="7906"/>
      <c r="W87" s="7929"/>
      <c r="X87" s="7906"/>
      <c r="Y87" s="7929"/>
      <c r="Z87" s="7906"/>
      <c r="AA87" s="7929"/>
      <c r="AB87" s="7906"/>
      <c r="AC87" s="7929"/>
      <c r="AD87" s="7906"/>
      <c r="AE87" s="7929"/>
      <c r="AF87" s="7906"/>
      <c r="AG87" s="7929"/>
      <c r="AH87" s="7906"/>
      <c r="AI87" s="7929"/>
      <c r="AJ87" s="7906"/>
      <c r="AK87" s="7929"/>
      <c r="AL87" s="7906"/>
      <c r="AM87" s="7929"/>
      <c r="AN87" s="7906"/>
      <c r="AO87" s="7929"/>
      <c r="AP87" s="7906"/>
      <c r="AQ87" s="7929"/>
      <c r="AR87" s="7906"/>
      <c r="AS87" s="7929"/>
      <c r="AT87" s="7906"/>
      <c r="AU87" s="7929"/>
      <c r="AV87" s="7906"/>
      <c r="AW87" s="7929"/>
      <c r="AX87" s="7906"/>
      <c r="AY87" s="7929"/>
      <c r="AZ87" s="7906"/>
      <c r="BA87" s="7929"/>
      <c r="BB87" s="7906"/>
      <c r="BC87" s="7929"/>
      <c r="BD87" s="7906"/>
      <c r="BE87" s="7929"/>
      <c r="BF87" s="7906"/>
      <c r="BG87" s="7929"/>
      <c r="BH87" s="7906"/>
      <c r="BI87" s="7929"/>
      <c r="BJ87" s="7906"/>
      <c r="BK87" s="7929"/>
      <c r="BL87" s="7906"/>
      <c r="BM87" s="499" t="s">
        <v>1991</v>
      </c>
    </row>
    <row s="11126" customFormat="1" customHeight="1" ht="11.25" hidden="1">
      <c r="A88" s="2602"/>
      <c r="B88" s="748"/>
      <c r="D88" s="902" t="s">
        <v>678</v>
      </c>
      <c r="E88" s="961" t="s">
        <v>1980</v>
      </c>
      <c r="F88" s="897" t="s">
        <v>1931</v>
      </c>
      <c r="G88" s="962"/>
      <c r="H88" s="1281"/>
      <c r="I88" s="962"/>
      <c r="J88" s="1281"/>
      <c r="K88" s="7929"/>
      <c r="L88" s="7906"/>
      <c r="M88" s="7929"/>
      <c r="N88" s="7906"/>
      <c r="O88" s="7929"/>
      <c r="P88" s="7906"/>
      <c r="Q88" s="7929"/>
      <c r="R88" s="7906"/>
      <c r="S88" s="7929"/>
      <c r="T88" s="7906"/>
      <c r="U88" s="7929"/>
      <c r="V88" s="7906"/>
      <c r="W88" s="7929"/>
      <c r="X88" s="7906"/>
      <c r="Y88" s="7929"/>
      <c r="Z88" s="7906"/>
      <c r="AA88" s="7929"/>
      <c r="AB88" s="7906"/>
      <c r="AC88" s="7929"/>
      <c r="AD88" s="7906"/>
      <c r="AE88" s="7929"/>
      <c r="AF88" s="7906"/>
      <c r="AG88" s="7929"/>
      <c r="AH88" s="7906"/>
      <c r="AI88" s="7929"/>
      <c r="AJ88" s="7906"/>
      <c r="AK88" s="7929"/>
      <c r="AL88" s="7906"/>
      <c r="AM88" s="7929"/>
      <c r="AN88" s="7906"/>
      <c r="AO88" s="7929"/>
      <c r="AP88" s="7906"/>
      <c r="AQ88" s="7929"/>
      <c r="AR88" s="7906"/>
      <c r="AS88" s="7929"/>
      <c r="AT88" s="7906"/>
      <c r="AU88" s="7929"/>
      <c r="AV88" s="7906"/>
      <c r="AW88" s="7929"/>
      <c r="AX88" s="7906"/>
      <c r="AY88" s="7929"/>
      <c r="AZ88" s="7906"/>
      <c r="BA88" s="7929"/>
      <c r="BB88" s="7906"/>
      <c r="BC88" s="7929"/>
      <c r="BD88" s="7906"/>
      <c r="BE88" s="7929"/>
      <c r="BF88" s="7906"/>
      <c r="BG88" s="7929"/>
      <c r="BH88" s="7906"/>
      <c r="BI88" s="7929"/>
      <c r="BJ88" s="7906"/>
      <c r="BK88" s="7929"/>
      <c r="BL88" s="7906"/>
      <c r="BM88" s="499"/>
    </row>
    <row s="11126" customFormat="1" customHeight="1" ht="11.25" hidden="1">
      <c r="A89" s="2602"/>
      <c r="B89" s="748"/>
      <c r="D89" s="902" t="s">
        <v>697</v>
      </c>
      <c r="E89" s="961" t="s">
        <v>1981</v>
      </c>
      <c r="F89" s="897" t="s">
        <v>1931</v>
      </c>
      <c r="G89" s="962"/>
      <c r="H89" s="1281"/>
      <c r="I89" s="962"/>
      <c r="J89" s="1281"/>
      <c r="K89" s="7929"/>
      <c r="L89" s="7906"/>
      <c r="M89" s="7929"/>
      <c r="N89" s="7906"/>
      <c r="O89" s="7929"/>
      <c r="P89" s="7906"/>
      <c r="Q89" s="7929"/>
      <c r="R89" s="7906"/>
      <c r="S89" s="7929"/>
      <c r="T89" s="7906"/>
      <c r="U89" s="7929"/>
      <c r="V89" s="7906"/>
      <c r="W89" s="7929"/>
      <c r="X89" s="7906"/>
      <c r="Y89" s="7929"/>
      <c r="Z89" s="7906"/>
      <c r="AA89" s="7929"/>
      <c r="AB89" s="7906"/>
      <c r="AC89" s="7929"/>
      <c r="AD89" s="7906"/>
      <c r="AE89" s="7929"/>
      <c r="AF89" s="7906"/>
      <c r="AG89" s="7929"/>
      <c r="AH89" s="7906"/>
      <c r="AI89" s="7929"/>
      <c r="AJ89" s="7906"/>
      <c r="AK89" s="7929"/>
      <c r="AL89" s="7906"/>
      <c r="AM89" s="7929"/>
      <c r="AN89" s="7906"/>
      <c r="AO89" s="7929"/>
      <c r="AP89" s="7906"/>
      <c r="AQ89" s="7929"/>
      <c r="AR89" s="7906"/>
      <c r="AS89" s="7929"/>
      <c r="AT89" s="7906"/>
      <c r="AU89" s="7929"/>
      <c r="AV89" s="7906"/>
      <c r="AW89" s="7929"/>
      <c r="AX89" s="7906"/>
      <c r="AY89" s="7929"/>
      <c r="AZ89" s="7906"/>
      <c r="BA89" s="7929"/>
      <c r="BB89" s="7906"/>
      <c r="BC89" s="7929"/>
      <c r="BD89" s="7906"/>
      <c r="BE89" s="7929"/>
      <c r="BF89" s="7906"/>
      <c r="BG89" s="7929"/>
      <c r="BH89" s="7906"/>
      <c r="BI89" s="7929"/>
      <c r="BJ89" s="7906"/>
      <c r="BK89" s="7929"/>
      <c r="BL89" s="7906"/>
      <c r="BM89" s="499"/>
    </row>
    <row s="11126" customFormat="1" customHeight="1" ht="11.25" hidden="1">
      <c r="A90" s="2602"/>
      <c r="B90" s="748"/>
      <c r="D90" s="902" t="s">
        <v>1670</v>
      </c>
      <c r="E90" s="961" t="s">
        <v>1982</v>
      </c>
      <c r="F90" s="897" t="s">
        <v>1931</v>
      </c>
      <c r="G90" s="962"/>
      <c r="H90" s="1281"/>
      <c r="I90" s="962"/>
      <c r="J90" s="1281"/>
      <c r="K90" s="7929"/>
      <c r="L90" s="7906"/>
      <c r="M90" s="7929"/>
      <c r="N90" s="7906"/>
      <c r="O90" s="7929"/>
      <c r="P90" s="7906"/>
      <c r="Q90" s="7929"/>
      <c r="R90" s="7906"/>
      <c r="S90" s="7929"/>
      <c r="T90" s="7906"/>
      <c r="U90" s="7929"/>
      <c r="V90" s="7906"/>
      <c r="W90" s="7929"/>
      <c r="X90" s="7906"/>
      <c r="Y90" s="7929"/>
      <c r="Z90" s="7906"/>
      <c r="AA90" s="7929"/>
      <c r="AB90" s="7906"/>
      <c r="AC90" s="7929"/>
      <c r="AD90" s="7906"/>
      <c r="AE90" s="7929"/>
      <c r="AF90" s="7906"/>
      <c r="AG90" s="7929"/>
      <c r="AH90" s="7906"/>
      <c r="AI90" s="7929"/>
      <c r="AJ90" s="7906"/>
      <c r="AK90" s="7929"/>
      <c r="AL90" s="7906"/>
      <c r="AM90" s="7929"/>
      <c r="AN90" s="7906"/>
      <c r="AO90" s="7929"/>
      <c r="AP90" s="7906"/>
      <c r="AQ90" s="7929"/>
      <c r="AR90" s="7906"/>
      <c r="AS90" s="7929"/>
      <c r="AT90" s="7906"/>
      <c r="AU90" s="7929"/>
      <c r="AV90" s="7906"/>
      <c r="AW90" s="7929"/>
      <c r="AX90" s="7906"/>
      <c r="AY90" s="7929"/>
      <c r="AZ90" s="7906"/>
      <c r="BA90" s="7929"/>
      <c r="BB90" s="7906"/>
      <c r="BC90" s="7929"/>
      <c r="BD90" s="7906"/>
      <c r="BE90" s="7929"/>
      <c r="BF90" s="7906"/>
      <c r="BG90" s="7929"/>
      <c r="BH90" s="7906"/>
      <c r="BI90" s="7929"/>
      <c r="BJ90" s="7906"/>
      <c r="BK90" s="7929"/>
      <c r="BL90" s="7906"/>
      <c r="BM90" s="499"/>
    </row>
    <row s="11126" customFormat="1" customHeight="1" ht="11.25" hidden="1">
      <c r="A91" s="2602"/>
      <c r="B91" s="748"/>
      <c r="D91" s="902" t="s">
        <v>1949</v>
      </c>
      <c r="E91" s="961" t="s">
        <v>1983</v>
      </c>
      <c r="F91" s="897" t="s">
        <v>1931</v>
      </c>
      <c r="G91" s="962"/>
      <c r="H91" s="1281"/>
      <c r="I91" s="962"/>
      <c r="J91" s="1281"/>
      <c r="K91" s="7929"/>
      <c r="L91" s="7906"/>
      <c r="M91" s="7929"/>
      <c r="N91" s="7906"/>
      <c r="O91" s="7929"/>
      <c r="P91" s="7906"/>
      <c r="Q91" s="7929"/>
      <c r="R91" s="7906"/>
      <c r="S91" s="7929"/>
      <c r="T91" s="7906"/>
      <c r="U91" s="7929"/>
      <c r="V91" s="7906"/>
      <c r="W91" s="7929"/>
      <c r="X91" s="7906"/>
      <c r="Y91" s="7929"/>
      <c r="Z91" s="7906"/>
      <c r="AA91" s="7929"/>
      <c r="AB91" s="7906"/>
      <c r="AC91" s="7929"/>
      <c r="AD91" s="7906"/>
      <c r="AE91" s="7929"/>
      <c r="AF91" s="7906"/>
      <c r="AG91" s="7929"/>
      <c r="AH91" s="7906"/>
      <c r="AI91" s="7929"/>
      <c r="AJ91" s="7906"/>
      <c r="AK91" s="7929"/>
      <c r="AL91" s="7906"/>
      <c r="AM91" s="7929"/>
      <c r="AN91" s="7906"/>
      <c r="AO91" s="7929"/>
      <c r="AP91" s="7906"/>
      <c r="AQ91" s="7929"/>
      <c r="AR91" s="7906"/>
      <c r="AS91" s="7929"/>
      <c r="AT91" s="7906"/>
      <c r="AU91" s="7929"/>
      <c r="AV91" s="7906"/>
      <c r="AW91" s="7929"/>
      <c r="AX91" s="7906"/>
      <c r="AY91" s="7929"/>
      <c r="AZ91" s="7906"/>
      <c r="BA91" s="7929"/>
      <c r="BB91" s="7906"/>
      <c r="BC91" s="7929"/>
      <c r="BD91" s="7906"/>
      <c r="BE91" s="7929"/>
      <c r="BF91" s="7906"/>
      <c r="BG91" s="7929"/>
      <c r="BH91" s="7906"/>
      <c r="BI91" s="7929"/>
      <c r="BJ91" s="7906"/>
      <c r="BK91" s="7929"/>
      <c r="BL91" s="7906"/>
      <c r="BM91" s="499"/>
    </row>
    <row s="11126" customFormat="1" customHeight="1" ht="11.25" hidden="1">
      <c r="A92" s="2602"/>
      <c r="B92" s="748"/>
      <c r="D92" s="902" t="s">
        <v>1951</v>
      </c>
      <c r="E92" s="961" t="s">
        <v>1985</v>
      </c>
      <c r="F92" s="897" t="s">
        <v>1931</v>
      </c>
      <c r="G92" s="962"/>
      <c r="H92" s="1281"/>
      <c r="I92" s="962"/>
      <c r="J92" s="1281"/>
      <c r="K92" s="7929"/>
      <c r="L92" s="7906"/>
      <c r="M92" s="7929"/>
      <c r="N92" s="7906"/>
      <c r="O92" s="7929"/>
      <c r="P92" s="7906"/>
      <c r="Q92" s="7929"/>
      <c r="R92" s="7906"/>
      <c r="S92" s="7929"/>
      <c r="T92" s="7906"/>
      <c r="U92" s="7929"/>
      <c r="V92" s="7906"/>
      <c r="W92" s="7929"/>
      <c r="X92" s="7906"/>
      <c r="Y92" s="7929"/>
      <c r="Z92" s="7906"/>
      <c r="AA92" s="7929"/>
      <c r="AB92" s="7906"/>
      <c r="AC92" s="7929"/>
      <c r="AD92" s="7906"/>
      <c r="AE92" s="7929"/>
      <c r="AF92" s="7906"/>
      <c r="AG92" s="7929"/>
      <c r="AH92" s="7906"/>
      <c r="AI92" s="7929"/>
      <c r="AJ92" s="7906"/>
      <c r="AK92" s="7929"/>
      <c r="AL92" s="7906"/>
      <c r="AM92" s="7929"/>
      <c r="AN92" s="7906"/>
      <c r="AO92" s="7929"/>
      <c r="AP92" s="7906"/>
      <c r="AQ92" s="7929"/>
      <c r="AR92" s="7906"/>
      <c r="AS92" s="7929"/>
      <c r="AT92" s="7906"/>
      <c r="AU92" s="7929"/>
      <c r="AV92" s="7906"/>
      <c r="AW92" s="7929"/>
      <c r="AX92" s="7906"/>
      <c r="AY92" s="7929"/>
      <c r="AZ92" s="7906"/>
      <c r="BA92" s="7929"/>
      <c r="BB92" s="7906"/>
      <c r="BC92" s="7929"/>
      <c r="BD92" s="7906"/>
      <c r="BE92" s="7929"/>
      <c r="BF92" s="7906"/>
      <c r="BG92" s="7929"/>
      <c r="BH92" s="7906"/>
      <c r="BI92" s="7929"/>
      <c r="BJ92" s="7906"/>
      <c r="BK92" s="7929"/>
      <c r="BL92" s="7906"/>
      <c r="BM92" s="499"/>
    </row>
    <row s="11126" customFormat="1" customHeight="1" ht="11.25" hidden="1">
      <c r="A93" s="2602"/>
      <c r="B93" s="748"/>
      <c r="D93" s="902" t="s">
        <v>1992</v>
      </c>
      <c r="E93" s="961" t="s">
        <v>1987</v>
      </c>
      <c r="F93" s="897" t="s">
        <v>1931</v>
      </c>
      <c r="G93" s="962"/>
      <c r="H93" s="1281"/>
      <c r="I93" s="962"/>
      <c r="J93" s="1281"/>
      <c r="K93" s="7929"/>
      <c r="L93" s="7906"/>
      <c r="M93" s="7929"/>
      <c r="N93" s="7906"/>
      <c r="O93" s="7929"/>
      <c r="P93" s="7906"/>
      <c r="Q93" s="7929"/>
      <c r="R93" s="7906"/>
      <c r="S93" s="7929"/>
      <c r="T93" s="7906"/>
      <c r="U93" s="7929"/>
      <c r="V93" s="7906"/>
      <c r="W93" s="7929"/>
      <c r="X93" s="7906"/>
      <c r="Y93" s="7929"/>
      <c r="Z93" s="7906"/>
      <c r="AA93" s="7929"/>
      <c r="AB93" s="7906"/>
      <c r="AC93" s="7929"/>
      <c r="AD93" s="7906"/>
      <c r="AE93" s="7929"/>
      <c r="AF93" s="7906"/>
      <c r="AG93" s="7929"/>
      <c r="AH93" s="7906"/>
      <c r="AI93" s="7929"/>
      <c r="AJ93" s="7906"/>
      <c r="AK93" s="7929"/>
      <c r="AL93" s="7906"/>
      <c r="AM93" s="7929"/>
      <c r="AN93" s="7906"/>
      <c r="AO93" s="7929"/>
      <c r="AP93" s="7906"/>
      <c r="AQ93" s="7929"/>
      <c r="AR93" s="7906"/>
      <c r="AS93" s="7929"/>
      <c r="AT93" s="7906"/>
      <c r="AU93" s="7929"/>
      <c r="AV93" s="7906"/>
      <c r="AW93" s="7929"/>
      <c r="AX93" s="7906"/>
      <c r="AY93" s="7929"/>
      <c r="AZ93" s="7906"/>
      <c r="BA93" s="7929"/>
      <c r="BB93" s="7906"/>
      <c r="BC93" s="7929"/>
      <c r="BD93" s="7906"/>
      <c r="BE93" s="7929"/>
      <c r="BF93" s="7906"/>
      <c r="BG93" s="7929"/>
      <c r="BH93" s="7906"/>
      <c r="BI93" s="7929"/>
      <c r="BJ93" s="7906"/>
      <c r="BK93" s="7929"/>
      <c r="BL93" s="7906"/>
      <c r="BM93" s="499"/>
    </row>
    <row s="11126" customFormat="1" customHeight="1" ht="11.25" hidden="1">
      <c r="A94" s="2602"/>
      <c r="B94" s="748"/>
      <c r="D94" s="902" t="s">
        <v>1993</v>
      </c>
      <c r="E94" s="961" t="s">
        <v>1989</v>
      </c>
      <c r="F94" s="897" t="s">
        <v>1931</v>
      </c>
      <c r="G94" s="962"/>
      <c r="H94" s="1281"/>
      <c r="I94" s="962"/>
      <c r="J94" s="1281"/>
      <c r="K94" s="7929"/>
      <c r="L94" s="7906"/>
      <c r="M94" s="7929"/>
      <c r="N94" s="7906"/>
      <c r="O94" s="7929"/>
      <c r="P94" s="7906"/>
      <c r="Q94" s="7929"/>
      <c r="R94" s="7906"/>
      <c r="S94" s="7929"/>
      <c r="T94" s="7906"/>
      <c r="U94" s="7929"/>
      <c r="V94" s="7906"/>
      <c r="W94" s="7929"/>
      <c r="X94" s="7906"/>
      <c r="Y94" s="7929"/>
      <c r="Z94" s="7906"/>
      <c r="AA94" s="7929"/>
      <c r="AB94" s="7906"/>
      <c r="AC94" s="7929"/>
      <c r="AD94" s="7906"/>
      <c r="AE94" s="7929"/>
      <c r="AF94" s="7906"/>
      <c r="AG94" s="7929"/>
      <c r="AH94" s="7906"/>
      <c r="AI94" s="7929"/>
      <c r="AJ94" s="7906"/>
      <c r="AK94" s="7929"/>
      <c r="AL94" s="7906"/>
      <c r="AM94" s="7929"/>
      <c r="AN94" s="7906"/>
      <c r="AO94" s="7929"/>
      <c r="AP94" s="7906"/>
      <c r="AQ94" s="7929"/>
      <c r="AR94" s="7906"/>
      <c r="AS94" s="7929"/>
      <c r="AT94" s="7906"/>
      <c r="AU94" s="7929"/>
      <c r="AV94" s="7906"/>
      <c r="AW94" s="7929"/>
      <c r="AX94" s="7906"/>
      <c r="AY94" s="7929"/>
      <c r="AZ94" s="7906"/>
      <c r="BA94" s="7929"/>
      <c r="BB94" s="7906"/>
      <c r="BC94" s="7929"/>
      <c r="BD94" s="7906"/>
      <c r="BE94" s="7929"/>
      <c r="BF94" s="7906"/>
      <c r="BG94" s="7929"/>
      <c r="BH94" s="7906"/>
      <c r="BI94" s="7929"/>
      <c r="BJ94" s="7906"/>
      <c r="BK94" s="7929"/>
      <c r="BL94" s="7906"/>
      <c r="BM94" s="499"/>
    </row>
    <row s="11126" customFormat="1" customHeight="1" ht="24.75" hidden="1">
      <c r="A95" s="2602"/>
      <c r="B95" s="748"/>
      <c r="D95" s="902" t="s">
        <v>111</v>
      </c>
      <c r="E95" s="903" t="s">
        <v>1994</v>
      </c>
      <c r="F95" s="963" t="s">
        <v>1674</v>
      </c>
      <c r="G95" s="965"/>
      <c r="H95" s="1281"/>
      <c r="I95" s="965"/>
      <c r="J95" s="1281"/>
      <c r="K95" s="7928"/>
      <c r="L95" s="7906"/>
      <c r="M95" s="7928"/>
      <c r="N95" s="7906"/>
      <c r="O95" s="7928"/>
      <c r="P95" s="7906"/>
      <c r="Q95" s="7928"/>
      <c r="R95" s="7906"/>
      <c r="S95" s="7928"/>
      <c r="T95" s="7906"/>
      <c r="U95" s="7928"/>
      <c r="V95" s="7906"/>
      <c r="W95" s="7928"/>
      <c r="X95" s="7906"/>
      <c r="Y95" s="7928"/>
      <c r="Z95" s="7906"/>
      <c r="AA95" s="7928"/>
      <c r="AB95" s="7906"/>
      <c r="AC95" s="7928"/>
      <c r="AD95" s="7906"/>
      <c r="AE95" s="7928"/>
      <c r="AF95" s="7906"/>
      <c r="AG95" s="7928"/>
      <c r="AH95" s="7906"/>
      <c r="AI95" s="7928"/>
      <c r="AJ95" s="7906"/>
      <c r="AK95" s="7928"/>
      <c r="AL95" s="7906"/>
      <c r="AM95" s="7928"/>
      <c r="AN95" s="7906"/>
      <c r="AO95" s="7928"/>
      <c r="AP95" s="7906"/>
      <c r="AQ95" s="7928"/>
      <c r="AR95" s="7906"/>
      <c r="AS95" s="7928"/>
      <c r="AT95" s="7906"/>
      <c r="AU95" s="7928"/>
      <c r="AV95" s="7906"/>
      <c r="AW95" s="7928"/>
      <c r="AX95" s="7906"/>
      <c r="AY95" s="7928"/>
      <c r="AZ95" s="7906"/>
      <c r="BA95" s="7928"/>
      <c r="BB95" s="7906"/>
      <c r="BC95" s="7928"/>
      <c r="BD95" s="7906"/>
      <c r="BE95" s="7928"/>
      <c r="BF95" s="7906"/>
      <c r="BG95" s="7928"/>
      <c r="BH95" s="7906"/>
      <c r="BI95" s="7928"/>
      <c r="BJ95" s="7906"/>
      <c r="BK95" s="7928"/>
      <c r="BL95" s="7906"/>
      <c r="BM95" s="499" t="s">
        <v>1995</v>
      </c>
    </row>
    <row s="11126" customFormat="1" customHeight="1" ht="33.75" hidden="1">
      <c r="A96" s="2602"/>
      <c r="B96" s="748"/>
      <c r="D96" s="902" t="s">
        <v>92</v>
      </c>
      <c r="E96" s="903" t="s">
        <v>1996</v>
      </c>
      <c r="F96" s="964" t="s">
        <v>1669</v>
      </c>
      <c r="G96" s="966"/>
      <c r="H96" s="1281"/>
      <c r="I96" s="966"/>
      <c r="J96" s="1281"/>
      <c r="K96" s="7932"/>
      <c r="L96" s="7906"/>
      <c r="M96" s="7932"/>
      <c r="N96" s="7906"/>
      <c r="O96" s="7932"/>
      <c r="P96" s="7906"/>
      <c r="Q96" s="7932"/>
      <c r="R96" s="7906"/>
      <c r="S96" s="7932"/>
      <c r="T96" s="7906"/>
      <c r="U96" s="7932"/>
      <c r="V96" s="7906"/>
      <c r="W96" s="7932"/>
      <c r="X96" s="7906"/>
      <c r="Y96" s="7932"/>
      <c r="Z96" s="7906"/>
      <c r="AA96" s="7932"/>
      <c r="AB96" s="7906"/>
      <c r="AC96" s="7932"/>
      <c r="AD96" s="7906"/>
      <c r="AE96" s="7932"/>
      <c r="AF96" s="7906"/>
      <c r="AG96" s="7932"/>
      <c r="AH96" s="7906"/>
      <c r="AI96" s="7932"/>
      <c r="AJ96" s="7906"/>
      <c r="AK96" s="7932"/>
      <c r="AL96" s="7906"/>
      <c r="AM96" s="7932"/>
      <c r="AN96" s="7906"/>
      <c r="AO96" s="7932"/>
      <c r="AP96" s="7906"/>
      <c r="AQ96" s="7932"/>
      <c r="AR96" s="7906"/>
      <c r="AS96" s="7932"/>
      <c r="AT96" s="7906"/>
      <c r="AU96" s="7932"/>
      <c r="AV96" s="7906"/>
      <c r="AW96" s="7932"/>
      <c r="AX96" s="7906"/>
      <c r="AY96" s="7932"/>
      <c r="AZ96" s="7906"/>
      <c r="BA96" s="7932"/>
      <c r="BB96" s="7906"/>
      <c r="BC96" s="7932"/>
      <c r="BD96" s="7906"/>
      <c r="BE96" s="7932"/>
      <c r="BF96" s="7906"/>
      <c r="BG96" s="7932"/>
      <c r="BH96" s="7906"/>
      <c r="BI96" s="7932"/>
      <c r="BJ96" s="7906"/>
      <c r="BK96" s="7932"/>
      <c r="BL96" s="7906"/>
      <c r="BM96" s="499"/>
    </row>
    <row s="11126" customFormat="1" customHeight="1" ht="22.5" hidden="1">
      <c r="A97" s="2602"/>
      <c r="B97" s="748" t="s">
        <v>1793</v>
      </c>
      <c r="D97" s="902" t="s">
        <v>93</v>
      </c>
      <c r="E97" s="903" t="s">
        <v>1997</v>
      </c>
      <c r="F97" s="964" t="s">
        <v>368</v>
      </c>
      <c r="G97" s="616"/>
      <c r="H97" s="1281"/>
      <c r="I97" s="616"/>
      <c r="J97" s="1281"/>
      <c r="K97" s="7933"/>
      <c r="L97" s="7906"/>
      <c r="M97" s="7933"/>
      <c r="N97" s="7906"/>
      <c r="O97" s="7933"/>
      <c r="P97" s="7906"/>
      <c r="Q97" s="7933"/>
      <c r="R97" s="7906"/>
      <c r="S97" s="7933"/>
      <c r="T97" s="7906"/>
      <c r="U97" s="7933"/>
      <c r="V97" s="7906"/>
      <c r="W97" s="7933"/>
      <c r="X97" s="7906"/>
      <c r="Y97" s="7933"/>
      <c r="Z97" s="7906"/>
      <c r="AA97" s="7933"/>
      <c r="AB97" s="7906"/>
      <c r="AC97" s="7933"/>
      <c r="AD97" s="7906"/>
      <c r="AE97" s="7933"/>
      <c r="AF97" s="7906"/>
      <c r="AG97" s="7933"/>
      <c r="AH97" s="7906"/>
      <c r="AI97" s="7933"/>
      <c r="AJ97" s="7906"/>
      <c r="AK97" s="7933"/>
      <c r="AL97" s="7906"/>
      <c r="AM97" s="7933"/>
      <c r="AN97" s="7906"/>
      <c r="AO97" s="7933"/>
      <c r="AP97" s="7906"/>
      <c r="AQ97" s="7933"/>
      <c r="AR97" s="7906"/>
      <c r="AS97" s="7933"/>
      <c r="AT97" s="7906"/>
      <c r="AU97" s="7933"/>
      <c r="AV97" s="7906"/>
      <c r="AW97" s="7933"/>
      <c r="AX97" s="7906"/>
      <c r="AY97" s="7933"/>
      <c r="AZ97" s="7906"/>
      <c r="BA97" s="7933"/>
      <c r="BB97" s="7906"/>
      <c r="BC97" s="7933"/>
      <c r="BD97" s="7906"/>
      <c r="BE97" s="7933"/>
      <c r="BF97" s="7906"/>
      <c r="BG97" s="7933"/>
      <c r="BH97" s="7906"/>
      <c r="BI97" s="7933"/>
      <c r="BJ97" s="7906"/>
      <c r="BK97" s="7933"/>
      <c r="BL97" s="7906"/>
      <c r="BM97" s="499" t="s">
        <v>775</v>
      </c>
    </row>
    <row s="11126" customFormat="1" customHeight="1" ht="45" hidden="1">
      <c r="A98" s="2602"/>
      <c r="B98" s="748" t="s">
        <v>1793</v>
      </c>
      <c r="D98" s="902" t="s">
        <v>1729</v>
      </c>
      <c r="E98" s="904" t="s">
        <v>1998</v>
      </c>
      <c r="F98" s="959" t="s">
        <v>368</v>
      </c>
      <c r="G98" s="616"/>
      <c r="H98" s="1281"/>
      <c r="I98" s="616"/>
      <c r="J98" s="1281"/>
      <c r="K98" s="7933"/>
      <c r="L98" s="7906"/>
      <c r="M98" s="7933"/>
      <c r="N98" s="7906"/>
      <c r="O98" s="7933"/>
      <c r="P98" s="7906"/>
      <c r="Q98" s="7933"/>
      <c r="R98" s="7906"/>
      <c r="S98" s="7933"/>
      <c r="T98" s="7906"/>
      <c r="U98" s="7933"/>
      <c r="V98" s="7906"/>
      <c r="W98" s="7933"/>
      <c r="X98" s="7906"/>
      <c r="Y98" s="7933"/>
      <c r="Z98" s="7906"/>
      <c r="AA98" s="7933"/>
      <c r="AB98" s="7906"/>
      <c r="AC98" s="7933"/>
      <c r="AD98" s="7906"/>
      <c r="AE98" s="7933"/>
      <c r="AF98" s="7906"/>
      <c r="AG98" s="7933"/>
      <c r="AH98" s="7906"/>
      <c r="AI98" s="7933"/>
      <c r="AJ98" s="7906"/>
      <c r="AK98" s="7933"/>
      <c r="AL98" s="7906"/>
      <c r="AM98" s="7933"/>
      <c r="AN98" s="7906"/>
      <c r="AO98" s="7933"/>
      <c r="AP98" s="7906"/>
      <c r="AQ98" s="7933"/>
      <c r="AR98" s="7906"/>
      <c r="AS98" s="7933"/>
      <c r="AT98" s="7906"/>
      <c r="AU98" s="7933"/>
      <c r="AV98" s="7906"/>
      <c r="AW98" s="7933"/>
      <c r="AX98" s="7906"/>
      <c r="AY98" s="7933"/>
      <c r="AZ98" s="7906"/>
      <c r="BA98" s="7933"/>
      <c r="BB98" s="7906"/>
      <c r="BC98" s="7933"/>
      <c r="BD98" s="7906"/>
      <c r="BE98" s="7933"/>
      <c r="BF98" s="7906"/>
      <c r="BG98" s="7933"/>
      <c r="BH98" s="7906"/>
      <c r="BI98" s="7933"/>
      <c r="BJ98" s="7906"/>
      <c r="BK98" s="7933"/>
      <c r="BL98" s="7906"/>
      <c r="BM98" s="499" t="s">
        <v>775</v>
      </c>
    </row>
    <row s="11126" customFormat="1" customHeight="1" ht="95.25" hidden="1">
      <c r="A99" s="2602"/>
      <c r="B99" s="748" t="s">
        <v>1793</v>
      </c>
      <c r="D99" s="902" t="s">
        <v>112</v>
      </c>
      <c r="E99" s="903" t="s">
        <v>1999</v>
      </c>
      <c r="F99" s="959" t="s">
        <v>368</v>
      </c>
      <c r="G99" s="616"/>
      <c r="H99" s="1281"/>
      <c r="I99" s="616"/>
      <c r="J99" s="1281"/>
      <c r="K99" s="7933"/>
      <c r="L99" s="7906"/>
      <c r="M99" s="7933"/>
      <c r="N99" s="7906"/>
      <c r="O99" s="7933"/>
      <c r="P99" s="7906"/>
      <c r="Q99" s="7933"/>
      <c r="R99" s="7906"/>
      <c r="S99" s="7933"/>
      <c r="T99" s="7906"/>
      <c r="U99" s="7933"/>
      <c r="V99" s="7906"/>
      <c r="W99" s="7933"/>
      <c r="X99" s="7906"/>
      <c r="Y99" s="7933"/>
      <c r="Z99" s="7906"/>
      <c r="AA99" s="7933"/>
      <c r="AB99" s="7906"/>
      <c r="AC99" s="7933"/>
      <c r="AD99" s="7906"/>
      <c r="AE99" s="7933"/>
      <c r="AF99" s="7906"/>
      <c r="AG99" s="7933"/>
      <c r="AH99" s="7906"/>
      <c r="AI99" s="7933"/>
      <c r="AJ99" s="7906"/>
      <c r="AK99" s="7933"/>
      <c r="AL99" s="7906"/>
      <c r="AM99" s="7933"/>
      <c r="AN99" s="7906"/>
      <c r="AO99" s="7933"/>
      <c r="AP99" s="7906"/>
      <c r="AQ99" s="7933"/>
      <c r="AR99" s="7906"/>
      <c r="AS99" s="7933"/>
      <c r="AT99" s="7906"/>
      <c r="AU99" s="7933"/>
      <c r="AV99" s="7906"/>
      <c r="AW99" s="7933"/>
      <c r="AX99" s="7906"/>
      <c r="AY99" s="7933"/>
      <c r="AZ99" s="7906"/>
      <c r="BA99" s="7933"/>
      <c r="BB99" s="7906"/>
      <c r="BC99" s="7933"/>
      <c r="BD99" s="7906"/>
      <c r="BE99" s="7933"/>
      <c r="BF99" s="7906"/>
      <c r="BG99" s="7933"/>
      <c r="BH99" s="7906"/>
      <c r="BI99" s="7933"/>
      <c r="BJ99" s="7906"/>
      <c r="BK99" s="7933"/>
      <c r="BL99" s="7906"/>
      <c r="BM99" s="499" t="s">
        <v>775</v>
      </c>
    </row>
    <row s="11126" customFormat="1" customHeight="1" ht="22.5" hidden="1">
      <c r="A100" s="2602"/>
      <c r="B100" s="748" t="s">
        <v>1793</v>
      </c>
      <c r="D100" s="902" t="s">
        <v>136</v>
      </c>
      <c r="E100" s="903" t="s">
        <v>2000</v>
      </c>
      <c r="F100" s="959" t="s">
        <v>368</v>
      </c>
      <c r="G100" s="616"/>
      <c r="H100" s="1281"/>
      <c r="I100" s="616"/>
      <c r="J100" s="1281"/>
      <c r="K100" s="7933"/>
      <c r="L100" s="7906"/>
      <c r="M100" s="7933"/>
      <c r="N100" s="7906"/>
      <c r="O100" s="7933"/>
      <c r="P100" s="7906"/>
      <c r="Q100" s="7933"/>
      <c r="R100" s="7906"/>
      <c r="S100" s="7933"/>
      <c r="T100" s="7906"/>
      <c r="U100" s="7933"/>
      <c r="V100" s="7906"/>
      <c r="W100" s="7933"/>
      <c r="X100" s="7906"/>
      <c r="Y100" s="7933"/>
      <c r="Z100" s="7906"/>
      <c r="AA100" s="7933"/>
      <c r="AB100" s="7906"/>
      <c r="AC100" s="7933"/>
      <c r="AD100" s="7906"/>
      <c r="AE100" s="7933"/>
      <c r="AF100" s="7906"/>
      <c r="AG100" s="7933"/>
      <c r="AH100" s="7906"/>
      <c r="AI100" s="7933"/>
      <c r="AJ100" s="7906"/>
      <c r="AK100" s="7933"/>
      <c r="AL100" s="7906"/>
      <c r="AM100" s="7933"/>
      <c r="AN100" s="7906"/>
      <c r="AO100" s="7933"/>
      <c r="AP100" s="7906"/>
      <c r="AQ100" s="7933"/>
      <c r="AR100" s="7906"/>
      <c r="AS100" s="7933"/>
      <c r="AT100" s="7906"/>
      <c r="AU100" s="7933"/>
      <c r="AV100" s="7906"/>
      <c r="AW100" s="7933"/>
      <c r="AX100" s="7906"/>
      <c r="AY100" s="7933"/>
      <c r="AZ100" s="7906"/>
      <c r="BA100" s="7933"/>
      <c r="BB100" s="7906"/>
      <c r="BC100" s="7933"/>
      <c r="BD100" s="7906"/>
      <c r="BE100" s="7933"/>
      <c r="BF100" s="7906"/>
      <c r="BG100" s="7933"/>
      <c r="BH100" s="7906"/>
      <c r="BI100" s="7933"/>
      <c r="BJ100" s="7906"/>
      <c r="BK100" s="7933"/>
      <c r="BL100" s="7906"/>
      <c r="BM100" s="499" t="s">
        <v>775</v>
      </c>
    </row>
    <row s="11126" customFormat="1" customHeight="1" ht="11.25">
      <c r="A101" s="1291"/>
      <c r="B101" s="755"/>
      <c r="D101" s="1292"/>
      <c r="E101" s="1293"/>
      <c r="K101" s="6985"/>
      <c r="L101" s="6985"/>
      <c r="M101" s="6985"/>
      <c r="N101" s="6985"/>
      <c r="O101" s="6985"/>
      <c r="P101" s="6985"/>
      <c r="Q101" s="6985"/>
      <c r="R101" s="6985"/>
      <c r="S101" s="6985"/>
      <c r="T101" s="6985"/>
      <c r="U101" s="6985"/>
      <c r="V101" s="6985"/>
      <c r="W101" s="6985"/>
      <c r="X101" s="6985"/>
      <c r="Y101" s="6985"/>
      <c r="Z101" s="6985"/>
      <c r="AA101" s="6985"/>
      <c r="AB101" s="6985"/>
      <c r="AC101" s="6985"/>
      <c r="AD101" s="6985"/>
      <c r="AE101" s="6985"/>
      <c r="AF101" s="6985"/>
      <c r="AG101" s="6985"/>
      <c r="AH101" s="6985"/>
      <c r="AI101" s="6985"/>
      <c r="AJ101" s="6985"/>
      <c r="AK101" s="6985"/>
      <c r="AL101" s="6985"/>
      <c r="AM101" s="6985"/>
      <c r="AN101" s="6985"/>
      <c r="AO101" s="6985"/>
      <c r="AP101" s="6985"/>
      <c r="AQ101" s="6985"/>
      <c r="AR101" s="6985"/>
      <c r="AS101" s="6985"/>
      <c r="AT101" s="6985"/>
      <c r="AU101" s="6985"/>
      <c r="AV101" s="6985"/>
      <c r="AW101" s="6985"/>
      <c r="AX101" s="6985"/>
      <c r="AY101" s="6985"/>
      <c r="AZ101" s="6985"/>
      <c r="BA101" s="6985"/>
      <c r="BB101" s="6985"/>
      <c r="BC101" s="6985"/>
      <c r="BD101" s="6985"/>
      <c r="BE101" s="6985"/>
      <c r="BF101" s="6985"/>
      <c r="BG101" s="6985"/>
      <c r="BH101" s="6985"/>
      <c r="BI101" s="6985"/>
      <c r="BJ101" s="6985"/>
      <c r="BK101" s="6985"/>
      <c r="BL101" s="6985"/>
    </row>
  </sheetData>
  <sheetProtection formatColumns="0" formatRows="0" autoFilter="0" sort="0" insertRows="0" insertColumns="1" deleteRows="0" deleteColumns="0"/>
  <mergeCells count="99">
    <mergeCell ref="D3:F3"/>
    <mergeCell ref="BM7:BM11"/>
    <mergeCell ref="G7:H7"/>
    <mergeCell ref="E7:F7"/>
    <mergeCell ref="E8:F8"/>
    <mergeCell ref="E9:F9"/>
    <mergeCell ref="G8:H8"/>
    <mergeCell ref="G9:H9"/>
    <mergeCell ref="D4:F4"/>
    <mergeCell ref="I7:J7"/>
    <mergeCell ref="I8:J8"/>
    <mergeCell ref="I9:J9"/>
    <mergeCell ref="D10:J10"/>
    <mergeCell ref="A37:A63"/>
    <mergeCell ref="A65:A75"/>
    <mergeCell ref="A77:A100"/>
    <mergeCell ref="A13:A35"/>
    <mergeCell ref="A11:B11"/>
    <mergeCell ref="K7:L7"/>
    <mergeCell ref="K8:L8"/>
    <mergeCell ref="K9:L9"/>
    <mergeCell ref="M7:N7"/>
    <mergeCell ref="M8:N8"/>
    <mergeCell ref="M9:N9"/>
    <mergeCell ref="O7:P7"/>
    <mergeCell ref="O8:P8"/>
    <mergeCell ref="O9:P9"/>
    <mergeCell ref="Q7:R7"/>
    <mergeCell ref="Q8:R8"/>
    <mergeCell ref="Q9:R9"/>
    <mergeCell ref="S7:T7"/>
    <mergeCell ref="S8:T8"/>
    <mergeCell ref="S9:T9"/>
    <mergeCell ref="U7:V7"/>
    <mergeCell ref="U8:V8"/>
    <mergeCell ref="U9:V9"/>
    <mergeCell ref="W7:X7"/>
    <mergeCell ref="W8:X8"/>
    <mergeCell ref="W9:X9"/>
    <mergeCell ref="Y7:Z7"/>
    <mergeCell ref="Y8:Z8"/>
    <mergeCell ref="Y9:Z9"/>
    <mergeCell ref="AA7:AB7"/>
    <mergeCell ref="AA8:AB8"/>
    <mergeCell ref="AA9:AB9"/>
    <mergeCell ref="AC7:AD7"/>
    <mergeCell ref="AC8:AD8"/>
    <mergeCell ref="AC9:AD9"/>
    <mergeCell ref="AE7:AF7"/>
    <mergeCell ref="AE8:AF8"/>
    <mergeCell ref="AE9:AF9"/>
    <mergeCell ref="AG7:AH7"/>
    <mergeCell ref="AG8:AH8"/>
    <mergeCell ref="AG9:AH9"/>
    <mergeCell ref="AI7:AJ7"/>
    <mergeCell ref="AI8:AJ8"/>
    <mergeCell ref="AI9:AJ9"/>
    <mergeCell ref="AK7:AL7"/>
    <mergeCell ref="AK8:AL8"/>
    <mergeCell ref="AK9:AL9"/>
    <mergeCell ref="AM7:AN7"/>
    <mergeCell ref="AM8:AN8"/>
    <mergeCell ref="AM9:AN9"/>
    <mergeCell ref="AO7:AP7"/>
    <mergeCell ref="AO8:AP8"/>
    <mergeCell ref="AO9:AP9"/>
    <mergeCell ref="AQ7:AR7"/>
    <mergeCell ref="AQ8:AR8"/>
    <mergeCell ref="AQ9:AR9"/>
    <mergeCell ref="AS7:AT7"/>
    <mergeCell ref="AS8:AT8"/>
    <mergeCell ref="AS9:AT9"/>
    <mergeCell ref="AU7:AV7"/>
    <mergeCell ref="AU8:AV8"/>
    <mergeCell ref="AU9:AV9"/>
    <mergeCell ref="AW7:AX7"/>
    <mergeCell ref="AW8:AX8"/>
    <mergeCell ref="AW9:AX9"/>
    <mergeCell ref="AY7:AZ7"/>
    <mergeCell ref="AY8:AZ8"/>
    <mergeCell ref="AY9:AZ9"/>
    <mergeCell ref="BA7:BB7"/>
    <mergeCell ref="BA8:BB8"/>
    <mergeCell ref="BA9:BB9"/>
    <mergeCell ref="BC7:BD7"/>
    <mergeCell ref="BC8:BD8"/>
    <mergeCell ref="BC9:BD9"/>
    <mergeCell ref="BE7:BF7"/>
    <mergeCell ref="BE8:BF8"/>
    <mergeCell ref="BE9:BF9"/>
    <mergeCell ref="BG7:BH7"/>
    <mergeCell ref="BG8:BH8"/>
    <mergeCell ref="BG9:BH9"/>
    <mergeCell ref="BI7:BJ7"/>
    <mergeCell ref="BI8:BJ8"/>
    <mergeCell ref="BI9:BJ9"/>
    <mergeCell ref="BK7:BL7"/>
    <mergeCell ref="BK8:BL8"/>
    <mergeCell ref="BK9:BL9"/>
  </mergeCells>
  <dataValidations count="6">
    <dataValidation type="list" allowBlank="1" showInputMessage="1" errorTitle="Ошибка" error="Укажите значение вручную или выберите из списка!" prompt="Укажите значение вручную или выберите из списка" sqref="G19 I19 K19 M19 O19 Q19 S19 U19 W19 Y19 AA19 AC19 AE19 AG19 AI19 AK19 AM19 AO19 AQ19 AS19 AU19 AW19 AY19 BA19 BC19 BE19 BG19 BI19 BK19">
      <formula1>"Не утверждены"</formula1>
    </dataValidation>
    <dataValidation type="decimal" allowBlank="1" showErrorMessage="1" errorTitle="Ошибка" error="Введите значение от 0 до 100%" sqref="G31 G95 G60 G72 G42:G43 G69:G70 I31 I95 I60 I72 I42:I43 I69:I70 K31 K42 K43 K60 K69 K70 K72 K95 M31 M42 M43 M60 M69 M70 M72 M95 O31 O42 O43 O60 O69 O70 O72 O95 Q31 Q42 Q43 Q60 Q69 Q70 Q72 Q95 S31 S42 S43 S60 S69 S70 S72 S95 U31 U42 U43 U60 U69 U70 U72 U95 W31 W42 W43 W60 W69 W70 W72 W95 Y31 Y42 Y43 Y60 Y69 Y70 Y72 Y95 AA31 AA42 AA43 AA60 AA69 AA70 AA72 AA95 AC31 AC42 AC43 AC60 AC69 AC70 AC72 AC95 AE31 AE42 AE43 AE60 AE69 AE70 AE72 AE95 AG31 AG42 AG43 AG60 AG69 AG70 AG72 AG95 AI31 AI42 AI43 AI60 AI69 AI70 AI72 AI95 AK31 AK42 AK43 AK60 AK69 AK70 AK72 AK95 AM31 AM42 AM43 AM60 AM69 AM70 AM72 AM95 AO31 AO42 AO43 AO60 AO69 AO70 AO72 AO95 AQ31 AQ42 AQ43 AQ60 AQ69 AQ70 AQ72 AQ95 AS31 AS42 AS43 AS60 AS69 AS70 AS72 AS95 AU31 AU42 AU43 AU60 AU69 AU70 AU72 AU95 AW31 AW42 AW43 AW60 AW69 AW70 AW72 AW95 AY31 AY42 AY43 AY60 AY69 AY70 AY72 AY95 BA31 BA42 BA43 BA60 BA69 BA70 BA72 BA95 BC31 BC42 BC43 BC60 BC69 BC70 BC72 BC95 BE31 BE42 BE43 BE60 BE69 BE70 BE72 BE95 BG31 BG42 BG43 BG60 BG69 BG70 BG72 BG95 BI31 BI42 BI43 BI60 BI69 BI70 BI72 BI95 BK31 BK42 BK43 BK60 BK69 BK70 BK72 BK95">
      <formula1>0</formula1>
      <formula2>100</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G74:G75 G62:G63 G97:G100 H19 H13:H14 H31:H32 I74:I75 I62:I63 I97:I100 J19 L19 N19 P19 R19 T19 V19 X19 Z19 AB19 AD19 AF19 AH19 AJ19 AL19 AN19 AP19 AR19 AT19 AV19 AX19 AZ19 BB19 BD19 BF19 BH19 BJ19 BL19 J13:J14 L13:L14 N13:N14 P13:P14 R13:R14 T13:T14 V13:V14 X13:X14 Z13:Z14 AB13:AB14 AD13:AD14 AF13:AF14 AH13:AH14 AJ13:AJ14 AL13:AL14 AN13:AN14 AP13:AP14 AR13:AR14 AT13:AT14 AV13:AV14 AX13:AX14 AZ13:AZ14 BB13:BB14 BD13:BD14 BF13:BF14 BH13:BH14 BJ13:BJ14 BL13:BL14 J31:J32 L31:L32 N31:N32 P31:P32 R31:R32 T31:T32 V31:V32 X31:X32 Z31:Z32 AB31:AB32 AD31:AD32 AF31:AF32 AH31:AH32 AJ31:AJ32 AL31:AL32 AN31:AN32 AP31:AP32 AR31:AR32 AT31:AT32 AV31:AV32 AX31:AX32 AZ31:AZ32 BB31:BB32 BD31:BD32 BF31:BF32 BH31:BH32 BJ31:BJ32 BL31:BL32 K62 K63 K74 K75 K97 K98 K99 K100 M62 M63 M74 M75 M97 M98 M99 M100 O62 O63 O74 O75 O97 O98 O99 O100 Q62 Q63 Q74 Q75 Q97 Q98 Q99 Q100 S62 S63 S74 S75 S97 S98 S99 S100 U62 U63 U74 U75 U97 U98 U99 U100 W62 W63 W74 W75 W97 W98 W99 W100 Y62 Y63 Y74 Y75 Y97 Y98 Y99 Y100 AA62 AA63 AA74 AA75 AA97 AA98 AA99 AA100 AC62 AC63 AC74 AC75 AC97 AC98 AC99 AC100 AE62 AE63 AE74 AE75 AE97 AE98 AE99 AE100 AG62 AG63 AG74 AG75 AG97 AG98 AG99 AG100 AI62 AI63 AI74 AI75 AI97 AI98 AI99 AI100 AK62 AK63 AK74 AK75 AK97 AK98 AK99 AK100 AM62 AM63 AM74 AM75 AM97 AM98 AM99 AM100 AO62 AO63 AO74 AO75 AO97 AO98 AO99 AO100 AQ62 AQ63 AQ74 AQ75 AQ97 AQ98 AQ99 AQ100 AS62 AS63 AS74 AS75 AS97 AS98 AS99 AS100 AU62 AU63 AU74 AU75 AU97 AU98 AU99 AU100 AW62 AW63 AW74 AW75 AW97 AW98 AW99 AW100 AY62 AY63 AY74 AY75 AY97 AY98 AY99 AY100 BA62 BA63 BA74 BA75 BA97 BA98 BA99 BA100 BC62 BC63 BC74 BC75 BC97 BC98 BC99 BC100 BE62 BE63 BE74 BE75 BE97 BE98 BE99 BE100 BG62 BG63 BG74 BG75 BG97 BG98 BG99 BG100 BI62 BI63 BI74 BI75 BI97 BI98 BI99 BI100 BK62 BK63 BK74 BK75 BK97 BK98 BK99 BK100">
      <formula1>900</formula1>
    </dataValidation>
    <dataValidation type="decimal" allowBlank="1" showErrorMessage="1" errorTitle="Ошибка" error="Допускается ввод только неотрицательных чисел!" sqref="G32 G67:G68 G39:G40 G37 G44:G59 G61 G77:G94 G73 G71 G96 G65 G18 G13:G14 G29:G30 G26:G27 I32 I67:I68 I39:I40 I37 I44:I59 I61 I77:I94 I73 I71 I96 I65 I18 I13:I14 I29:I30 I26:I27 K13 K14 K18 K26 K27 K29 K30 K32 K37 K39 K40 K44 K45 K46 K47 K48 K49 K50 K51 K52 K53 K54 K55 K56 K57 K58 K59 K61 K65 K67 K68 K71 K73 K77 K78 K79 K80 K81 K82 K83 K84 K85 K86 K87 K88 K89 K90 K91 K92 K93 K94 K96 M13 M14 M18 M26 M27 M29 M30 M32 M37 M39 M40 M44 M45 M46 M47 M48 M49 M50 M51 M52 M53 M54 M55 M56 M57 M58 M59 M61 M65 M67 M68 M71 M73 M77 M78 M79 M80 M81 M82 M83 M84 M85 M86 M87 M88 M89 M90 M91 M92 M93 M94 M96 O13 O14 O18 O26 O27 O29 O30 O32 O37 O39 O40 O44 O45 O46 O47 O48 O49 O50 O51 O52 O53 O54 O55 O56 O57 O58 O59 O61 O65 O67 O68 O71 O73 O77 O78 O79 O80 O81 O82 O83 O84 O85 O86 O87 O88 O89 O90 O91 O92 O93 O94 O96 Q13 Q14 Q18 Q26 Q27 Q29 Q30 Q32 Q37 Q39 Q40 Q44 Q45 Q46 Q47 Q48 Q49 Q50 Q51 Q52 Q53 Q54 Q55 Q56 Q57 Q58 Q59 Q61 Q65 Q67 Q68 Q71 Q73 Q77 Q78 Q79 Q80 Q81 Q82 Q83 Q84 Q85 Q86 Q87 Q88 Q89 Q90 Q91 Q92 Q93 Q94 Q96 S13 S14 S18 S26 S27 S29 S30 S32 S37 S39 S40 S44 S45 S46 S47 S48 S49 S50 S51 S52 S53 S54 S55 S56 S57 S58 S59 S61 S65 S67 S68 S71 S73 S77 S78 S79 S80 S81 S82 S83 S84 S85 S86 S87 S88 S89 S90 S91 S92 S93 S94 S96 U13 U14 U18 U26 U27 U29 U30 U32 U37 U39 U40 U44 U45 U46 U47 U48 U49 U50 U51 U52 U53 U54 U55 U56 U57 U58 U59 U61 U65 U67 U68 U71 U73 U77 U78 U79 U80 U81 U82 U83 U84 U85 U86 U87 U88 U89 U90 U91 U92 U93 U94 U96 W13 W14 W18 W26 W27 W29 W30 W32 W37 W39 W40 W44 W45 W46 W47 W48 W49 W50 W51 W52 W53 W54 W55 W56 W57 W58 W59 W61 W65 W67 W68 W71 W73 W77 W78 W79 W80 W81 W82 W83 W84 W85 W86 W87 W88 W89 W90 W91 W92 W93 W94 W96 Y13 Y14 Y18 Y26 Y27 Y29 Y30 Y32 Y37 Y39 Y40 Y44 Y45 Y46 Y47 Y48 Y49 Y50 Y51 Y52 Y53 Y54 Y55 Y56 Y57 Y58 Y59 Y61 Y65 Y67 Y68 Y71 Y73 Y77 Y78 Y79 Y80 Y81 Y82 Y83 Y84 Y85 Y86 Y87 Y88 Y89 Y90 Y91 Y92 Y93 Y94 Y96 AA13 AA14 AA18 AA26 AA27 AA29 AA30 AA32 AA37 AA39 AA40 AA44 AA45 AA46 AA47 AA48 AA49 AA50 AA51 AA52 AA53 AA54 AA55 AA56 AA57 AA58 AA59 AA61 AA65 AA67 AA68 AA71 AA73 AA77 AA78 AA79 AA80 AA81 AA82 AA83 AA84 AA85 AA86 AA87 AA88 AA89 AA90 AA91 AA92 AA93 AA94 AA96 AC13 AC14 AC18 AC26 AC27 AC29 AC30 AC32 AC37 AC39 AC40 AC44 AC45 AC46 AC47 AC48 AC49 AC50 AC51 AC52 AC53 AC54 AC55 AC56 AC57 AC58 AC59 AC61 AC65 AC67 AC68 AC71 AC73 AC77 AC78 AC79 AC80 AC81 AC82 AC83 AC84 AC85 AC86 AC87 AC88 AC89 AC90 AC91 AC92 AC93 AC94 AC96 AE13 AE14 AE18 AE26 AE27 AE29 AE30 AE32 AE37 AE39 AE40 AE44 AE45 AE46 AE47 AE48 AE49 AE50 AE51 AE52 AE53 AE54 AE55 AE56 AE57 AE58 AE59 AE61 AE65 AE67 AE68 AE71 AE73 AE77 AE78 AE79 AE80 AE81 AE82 AE83 AE84 AE85 AE86 AE87 AE88 AE89 AE90 AE91 AE92 AE93 AE94 AE96 AG13 AG14 AG18 AG26 AG27 AG29 AG30 AG32 AG37 AG39 AG40 AG44 AG45 AG46 AG47 AG48 AG49 AG50 AG51 AG52 AG53 AG54 AG55 AG56 AG57 AG58 AG59 AG61 AG65 AG67 AG68 AG71 AG73 AG77 AG78 AG79 AG80 AG81 AG82 AG83 AG84 AG85 AG86 AG87 AG88 AG89 AG90 AG91 AG92 AG93 AG94 AG96 AI13 AI14 AI18 AI26 AI27 AI29 AI30 AI32 AI37 AI39 AI40 AI44 AI45 AI46 AI47 AI48 AI49 AI50 AI51 AI52 AI53 AI54 AI55 AI56 AI57 AI58 AI59 AI61 AI65 AI67 AI68 AI71 AI73 AI77 AI78 AI79 AI80 AI81 AI82 AI83 AI84 AI85 AI86 AI87 AI88 AI89 AI90 AI91 AI92 AI93 AI94 AI96 AK13 AK14 AK18 AK26 AK27 AK29 AK30 AK32 AK37 AK39 AK40 AK44 AK45 AK46 AK47 AK48 AK49 AK50 AK51 AK52 AK53 AK54 AK55 AK56 AK57 AK58 AK59 AK61 AK65 AK67 AK68 AK71 AK73 AK77 AK78 AK79 AK80 AK81 AK82 AK83 AK84 AK85 AK86 AK87 AK88 AK89 AK90 AK91 AK92 AK93 AK94 AK96 AM13 AM14 AM18 AM26 AM27 AM29 AM30 AM32 AM37 AM39 AM40 AM44 AM45 AM46 AM47 AM48 AM49 AM50 AM51 AM52 AM53 AM54 AM55 AM56 AM57 AM58 AM59 AM61 AM65 AM67 AM68 AM71 AM73 AM77 AM78 AM79 AM80 AM81 AM82 AM83 AM84 AM85 AM86 AM87 AM88 AM89 AM90 AM91 AM92 AM93 AM94 AM96 AO13 AO14 AO18 AO26 AO27 AO29 AO30 AO32 AO37 AO39 AO40 AO44 AO45 AO46 AO47 AO48 AO49 AO50 AO51 AO52 AO53 AO54 AO55 AO56 AO57 AO58 AO59 AO61 AO65 AO67 AO68 AO71 AO73 AO77 AO78 AO79 AO80 AO81 AO82 AO83 AO84 AO85 AO86 AO87 AO88 AO89 AO90 AO91 AO92 AO93 AO94 AO96 AQ13 AQ14 AQ18 AQ26 AQ27 AQ29 AQ30 AQ32 AQ37 AQ39 AQ40 AQ44 AQ45 AQ46 AQ47 AQ48 AQ49 AQ50 AQ51 AQ52 AQ53 AQ54 AQ55 AQ56 AQ57 AQ58 AQ59 AQ61 AQ65 AQ67 AQ68 AQ71 AQ73 AQ77 AQ78 AQ79 AQ80 AQ81 AQ82 AQ83 AQ84 AQ85 AQ86 AQ87 AQ88 AQ89 AQ90 AQ91 AQ92 AQ93 AQ94 AQ96 AS13 AS14 AS18 AS26 AS27 AS29 AS30 AS32 AS37 AS39 AS40 AS44 AS45 AS46 AS47 AS48 AS49 AS50 AS51 AS52 AS53 AS54 AS55 AS56 AS57 AS58 AS59 AS61 AS65 AS67 AS68 AS71 AS73 AS77 AS78 AS79 AS80 AS81 AS82 AS83 AS84 AS85 AS86 AS87 AS88 AS89 AS90 AS91 AS92 AS93 AS94 AS96 AU13 AU14 AU18 AU26 AU27 AU29 AU30 AU32 AU37 AU39 AU40 AU44 AU45 AU46 AU47 AU48 AU49 AU50 AU51 AU52 AU53 AU54 AU55 AU56 AU57 AU58 AU59 AU61 AU65 AU67 AU68 AU71 AU73 AU77 AU78 AU79 AU80 AU81 AU82 AU83 AU84 AU85 AU86 AU87 AU88 AU89 AU90 AU91 AU92 AU93 AU94 AU96 AW13 AW14 AW18 AW26 AW27 AW29 AW30 AW32 AW37 AW39 AW40 AW44 AW45 AW46 AW47 AW48 AW49 AW50 AW51 AW52 AW53 AW54 AW55 AW56 AW57 AW58 AW59 AW61 AW65 AW67 AW68 AW71 AW73 AW77 AW78 AW79 AW80 AW81 AW82 AW83 AW84 AW85 AW86 AW87 AW88 AW89 AW90 AW91 AW92 AW93 AW94 AW96 AY13 AY14 AY18 AY26 AY27 AY29 AY30 AY32 AY37 AY39 AY40 AY44 AY45 AY46 AY47 AY48 AY49 AY50 AY51 AY52 AY53 AY54 AY55 AY56 AY57 AY58 AY59 AY61 AY65 AY67 AY68 AY71 AY73 AY77 AY78 AY79 AY80 AY81 AY82 AY83 AY84 AY85 AY86 AY87 AY88 AY89 AY90 AY91 AY92 AY93 AY94 AY96 BA13 BA14 BA18 BA26 BA27 BA29 BA30 BA32 BA37 BA39 BA40 BA44 BA45 BA46 BA47 BA48 BA49 BA50 BA51 BA52 BA53 BA54 BA55 BA56 BA57 BA58 BA59 BA61 BA65 BA67 BA68 BA71 BA73 BA77 BA78 BA79 BA80 BA81 BA82 BA83 BA84 BA85 BA86 BA87 BA88 BA89 BA90 BA91 BA92 BA93 BA94 BA96 BC13 BC14 BC18 BC26 BC27 BC29 BC30 BC32 BC37 BC39 BC40 BC44 BC45 BC46 BC47 BC48 BC49 BC50 BC51 BC52 BC53 BC54 BC55 BC56 BC57 BC58 BC59 BC61 BC65 BC67 BC68 BC71 BC73 BC77 BC78 BC79 BC80 BC81 BC82 BC83 BC84 BC85 BC86 BC87 BC88 BC89 BC90 BC91 BC92 BC93 BC94 BC96 BE13 BE14 BE18 BE26 BE27 BE29 BE30 BE32 BE37 BE39 BE40 BE44 BE45 BE46 BE47 BE48 BE49 BE50 BE51 BE52 BE53 BE54 BE55 BE56 BE57 BE58 BE59 BE61 BE65 BE67 BE68 BE71 BE73 BE77 BE78 BE79 BE80 BE81 BE82 BE83 BE84 BE85 BE86 BE87 BE88 BE89 BE90 BE91 BE92 BE93 BE94 BE96 BG13 BG14 BG18 BG26 BG27 BG29 BG30 BG32 BG37 BG39 BG40 BG44 BG45 BG46 BG47 BG48 BG49 BG50 BG51 BG52 BG53 BG54 BG55 BG56 BG57 BG58 BG59 BG61 BG65 BG67 BG68 BG71 BG73 BG77 BG78 BG79 BG80 BG81 BG82 BG83 BG84 BG85 BG86 BG87 BG88 BG89 BG90 BG91 BG92 BG93 BG94 BG96 BI13 BI14 BI18 BI26 BI27 BI29 BI30 BI32 BI37 BI39 BI40 BI44 BI45 BI46 BI47 BI48 BI49 BI50 BI51 BI52 BI53 BI54 BI55 BI56 BI57 BI58 BI59 BI61 BI65 BI67 BI68 BI71 BI73 BI77 BI78 BI79 BI80 BI81 BI82 BI83 BI84 BI85 BI86 BI87 BI88 BI89 BI90 BI91 BI92 BI93 BI94 BI96 BK13 BK14 BK18 BK26 BK27 BK29 BK30 BK32 BK37 BK39 BK40 BK44 BK45 BK46 BK47 BK48 BK49 BK50 BK51 BK52 BK53 BK54 BK55 BK56 BK57 BK58 BK59 BK61 BK65 BK67 BK68 BK71 BK73 BK77 BK78 BK79 BK80 BK81 BK82 BK83 BK84 BK85 BK86 BK87 BK88 BK89 BK90 BK91 BK92 BK93 BK94 BK96">
      <formula1>0</formula1>
      <formula2>9.99999999999999E+23</formula2>
    </dataValidation>
    <dataValidation type="whole" allowBlank="1" showErrorMessage="1" errorTitle="Ошибка" error="Допускается ввод только неотрицательных целых чисел!" sqref="G16:G17 I16:I17 K16 K17 M16 M17 O16 O17 Q16 Q17 S16 S17 U16 U17 W16 W17 Y16 Y17 AA16 AA17 AC16 AC17 AE16 AE17 AG16 AG17 AI16 AI17 AK16 AK17 AM16 AM17 AO16 AO17 AQ16 AQ17 AS16 AS17 AU16 AU17 AW16 AW17 AY16 AY17 BA16 BA17 BC16 BC17 BE16 BE17 BG16 BG17 BI16 BI17 BK16 BK17">
      <formula1>0</formula1>
      <formula2>9.99999999999999E+23</formula2>
    </dataValidation>
    <dataValidation type="textLength" operator="lessThanOrEqual" allowBlank="1" showInputMessage="1" showErrorMessage="1" errorTitle="Ошибка" error="Допускается ввод не более 900 символов!" sqref="H21:H22 H29:H30 H24 H26:H27 H15:H18 J26:J27 L26:L27 N26:N27 P26:P27 R26:R27 T26:T27 V26:V27 X26:X27 Z26:Z27 AB26:AB27 AD26:AD27 AF26:AF27 AH26:AH27 AJ26:AJ27 AL26:AL27 AN26:AN27 AP26:AP27 AR26:AR27 AT26:AT27 AV26:AV27 AX26:AX27 AZ26:AZ27 BB26:BB27 BD26:BD27 BF26:BF27 BH26:BH27 BJ26:BJ27 BL26:BL27 J15:J18 L15:L18 N15:N18 P15:P18 R15:R18 T15:T18 V15:V18 X15:X18 Z15:Z18 AB15:AB18 AD15:AD18 AF15:AF18 AH15:AH18 AJ15:AJ18 AL15:AL18 AN15:AN18 AP15:AP18 AR15:AR18 AT15:AT18 AV15:AV18 AX15:AX18 AZ15:AZ18 BB15:BB18 BD15:BD18 BF15:BF18 BH15:BH18 BJ15:BJ18 BL15:BL18 J21:J22 L21:L22 N21:N22 P21:P22 R21:R22 T21:T22 V21:V22 X21:X22 Z21:Z22 AB21:AB22 AD21:AD22 AF21:AF22 AH21:AH22 AJ21:AJ22 AL21:AL22 AN21:AN22 AP21:AP22 AR21:AR22 AT21:AT22 AV21:AV22 AX21:AX22 AZ21:AZ22 BB21:BB22 BD21:BD22 BF21:BF22 BH21:BH22 BJ21:BJ22 BL21:BL22 J29:J30 L29:L30 N29:N30 P29:P30 R29:R30 T29:T30 V29:V30 X29:X30 Z29:Z30 AB29:AB30 AD29:AD30 AF29:AF30 AH29:AH30 AJ29:AJ30 AL29:AL30 AN29:AN30 AP29:AP30 AR29:AR30 AT29:AT30 AV29:AV30 AX29:AX30 AZ29:AZ30 BB29:BB30 BD29:BD30 BF29:BF30 BH29:BH30 BJ29:BJ30 BL29:BL30 J24 L24 N24 P24 R24 T24 V24 X24 Z24 AB24 AD24 AF24 AH24 AJ24 AL24 AN24 AP24 AR24 AT24 AV24 AX24 AZ24 BB24 BD24 BF24 BH24 BJ24 BL24">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4E569B8-C3B8-BEF4-29D6-38DBA33C4AFF}" mc:Ignorable="x14ac xr xr2 xr3">
  <sheetPr>
    <tabColor theme="9" tint="-0.25"/>
  </sheetPr>
  <dimension ref="A1:AD15"/>
  <sheetViews>
    <sheetView topLeftCell="E4" showGridLines="0" zoomScale="85" workbookViewId="0">
      <selection activeCell="A1" sqref="A1"/>
    </sheetView>
  </sheetViews>
  <sheetFormatPr defaultColWidth="9.140625" customHeight="1" defaultRowHeight="10.5"/>
  <cols>
    <col min="1" max="3" style="11154" width="6.7109375" hidden="1" customWidth="1"/>
    <col min="4" max="4" style="11074" width="6.7109375" hidden="1" customWidth="1"/>
    <col min="5" max="5" style="11126" width="3.7109375" customWidth="1"/>
    <col min="6" max="6" style="11126" width="6.28125" customWidth="1"/>
    <col min="7" max="7" style="11126" width="37.7109375" customWidth="1"/>
    <col min="8" max="8" style="11126" width="16.57421875" customWidth="1"/>
    <col min="9" max="10" style="11126" width="19.7109375" customWidth="1"/>
    <col min="11" max="11" style="11126" width="25.00390625" customWidth="1"/>
    <col min="12" max="13" style="11126" width="25.7109375" customWidth="1"/>
    <col min="14" max="16" style="11126" width="17.7109375" customWidth="1"/>
    <col min="17" max="24" style="11126" width="19.7109375" customWidth="1"/>
    <col min="25" max="25" style="11126" width="8.00390625" customWidth="1"/>
    <col min="26" max="26" style="11126" width="3.28125" customWidth="1"/>
    <col min="27" max="27" style="11126" width="6.28125" customWidth="1"/>
    <col min="28" max="28" style="11126" width="34.140625" customWidth="1"/>
    <col min="29" max="30" style="11126" width="9.140625"/>
  </cols>
  <sheetData>
    <row s="11074" customFormat="1" customHeight="1" ht="10.5" hidden="1">
      <c r="A1" s="1145"/>
      <c r="B1" s="1145"/>
      <c r="C1" s="1145"/>
      <c r="E1" s="774"/>
      <c r="H1" s="1421"/>
    </row>
    <row customHeight="1" ht="10.5" hidden="1"/>
    <row s="11248" customFormat="1" customHeight="1" ht="10.5" hidden="1">
      <c r="A3" s="1145"/>
      <c r="B3" s="1145"/>
      <c r="C3" s="1145"/>
      <c r="D3" s="653"/>
      <c r="E3" s="585"/>
      <c r="H3" s="1417"/>
    </row>
    <row customHeight="1" ht="3"/>
    <row customHeight="1" ht="30">
      <c r="F5" s="2624" t="s">
        <v>2001</v>
      </c>
      <c r="G5" s="2624"/>
      <c r="H5" s="2624"/>
      <c r="I5" s="2624"/>
      <c r="J5" s="2624"/>
      <c r="K5" s="2624"/>
      <c r="M5" s="819"/>
      <c r="AB5" s="1161"/>
    </row>
    <row s="11126" customFormat="1" customHeight="1" ht="15.75">
      <c r="A6" s="1427"/>
      <c r="B6" s="1427"/>
      <c r="C6" s="1427"/>
      <c r="D6" s="1421"/>
      <c r="E6" s="1948"/>
      <c r="F6" s="2615" t="str">
        <f>IF(org=0,"Не определено",org)</f>
        <v>ООО "СамРЭК-Тепло Жигулевск"</v>
      </c>
      <c r="G6" s="2615"/>
      <c r="H6" s="2615"/>
      <c r="I6" s="2615"/>
      <c r="J6" s="2615"/>
      <c r="K6" s="2615"/>
      <c r="M6" s="819"/>
      <c r="AB6" s="1409"/>
    </row>
    <row r="8" customHeight="1" ht="10.5">
      <c r="A8" s="1310"/>
      <c r="B8" s="1310"/>
      <c r="C8" s="1310"/>
      <c r="F8" s="2136" t="s">
        <v>362</v>
      </c>
      <c r="G8" s="2137"/>
      <c r="H8" s="2137"/>
      <c r="I8" s="2137"/>
      <c r="J8" s="2137"/>
      <c r="K8" s="2137"/>
      <c r="L8" s="2137"/>
      <c r="M8" s="2137"/>
      <c r="N8" s="2137"/>
      <c r="O8" s="2137"/>
      <c r="P8" s="2137"/>
      <c r="Q8" s="2137"/>
      <c r="R8" s="2137"/>
      <c r="S8" s="2137"/>
      <c r="T8" s="2137"/>
      <c r="U8" s="2137"/>
      <c r="V8" s="2137"/>
      <c r="W8" s="2137"/>
      <c r="X8" s="2137"/>
      <c r="Y8" s="2137"/>
      <c r="Z8" s="2137"/>
      <c r="AA8" s="2137"/>
      <c r="AB8" s="2138"/>
    </row>
    <row customHeight="1" ht="41.25">
      <c r="A9" s="1160"/>
      <c r="B9" s="1160"/>
      <c r="C9" s="1160"/>
      <c r="F9" s="2277" t="s">
        <v>88</v>
      </c>
      <c r="G9" s="2277" t="s">
        <v>2002</v>
      </c>
      <c r="H9" s="2294" t="s">
        <v>2003</v>
      </c>
      <c r="I9" s="2277" t="s">
        <v>2004</v>
      </c>
      <c r="J9" s="2277" t="s">
        <v>2005</v>
      </c>
      <c r="K9" s="2277" t="s">
        <v>2006</v>
      </c>
      <c r="L9" s="2277" t="s">
        <v>2007</v>
      </c>
      <c r="M9" s="2277" t="s">
        <v>2008</v>
      </c>
      <c r="N9" s="2625" t="s">
        <v>2009</v>
      </c>
      <c r="O9" s="2625"/>
      <c r="P9" s="2625"/>
      <c r="Q9" s="2616" t="s">
        <v>2010</v>
      </c>
      <c r="R9" s="2617"/>
      <c r="S9" s="2617"/>
      <c r="T9" s="2618"/>
      <c r="U9" s="2616" t="s">
        <v>2011</v>
      </c>
      <c r="V9" s="2617"/>
      <c r="W9" s="2617"/>
      <c r="X9" s="2618"/>
      <c r="Y9" s="2136" t="s">
        <v>2012</v>
      </c>
      <c r="Z9" s="2137"/>
      <c r="AA9" s="2137"/>
      <c r="AB9" s="2138"/>
    </row>
    <row customHeight="1" ht="41.25">
      <c r="A10" s="1160"/>
      <c r="B10" s="1160"/>
      <c r="C10" s="1160"/>
      <c r="F10" s="2294"/>
      <c r="G10" s="2294"/>
      <c r="H10" s="2295"/>
      <c r="I10" s="2294"/>
      <c r="J10" s="2294"/>
      <c r="K10" s="2294"/>
      <c r="L10" s="2294"/>
      <c r="M10" s="2294"/>
      <c r="N10" s="1158" t="s">
        <v>2013</v>
      </c>
      <c r="O10" s="1158" t="s">
        <v>2014</v>
      </c>
      <c r="P10" s="1159" t="s">
        <v>2015</v>
      </c>
      <c r="Q10" s="1170" t="s">
        <v>89</v>
      </c>
      <c r="R10" s="1170" t="s">
        <v>2016</v>
      </c>
      <c r="S10" s="1170" t="s">
        <v>2017</v>
      </c>
      <c r="T10" s="1171" t="s">
        <v>2018</v>
      </c>
      <c r="U10" s="1170" t="s">
        <v>89</v>
      </c>
      <c r="V10" s="1170" t="s">
        <v>2019</v>
      </c>
      <c r="W10" s="1170" t="s">
        <v>2017</v>
      </c>
      <c r="X10" s="1171" t="s">
        <v>2018</v>
      </c>
      <c r="Y10" s="511" t="s">
        <v>2020</v>
      </c>
      <c r="Z10" s="2136" t="s">
        <v>88</v>
      </c>
      <c r="AA10" s="2138"/>
      <c r="AB10" s="1308" t="s">
        <v>2021</v>
      </c>
    </row>
    <row s="10863" customFormat="1" customHeight="1" ht="5.25" hidden="1">
      <c r="A11" s="1311"/>
      <c r="B11" s="1311"/>
      <c r="C11" s="1311"/>
      <c r="E11" s="1309"/>
      <c r="F11" s="2626" t="s">
        <v>440</v>
      </c>
      <c r="G11" s="2620"/>
      <c r="H11" s="2619"/>
      <c r="I11" s="2619"/>
      <c r="J11" s="2619"/>
      <c r="K11" s="2621"/>
      <c r="L11" s="2627"/>
      <c r="M11" s="2627"/>
      <c r="N11" s="2619"/>
      <c r="O11" s="2619"/>
      <c r="P11" s="2469"/>
      <c r="Q11" s="2384"/>
      <c r="R11" s="2384"/>
      <c r="S11" s="2384"/>
      <c r="T11" s="2619"/>
      <c r="U11" s="2384"/>
      <c r="V11" s="2384"/>
      <c r="W11" s="2384"/>
      <c r="X11" s="2619"/>
      <c r="Y11" s="2622"/>
      <c r="Z11" s="2622"/>
      <c r="AA11" s="2622"/>
      <c r="AB11" s="2622"/>
      <c r="AD11" s="748" t="s">
        <v>2022</v>
      </c>
    </row>
    <row s="10863" customFormat="1" customHeight="1" ht="5.25" hidden="1">
      <c r="A12" s="1146"/>
      <c r="B12" s="1146"/>
      <c r="C12" s="1146"/>
      <c r="E12" s="755"/>
      <c r="F12" s="2626"/>
      <c r="G12" s="2620"/>
      <c r="H12" s="2619"/>
      <c r="I12" s="2619"/>
      <c r="J12" s="2619"/>
      <c r="K12" s="2621"/>
      <c r="L12" s="2627"/>
      <c r="M12" s="2627"/>
      <c r="N12" s="2619"/>
      <c r="O12" s="2619"/>
      <c r="P12" s="2469"/>
      <c r="Q12" s="2384"/>
      <c r="R12" s="2384"/>
      <c r="S12" s="2384"/>
      <c r="T12" s="2619"/>
      <c r="U12" s="2384"/>
      <c r="V12" s="2384"/>
      <c r="W12" s="2384"/>
      <c r="X12" s="2619"/>
      <c r="Y12" s="2623"/>
      <c r="Z12" s="2623"/>
      <c r="AA12" s="2623"/>
      <c r="AB12" s="2623"/>
    </row>
    <row customHeight="1" ht="10.5">
      <c r="F13" s="1157"/>
      <c r="G13" s="887" t="s">
        <v>2023</v>
      </c>
      <c r="H13" s="1429"/>
      <c r="I13" s="809"/>
      <c r="J13" s="809"/>
      <c r="K13" s="809"/>
      <c r="L13" s="809"/>
      <c r="M13" s="809"/>
      <c r="N13" s="809"/>
      <c r="O13" s="809"/>
      <c r="P13" s="809"/>
      <c r="Q13" s="809"/>
      <c r="R13" s="809"/>
      <c r="S13" s="809"/>
      <c r="T13" s="809"/>
      <c r="U13" s="809"/>
      <c r="V13" s="809"/>
      <c r="W13" s="809"/>
      <c r="X13" s="809"/>
      <c r="Y13" s="809"/>
      <c r="Z13" s="933"/>
      <c r="AA13" s="933"/>
      <c r="AB13" s="1172"/>
    </row>
    <row r="15" s="10863" customFormat="1" customHeight="1" ht="10.5">
      <c r="A15" s="1428"/>
      <c r="B15" s="1428"/>
      <c r="C15" s="1428"/>
      <c r="E15" s="755"/>
      <c r="H15" s="748">
        <f>_xlfn.IFERROR(MATCH("нет",IP_MAIN_DIFFERENTIATION_EVENTS_FLAG,0),0)</f>
        <v>0</v>
      </c>
    </row>
  </sheetData>
  <sheetProtection formatColumns="0" formatRows="0" autoFilter="0" sort="0" insertRows="0" insertColumns="1" deleteRows="0" deleteColumns="0"/>
  <mergeCells count="39">
    <mergeCell ref="F5:K5"/>
    <mergeCell ref="N11:N12"/>
    <mergeCell ref="O11:O12"/>
    <mergeCell ref="P11:P12"/>
    <mergeCell ref="Y11:Y12"/>
    <mergeCell ref="N9:P9"/>
    <mergeCell ref="M9:M10"/>
    <mergeCell ref="F9:F10"/>
    <mergeCell ref="G9:G10"/>
    <mergeCell ref="I9:I10"/>
    <mergeCell ref="K9:K10"/>
    <mergeCell ref="L9:L10"/>
    <mergeCell ref="F11:F12"/>
    <mergeCell ref="M11:M12"/>
    <mergeCell ref="L11:L12"/>
    <mergeCell ref="J11:J12"/>
    <mergeCell ref="J9:J10"/>
    <mergeCell ref="K11:K12"/>
    <mergeCell ref="Z11:Z12"/>
    <mergeCell ref="Y9:AB9"/>
    <mergeCell ref="AB11:AB12"/>
    <mergeCell ref="Z10:AA10"/>
    <mergeCell ref="AA11:AA12"/>
    <mergeCell ref="F6:K6"/>
    <mergeCell ref="F8:AB8"/>
    <mergeCell ref="U9:X9"/>
    <mergeCell ref="U11:U12"/>
    <mergeCell ref="V11:V12"/>
    <mergeCell ref="W11:W12"/>
    <mergeCell ref="X11:X12"/>
    <mergeCell ref="Q9:T9"/>
    <mergeCell ref="I11:I12"/>
    <mergeCell ref="G11:G12"/>
    <mergeCell ref="T11:T12"/>
    <mergeCell ref="S11:S12"/>
    <mergeCell ref="H9:H10"/>
    <mergeCell ref="H11:H12"/>
    <mergeCell ref="Q11:Q12"/>
    <mergeCell ref="R11:R12"/>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9F71551-D859-34C3-3828-830F1C31F33D}" mc:Ignorable="x14ac xr xr2 xr3">
  <sheetPr>
    <tabColor theme="9" tint="-0.25"/>
  </sheetPr>
  <dimension ref="A1:BF19"/>
  <sheetViews>
    <sheetView topLeftCell="E4" showGridLines="0" zoomScale="90" workbookViewId="0">
      <selection activeCell="A1" sqref="A1"/>
    </sheetView>
  </sheetViews>
  <sheetFormatPr defaultColWidth="9.140625" customHeight="1" defaultRowHeight="10.5"/>
  <cols>
    <col min="1" max="3" style="11154" width="4.140625" hidden="1" customWidth="1"/>
    <col min="4" max="4" style="11074" width="4.140625" hidden="1" customWidth="1"/>
    <col min="5" max="5" style="11126" width="3.7109375" customWidth="1"/>
    <col min="6" max="6" style="11126" width="14.421875" customWidth="1"/>
    <col min="7" max="7" style="11126" width="3.7109375" customWidth="1"/>
    <col min="8" max="8" style="11126" width="7.7109375" customWidth="1"/>
    <col min="9" max="10" style="11126" width="16.7109375" customWidth="1"/>
    <col min="11" max="11" style="11126" width="25.7109375" customWidth="1"/>
    <col min="12" max="12" style="11126" width="8.00390625" customWidth="1"/>
    <col min="13" max="13" style="11126" width="15.57421875" customWidth="1"/>
    <col min="14" max="14" style="11126" width="3.28125" customWidth="1"/>
    <col min="15" max="15" style="11126" width="4.7109375" customWidth="1"/>
    <col min="16" max="16" style="11126" width="9.00390625" customWidth="1"/>
    <col min="17" max="17" style="11126" width="21.7109375" customWidth="1"/>
    <col min="18" max="18" style="11126" width="14.7109375" customWidth="1"/>
    <col min="19" max="20" style="11126" width="17.7109375" customWidth="1"/>
    <col min="21" max="21" style="11126" width="9.7109375" customWidth="1"/>
    <col min="22" max="22" style="11126" width="12.7109375" customWidth="1"/>
    <col min="23" max="23" style="11126" width="9.7109375" customWidth="1"/>
    <col min="24" max="24" style="11126" width="21.7109375" customWidth="1"/>
    <col min="25" max="25" style="11126" width="12.7109375" customWidth="1"/>
    <col min="26" max="26" style="11126" width="3.28125" customWidth="1"/>
    <col min="27" max="27" style="11126" width="7.140625" customWidth="1"/>
    <col min="28" max="28" style="11126" width="38.421875" customWidth="1"/>
    <col min="29" max="29" style="11126" width="15.7109375" customWidth="1"/>
    <col min="30" max="30" style="11126" width="37.57421875" customWidth="1"/>
    <col min="31" max="31" style="11126" width="15.7109375" customWidth="1"/>
    <col min="32" max="37" style="11126" width="16.7109375" customWidth="1"/>
    <col min="38" max="58" style="11126" width="9.140625"/>
  </cols>
  <sheetData>
    <row s="11074" customFormat="1" customHeight="1" ht="10.5" hidden="1">
      <c r="A1" s="1145"/>
      <c r="B1" s="1145"/>
      <c r="C1" s="1145"/>
      <c r="E1" s="774"/>
      <c r="H1" s="1421"/>
      <c r="L1" s="1389"/>
      <c r="M1" s="1389"/>
      <c r="AD1" s="1389"/>
      <c r="AH1" s="1408"/>
      <c r="AI1" s="1401"/>
    </row>
    <row customHeight="1" ht="10.5" hidden="1"/>
    <row s="11248" customFormat="1" customHeight="1" ht="10.5" hidden="1">
      <c r="A3" s="1145"/>
      <c r="B3" s="1145"/>
      <c r="C3" s="1145"/>
      <c r="D3" s="653"/>
      <c r="E3" s="585"/>
      <c r="H3" s="1417"/>
      <c r="L3" s="1387"/>
      <c r="M3" s="1387"/>
      <c r="AD3" s="1387"/>
      <c r="AH3" s="1406"/>
      <c r="AI3" s="1399"/>
    </row>
    <row customHeight="1" ht="3"/>
    <row customHeight="1" ht="30">
      <c r="F5" s="2624" t="s">
        <v>2001</v>
      </c>
      <c r="G5" s="2624"/>
      <c r="H5" s="2624"/>
      <c r="I5" s="2624"/>
      <c r="J5" s="2624"/>
      <c r="K5" s="2624"/>
      <c r="L5" s="1396"/>
      <c r="M5" s="1396"/>
      <c r="AG5" s="1161"/>
      <c r="AH5" s="1409"/>
    </row>
    <row customHeight="1" ht="10.5">
      <c r="F6" s="2636" t="str">
        <f>IF(org=0,"Не определено",org)</f>
        <v>ООО "СамРЭК-Тепло Жигулевск"</v>
      </c>
      <c r="G6" s="2636"/>
      <c r="H6" s="2636"/>
      <c r="I6" s="2636"/>
      <c r="J6" s="2636"/>
      <c r="K6" s="2636"/>
      <c r="L6" s="1397"/>
      <c r="M6" s="1397"/>
    </row>
    <row customHeight="1" ht="11.25">
      <c r="E7" s="1163"/>
      <c r="F7" s="1174"/>
      <c r="G7" s="1174"/>
      <c r="H7" s="1449"/>
      <c r="I7" s="1174"/>
      <c r="J7" s="1174"/>
      <c r="K7" s="1176"/>
      <c r="L7" s="1394"/>
      <c r="M7" s="1394"/>
      <c r="N7" s="1174"/>
      <c r="O7" s="1174"/>
      <c r="P7" s="1174"/>
      <c r="Q7" s="1176"/>
      <c r="R7" s="1174"/>
      <c r="S7" s="1174"/>
      <c r="T7" s="1174"/>
      <c r="U7" s="1174"/>
      <c r="V7" s="1174"/>
      <c r="W7" s="1174"/>
      <c r="X7" s="1174"/>
      <c r="Y7" s="1174"/>
      <c r="Z7" s="1174"/>
      <c r="AA7" s="1174"/>
      <c r="AB7" s="1174"/>
      <c r="AC7" s="1175"/>
      <c r="AD7" s="1393"/>
      <c r="AE7" s="1175"/>
      <c r="AF7" s="1174"/>
      <c r="AG7" s="1174"/>
      <c r="AH7" s="1411"/>
      <c r="AI7" s="1404"/>
      <c r="AJ7" s="1174"/>
      <c r="AK7" s="1174"/>
      <c r="AL7" s="1165"/>
      <c r="AM7" s="1165"/>
      <c r="AN7" s="1165"/>
      <c r="AO7" s="1162"/>
      <c r="AP7" s="1162"/>
      <c r="AQ7" s="1162"/>
      <c r="AR7" s="1162"/>
      <c r="AS7" s="1162"/>
      <c r="AT7" s="1162"/>
      <c r="AU7" s="1162"/>
      <c r="AV7" s="1162"/>
      <c r="AW7" s="1162"/>
      <c r="AX7" s="1162"/>
      <c r="AY7" s="1162"/>
      <c r="AZ7" s="1162"/>
      <c r="BA7" s="1162"/>
      <c r="BB7" s="1162"/>
      <c r="BC7" s="1162"/>
      <c r="BD7" s="1162"/>
      <c r="BE7" s="1162"/>
      <c r="BF7" s="1162"/>
    </row>
    <row customHeight="1" ht="10.5">
      <c r="E8" s="1163"/>
      <c r="F8" s="2637" t="s">
        <v>362</v>
      </c>
      <c r="G8" s="2638"/>
      <c r="H8" s="2638"/>
      <c r="I8" s="2638"/>
      <c r="J8" s="2638"/>
      <c r="K8" s="2638"/>
      <c r="L8" s="2638"/>
      <c r="M8" s="2638"/>
      <c r="N8" s="2638"/>
      <c r="O8" s="2638"/>
      <c r="P8" s="2638"/>
      <c r="Q8" s="2638"/>
      <c r="R8" s="2638"/>
      <c r="S8" s="2638"/>
      <c r="T8" s="2638"/>
      <c r="U8" s="2638"/>
      <c r="V8" s="2638"/>
      <c r="W8" s="2638"/>
      <c r="X8" s="2638"/>
      <c r="Y8" s="2638"/>
      <c r="Z8" s="2638"/>
      <c r="AA8" s="2638"/>
      <c r="AB8" s="2638"/>
      <c r="AC8" s="2638"/>
      <c r="AD8" s="2638"/>
      <c r="AE8" s="2638"/>
      <c r="AF8" s="2638"/>
      <c r="AG8" s="2638"/>
      <c r="AH8" s="2638"/>
      <c r="AI8" s="2638"/>
      <c r="AJ8" s="2638"/>
      <c r="AK8" s="2639"/>
      <c r="AL8" s="1164"/>
      <c r="AM8" s="1162"/>
      <c r="AN8" s="1162"/>
      <c r="AO8" s="1162"/>
      <c r="AP8" s="1162"/>
      <c r="AQ8" s="1162"/>
      <c r="AR8" s="1162"/>
      <c r="AS8" s="1162"/>
      <c r="AT8" s="1162"/>
      <c r="AU8" s="1162"/>
      <c r="AV8" s="1162"/>
      <c r="AW8" s="1162"/>
      <c r="AX8" s="1162"/>
      <c r="AY8" s="1162"/>
      <c r="AZ8" s="1162"/>
      <c r="BA8" s="1162"/>
      <c r="BB8" s="1162"/>
      <c r="BC8" s="1162"/>
      <c r="BD8" s="1162"/>
      <c r="BE8" s="1162"/>
      <c r="BF8" s="1162"/>
    </row>
    <row customHeight="1" ht="23.25">
      <c r="A9" s="1160"/>
      <c r="B9" s="1160"/>
      <c r="C9" s="1160"/>
      <c r="E9" s="1163"/>
      <c r="F9" s="2629" t="s">
        <v>2024</v>
      </c>
      <c r="G9" s="2630" t="s">
        <v>2025</v>
      </c>
      <c r="H9" s="2631"/>
      <c r="I9" s="2277" t="s">
        <v>2026</v>
      </c>
      <c r="J9" s="2277"/>
      <c r="K9" s="2277" t="s">
        <v>2027</v>
      </c>
      <c r="L9" s="2277"/>
      <c r="M9" s="2277"/>
      <c r="N9" s="2277"/>
      <c r="O9" s="2277"/>
      <c r="P9" s="2277"/>
      <c r="Q9" s="2277"/>
      <c r="R9" s="2277"/>
      <c r="S9" s="2277"/>
      <c r="T9" s="2277"/>
      <c r="U9" s="2277"/>
      <c r="V9" s="2277"/>
      <c r="W9" s="2277"/>
      <c r="X9" s="2277"/>
      <c r="Y9" s="2277"/>
      <c r="Z9" s="2290" t="s">
        <v>2028</v>
      </c>
      <c r="AA9" s="2291"/>
      <c r="AB9" s="2277" t="s">
        <v>2029</v>
      </c>
      <c r="AC9" s="2277"/>
      <c r="AD9" s="2277"/>
      <c r="AE9" s="2277"/>
      <c r="AF9" s="2607" t="s">
        <v>2030</v>
      </c>
      <c r="AG9" s="2642" t="s">
        <v>2031</v>
      </c>
      <c r="AH9" s="2642"/>
      <c r="AI9" s="2607" t="s">
        <v>2032</v>
      </c>
      <c r="AJ9" s="2642" t="s">
        <v>2033</v>
      </c>
      <c r="AK9" s="2642"/>
      <c r="AL9" s="1403"/>
      <c r="AM9" s="1162"/>
      <c r="AN9" s="1162"/>
      <c r="AO9" s="1162"/>
      <c r="AP9" s="1162"/>
      <c r="AQ9" s="1162"/>
      <c r="AR9" s="1162"/>
      <c r="AS9" s="1162"/>
      <c r="AT9" s="1162"/>
      <c r="AU9" s="1162"/>
      <c r="AV9" s="1162"/>
      <c r="AW9" s="1162"/>
      <c r="AX9" s="1162"/>
      <c r="AY9" s="1162"/>
      <c r="AZ9" s="1162"/>
      <c r="BA9" s="1162"/>
      <c r="BB9" s="1162"/>
      <c r="BC9" s="1162"/>
      <c r="BD9" s="1162"/>
      <c r="BE9" s="1162"/>
      <c r="BF9" s="1162"/>
    </row>
    <row customHeight="1" ht="23.25">
      <c r="A10" s="1160"/>
      <c r="B10" s="1160"/>
      <c r="C10" s="1160"/>
      <c r="E10" s="1167"/>
      <c r="F10" s="2629"/>
      <c r="G10" s="2632"/>
      <c r="H10" s="2633"/>
      <c r="I10" s="2277"/>
      <c r="J10" s="2277"/>
      <c r="K10" s="2277" t="s">
        <v>2034</v>
      </c>
      <c r="L10" s="2136" t="s">
        <v>2035</v>
      </c>
      <c r="M10" s="2138"/>
      <c r="N10" s="2277" t="s">
        <v>2036</v>
      </c>
      <c r="O10" s="2277"/>
      <c r="P10" s="2277"/>
      <c r="Q10" s="2277"/>
      <c r="R10" s="2277"/>
      <c r="S10" s="2277"/>
      <c r="T10" s="2277"/>
      <c r="U10" s="2277"/>
      <c r="V10" s="2277"/>
      <c r="W10" s="2277"/>
      <c r="X10" s="2277"/>
      <c r="Y10" s="2277"/>
      <c r="Z10" s="2641"/>
      <c r="AA10" s="2553"/>
      <c r="AB10" s="2277"/>
      <c r="AC10" s="2277"/>
      <c r="AD10" s="2277"/>
      <c r="AE10" s="2277"/>
      <c r="AF10" s="2608"/>
      <c r="AG10" s="2642"/>
      <c r="AH10" s="2642"/>
      <c r="AI10" s="2608"/>
      <c r="AJ10" s="2642"/>
      <c r="AK10" s="2642"/>
      <c r="AL10" s="1403"/>
      <c r="AM10" s="1168"/>
      <c r="AN10" s="1168"/>
      <c r="AO10" s="1168"/>
      <c r="AP10" s="1168"/>
      <c r="AQ10" s="1168"/>
      <c r="AR10" s="1168"/>
      <c r="AS10" s="1168"/>
      <c r="AT10" s="1168"/>
      <c r="AU10" s="1168"/>
      <c r="AV10" s="1168"/>
      <c r="AW10" s="1168"/>
      <c r="AX10" s="1168"/>
      <c r="AY10" s="1168"/>
      <c r="AZ10" s="1168"/>
      <c r="BA10" s="1168"/>
      <c r="BB10" s="1168"/>
      <c r="BC10" s="1168"/>
      <c r="BD10" s="1168"/>
      <c r="BE10" s="1168"/>
      <c r="BF10" s="1168"/>
    </row>
    <row s="11126" customFormat="1" customHeight="1" ht="23.25">
      <c r="A11" s="1390"/>
      <c r="B11" s="1390"/>
      <c r="C11" s="1390"/>
      <c r="D11" s="1389"/>
      <c r="E11" s="1391"/>
      <c r="F11" s="2629"/>
      <c r="G11" s="2632"/>
      <c r="H11" s="2633"/>
      <c r="I11" s="2277"/>
      <c r="J11" s="2277"/>
      <c r="K11" s="2277"/>
      <c r="L11" s="2294" t="s">
        <v>2037</v>
      </c>
      <c r="M11" s="2294" t="s">
        <v>2038</v>
      </c>
      <c r="N11" s="2277" t="s">
        <v>2039</v>
      </c>
      <c r="O11" s="2277"/>
      <c r="P11" s="2640" t="s">
        <v>2020</v>
      </c>
      <c r="Q11" s="2640" t="s">
        <v>2040</v>
      </c>
      <c r="R11" s="2640" t="s">
        <v>2041</v>
      </c>
      <c r="S11" s="2640" t="s">
        <v>2042</v>
      </c>
      <c r="T11" s="2640"/>
      <c r="U11" s="2640"/>
      <c r="V11" s="2640"/>
      <c r="W11" s="2640"/>
      <c r="X11" s="2640"/>
      <c r="Y11" s="2640"/>
      <c r="Z11" s="2641"/>
      <c r="AA11" s="2553"/>
      <c r="AB11" s="2277" t="s">
        <v>2043</v>
      </c>
      <c r="AC11" s="2277"/>
      <c r="AD11" s="2136" t="s">
        <v>2044</v>
      </c>
      <c r="AE11" s="2138"/>
      <c r="AF11" s="2608"/>
      <c r="AG11" s="2642"/>
      <c r="AH11" s="2642"/>
      <c r="AI11" s="2608"/>
      <c r="AJ11" s="2642"/>
      <c r="AK11" s="2642"/>
      <c r="AL11" s="1403"/>
      <c r="AM11" s="1388"/>
      <c r="AN11" s="1388"/>
      <c r="AO11" s="1388"/>
      <c r="AP11" s="1388"/>
      <c r="AQ11" s="1388"/>
      <c r="AR11" s="1388"/>
      <c r="AS11" s="1388"/>
      <c r="AT11" s="1388"/>
      <c r="AU11" s="1388"/>
      <c r="AV11" s="1388"/>
      <c r="AW11" s="1388"/>
      <c r="AX11" s="1388"/>
      <c r="AY11" s="1388"/>
      <c r="AZ11" s="1388"/>
      <c r="BA11" s="1388"/>
      <c r="BB11" s="1388"/>
      <c r="BC11" s="1388"/>
      <c r="BD11" s="1388"/>
      <c r="BE11" s="1388"/>
      <c r="BF11" s="1388"/>
    </row>
    <row customHeight="1" ht="33.75">
      <c r="A12" s="1160"/>
      <c r="B12" s="1160"/>
      <c r="C12" s="1160"/>
      <c r="E12" s="1163"/>
      <c r="F12" s="2629"/>
      <c r="G12" s="2634"/>
      <c r="H12" s="2635"/>
      <c r="I12" s="1414" t="s">
        <v>89</v>
      </c>
      <c r="J12" s="1414" t="s">
        <v>2045</v>
      </c>
      <c r="K12" s="2277"/>
      <c r="L12" s="2295"/>
      <c r="M12" s="2295"/>
      <c r="N12" s="2277"/>
      <c r="O12" s="2277"/>
      <c r="P12" s="2640"/>
      <c r="Q12" s="2640"/>
      <c r="R12" s="2640"/>
      <c r="S12" s="1395" t="s">
        <v>86</v>
      </c>
      <c r="T12" s="1395" t="s">
        <v>87</v>
      </c>
      <c r="U12" s="1395" t="s">
        <v>85</v>
      </c>
      <c r="V12" s="1395" t="s">
        <v>2046</v>
      </c>
      <c r="W12" s="1395" t="s">
        <v>85</v>
      </c>
      <c r="X12" s="1395" t="s">
        <v>2047</v>
      </c>
      <c r="Y12" s="1395" t="s">
        <v>2048</v>
      </c>
      <c r="Z12" s="2292"/>
      <c r="AA12" s="2293"/>
      <c r="AB12" s="1402" t="s">
        <v>2049</v>
      </c>
      <c r="AC12" s="1402" t="s">
        <v>2050</v>
      </c>
      <c r="AD12" s="1402" t="s">
        <v>2049</v>
      </c>
      <c r="AE12" s="1402" t="s">
        <v>2050</v>
      </c>
      <c r="AF12" s="2609"/>
      <c r="AG12" s="1415" t="s">
        <v>2051</v>
      </c>
      <c r="AH12" s="1415" t="s">
        <v>2052</v>
      </c>
      <c r="AI12" s="2609"/>
      <c r="AJ12" s="1415" t="s">
        <v>2051</v>
      </c>
      <c r="AK12" s="1415" t="s">
        <v>2052</v>
      </c>
      <c r="AL12" s="1403"/>
      <c r="AM12" s="1162"/>
      <c r="AN12" s="1162"/>
      <c r="AO12" s="1162"/>
      <c r="AP12" s="1162"/>
      <c r="AQ12" s="1162"/>
      <c r="AR12" s="1162"/>
      <c r="AS12" s="1162"/>
      <c r="AT12" s="1162"/>
      <c r="AU12" s="1162"/>
      <c r="AV12" s="1162"/>
      <c r="AW12" s="1162"/>
      <c r="AX12" s="1162"/>
      <c r="AY12" s="1162"/>
      <c r="AZ12" s="1162"/>
      <c r="BA12" s="1162"/>
      <c r="BB12" s="1162"/>
      <c r="BC12" s="1162"/>
      <c r="BD12" s="1162"/>
      <c r="BE12" s="1162"/>
      <c r="BF12" s="1162"/>
    </row>
    <row customHeight="1" ht="0.75">
      <c r="E13" s="1163"/>
      <c r="F13" s="1385">
        <v>0</v>
      </c>
      <c r="G13" s="1385"/>
      <c r="H13" s="1385"/>
      <c r="I13" s="1385"/>
      <c r="J13" s="1385"/>
      <c r="K13" s="1392"/>
      <c r="L13" s="1392"/>
      <c r="M13" s="1392"/>
      <c r="N13" s="1392"/>
      <c r="O13" s="1392"/>
      <c r="P13" s="1392"/>
      <c r="Q13" s="1392"/>
      <c r="R13" s="1392"/>
      <c r="S13" s="1392"/>
      <c r="T13" s="1392"/>
      <c r="U13" s="1392"/>
      <c r="V13" s="1392"/>
      <c r="W13" s="1392"/>
      <c r="X13" s="1392"/>
      <c r="Y13" s="1392"/>
      <c r="Z13" s="1392"/>
      <c r="AA13" s="1392"/>
      <c r="AB13" s="1392"/>
      <c r="AC13" s="1392"/>
      <c r="AD13" s="1392"/>
      <c r="AE13" s="1392"/>
      <c r="AF13" s="1392"/>
      <c r="AG13" s="1392"/>
      <c r="AH13" s="1410"/>
      <c r="AI13" s="1403"/>
      <c r="AJ13" s="1392"/>
      <c r="AK13" s="1392"/>
      <c r="AL13" s="1164"/>
      <c r="AM13" s="1162"/>
      <c r="AN13" s="1162"/>
      <c r="AO13" s="1162"/>
      <c r="AP13" s="1162"/>
      <c r="AQ13" s="1162"/>
      <c r="AR13" s="1162"/>
      <c r="AS13" s="1162"/>
      <c r="AT13" s="1162"/>
      <c r="AU13" s="1162"/>
      <c r="AV13" s="1162"/>
      <c r="AW13" s="1162"/>
      <c r="AX13" s="1162"/>
      <c r="AY13" s="1162"/>
      <c r="AZ13" s="1162"/>
      <c r="BA13" s="1162"/>
      <c r="BB13" s="1162"/>
      <c r="BC13" s="1162"/>
      <c r="BD13" s="1162"/>
      <c r="BE13" s="1162"/>
      <c r="BF13" s="1162"/>
    </row>
    <row customHeight="1" ht="10.5">
      <c r="E14" s="1162"/>
      <c r="F14" s="1173"/>
      <c r="G14" s="1173"/>
      <c r="H14" s="1434"/>
      <c r="I14" s="1173"/>
      <c r="J14" s="1173"/>
      <c r="K14" s="1173"/>
      <c r="L14" s="1392"/>
      <c r="M14" s="1392"/>
      <c r="N14" s="1173"/>
      <c r="O14" s="1173"/>
      <c r="P14" s="1173"/>
      <c r="Q14" s="1173"/>
      <c r="R14" s="1173"/>
      <c r="S14" s="1173"/>
      <c r="T14" s="1173"/>
      <c r="U14" s="1173"/>
      <c r="V14" s="1173"/>
      <c r="W14" s="1173"/>
      <c r="X14" s="1173"/>
      <c r="Y14" s="1173"/>
      <c r="Z14" s="1173"/>
      <c r="AA14" s="1173"/>
      <c r="AB14" s="1173"/>
      <c r="AC14" s="1173"/>
      <c r="AD14" s="1392"/>
      <c r="AE14" s="1173"/>
      <c r="AF14" s="1173"/>
      <c r="AG14" s="1173"/>
      <c r="AH14" s="1410"/>
      <c r="AI14" s="1403"/>
      <c r="AJ14" s="1173"/>
      <c r="AK14" s="1173"/>
      <c r="AL14" s="1162"/>
      <c r="AM14" s="1162"/>
      <c r="AN14" s="1162"/>
      <c r="AO14" s="1162"/>
      <c r="AP14" s="1162"/>
      <c r="AQ14" s="1162"/>
      <c r="AR14" s="1162"/>
      <c r="AS14" s="1162"/>
      <c r="AT14" s="1162"/>
      <c r="AU14" s="1162"/>
      <c r="AV14" s="1162"/>
      <c r="AW14" s="1162"/>
      <c r="AX14" s="1162"/>
      <c r="AY14" s="1162"/>
      <c r="AZ14" s="1162"/>
      <c r="BA14" s="1162"/>
      <c r="BB14" s="1162"/>
      <c r="BC14" s="1162"/>
      <c r="BD14" s="1162"/>
      <c r="BE14" s="1162"/>
      <c r="BF14" s="1162"/>
    </row>
    <row customHeight="1" ht="12.75">
      <c r="E15" s="1162"/>
      <c r="F15" s="1169" t="s">
        <v>2053</v>
      </c>
      <c r="G15" s="1169"/>
      <c r="H15" s="1433"/>
      <c r="I15" s="1169"/>
      <c r="J15" s="1169"/>
      <c r="K15" s="1166"/>
      <c r="L15" s="1388"/>
      <c r="M15" s="1388"/>
      <c r="N15" s="1168"/>
      <c r="O15" s="1168"/>
      <c r="P15" s="1168"/>
      <c r="Q15" s="1168"/>
      <c r="R15" s="1168"/>
      <c r="S15" s="1168"/>
      <c r="T15" s="1168"/>
      <c r="U15" s="1168"/>
      <c r="V15" s="1168"/>
      <c r="W15" s="1168"/>
      <c r="X15" s="1168"/>
      <c r="Y15" s="1168"/>
      <c r="Z15" s="1166"/>
      <c r="AA15" s="1166"/>
      <c r="AB15" s="1166"/>
      <c r="AC15" s="1166"/>
      <c r="AD15" s="1388"/>
      <c r="AE15" s="1166"/>
      <c r="AF15" s="1166"/>
      <c r="AG15" s="1166"/>
      <c r="AH15" s="1407"/>
      <c r="AI15" s="1400"/>
      <c r="AJ15" s="1166"/>
      <c r="AK15" s="1166"/>
      <c r="AL15" s="1162"/>
      <c r="AM15" s="1162"/>
      <c r="AN15" s="1162"/>
      <c r="AO15" s="1162"/>
      <c r="AP15" s="1162"/>
      <c r="AQ15" s="1162"/>
      <c r="AR15" s="1162"/>
      <c r="AS15" s="1162"/>
      <c r="AT15" s="1162"/>
      <c r="AU15" s="1162"/>
      <c r="AV15" s="1162"/>
      <c r="AW15" s="1162"/>
      <c r="AX15" s="1162"/>
      <c r="AY15" s="1162"/>
      <c r="AZ15" s="1162"/>
      <c r="BA15" s="1162"/>
      <c r="BB15" s="1162"/>
      <c r="BC15" s="1162"/>
      <c r="BD15" s="1162"/>
      <c r="BE15" s="1162"/>
      <c r="BF15" s="1162"/>
    </row>
    <row r="17" customHeight="1" ht="10.5">
      <c r="E17" s="1162"/>
      <c r="F17" s="2628"/>
      <c r="G17" s="2628"/>
      <c r="H17" s="2628"/>
      <c r="I17" s="2628"/>
      <c r="J17" s="2628"/>
      <c r="K17" s="1166"/>
      <c r="L17" s="1388"/>
      <c r="M17" s="1388"/>
      <c r="N17" s="1168"/>
      <c r="O17" s="1168"/>
      <c r="P17" s="1168"/>
      <c r="Q17" s="1168"/>
      <c r="R17" s="1168"/>
      <c r="S17" s="1168"/>
      <c r="T17" s="1168"/>
      <c r="U17" s="1168"/>
      <c r="V17" s="1168"/>
      <c r="W17" s="1168"/>
      <c r="X17" s="1168"/>
      <c r="Y17" s="1168"/>
      <c r="Z17" s="1166"/>
      <c r="AA17" s="1166"/>
      <c r="AB17" s="1166"/>
      <c r="AC17" s="1166"/>
      <c r="AD17" s="1388"/>
      <c r="AE17" s="1166"/>
      <c r="AF17" s="1166"/>
      <c r="AG17" s="1166"/>
      <c r="AH17" s="1407"/>
      <c r="AI17" s="1400"/>
      <c r="AJ17" s="1166"/>
      <c r="AK17" s="1166"/>
      <c r="AL17" s="1162"/>
      <c r="AM17" s="1162"/>
      <c r="AN17" s="1162"/>
      <c r="AO17" s="1162"/>
      <c r="AP17" s="1162"/>
      <c r="AQ17" s="1162"/>
      <c r="AR17" s="1162"/>
      <c r="AS17" s="1162"/>
      <c r="AT17" s="1162"/>
      <c r="AU17" s="1162"/>
      <c r="AV17" s="1162"/>
      <c r="AW17" s="1162"/>
      <c r="AX17" s="1162"/>
      <c r="AY17" s="1162"/>
      <c r="AZ17" s="1162"/>
      <c r="BA17" s="1162"/>
      <c r="BB17" s="1162"/>
      <c r="BC17" s="1162"/>
      <c r="BD17" s="1162"/>
      <c r="BE17" s="1162"/>
      <c r="BF17" s="1162"/>
    </row>
    <row customHeight="1" ht="10.5">
      <c r="E18" s="1162"/>
      <c r="F18" s="2628"/>
      <c r="G18" s="2628"/>
      <c r="H18" s="2628"/>
      <c r="I18" s="2628"/>
      <c r="J18" s="2628"/>
      <c r="K18" s="1166"/>
      <c r="L18" s="1388"/>
      <c r="M18" s="1388"/>
      <c r="N18" s="1168"/>
      <c r="O18" s="1168"/>
      <c r="P18" s="1168"/>
      <c r="Q18" s="1168"/>
      <c r="R18" s="1168"/>
      <c r="S18" s="1168"/>
      <c r="T18" s="1168"/>
      <c r="U18" s="1168"/>
      <c r="V18" s="1168"/>
      <c r="W18" s="1168"/>
      <c r="X18" s="1168"/>
      <c r="Y18" s="1168"/>
      <c r="Z18" s="1166"/>
      <c r="AA18" s="1166"/>
      <c r="AB18" s="1166"/>
      <c r="AC18" s="1166"/>
      <c r="AD18" s="1388"/>
      <c r="AE18" s="1166"/>
      <c r="AF18" s="1166"/>
      <c r="AG18" s="1166"/>
      <c r="AH18" s="1407"/>
      <c r="AI18" s="1400"/>
      <c r="AJ18" s="1166"/>
      <c r="AK18" s="1166"/>
      <c r="AL18" s="1162"/>
      <c r="AM18" s="1162"/>
      <c r="AN18" s="1162"/>
      <c r="AO18" s="1162"/>
      <c r="AP18" s="1162"/>
      <c r="AQ18" s="1162"/>
      <c r="AR18" s="1162"/>
      <c r="AS18" s="1162"/>
      <c r="AT18" s="1162"/>
      <c r="AU18" s="1162"/>
      <c r="AV18" s="1162"/>
      <c r="AW18" s="1162"/>
      <c r="AX18" s="1162"/>
      <c r="AY18" s="1162"/>
      <c r="AZ18" s="1162"/>
      <c r="BA18" s="1162"/>
      <c r="BB18" s="1162"/>
      <c r="BC18" s="1162"/>
      <c r="BD18" s="1162"/>
      <c r="BE18" s="1162"/>
      <c r="BF18" s="1162"/>
    </row>
    <row customHeight="1" ht="10.5">
      <c r="E19" s="1162"/>
      <c r="F19" s="2628"/>
      <c r="G19" s="2628"/>
      <c r="H19" s="2628"/>
      <c r="I19" s="2628"/>
      <c r="J19" s="2628"/>
      <c r="K19" s="1166"/>
      <c r="L19" s="1388"/>
      <c r="M19" s="1388"/>
      <c r="N19" s="1168"/>
      <c r="O19" s="1168"/>
      <c r="P19" s="1168"/>
      <c r="Q19" s="1168"/>
      <c r="R19" s="1168"/>
      <c r="S19" s="1168"/>
      <c r="T19" s="1168"/>
      <c r="U19" s="1168"/>
      <c r="V19" s="1168"/>
      <c r="W19" s="1168"/>
      <c r="X19" s="1168"/>
      <c r="Y19" s="1168"/>
      <c r="Z19" s="1166"/>
      <c r="AA19" s="1166"/>
      <c r="AB19" s="1166"/>
      <c r="AC19" s="1166"/>
      <c r="AD19" s="1388"/>
      <c r="AE19" s="1166"/>
      <c r="AF19" s="1166"/>
      <c r="AG19" s="1166"/>
      <c r="AH19" s="1407"/>
      <c r="AI19" s="1400"/>
      <c r="AJ19" s="1166"/>
      <c r="AK19" s="1166"/>
      <c r="AL19" s="1162"/>
      <c r="AM19" s="1162"/>
      <c r="AN19" s="1162"/>
      <c r="AO19" s="1162"/>
      <c r="AP19" s="1162"/>
      <c r="AQ19" s="1162"/>
      <c r="AR19" s="1162"/>
      <c r="AS19" s="1162"/>
      <c r="AT19" s="1162"/>
      <c r="AU19" s="1162"/>
      <c r="AV19" s="1162"/>
      <c r="AW19" s="1162"/>
      <c r="AX19" s="1162"/>
      <c r="AY19" s="1162"/>
      <c r="AZ19" s="1162"/>
      <c r="BA19" s="1162"/>
      <c r="BB19" s="1162"/>
      <c r="BC19" s="1162"/>
      <c r="BD19" s="1162"/>
      <c r="BE19" s="1162"/>
      <c r="BF19" s="1162"/>
    </row>
  </sheetData>
  <sheetProtection formatColumns="0" formatRows="0" autoFilter="0" sort="0" insertRows="0" insertColumns="1" deleteRows="0" deleteColumns="0"/>
  <mergeCells count="28">
    <mergeCell ref="AB9:AE10"/>
    <mergeCell ref="S11:Y11"/>
    <mergeCell ref="N10:Y10"/>
    <mergeCell ref="K9:Y9"/>
    <mergeCell ref="N11:O12"/>
    <mergeCell ref="P11:P12"/>
    <mergeCell ref="Q11:Q12"/>
    <mergeCell ref="F19:J19"/>
    <mergeCell ref="F9:F12"/>
    <mergeCell ref="G9:H12"/>
    <mergeCell ref="F6:K6"/>
    <mergeCell ref="F8:AK8"/>
    <mergeCell ref="R11:R12"/>
    <mergeCell ref="L10:M10"/>
    <mergeCell ref="Z9:AA12"/>
    <mergeCell ref="M11:M12"/>
    <mergeCell ref="L11:L12"/>
    <mergeCell ref="AB11:AC11"/>
    <mergeCell ref="AD11:AE11"/>
    <mergeCell ref="AI9:AI12"/>
    <mergeCell ref="AG9:AH11"/>
    <mergeCell ref="AJ9:AK11"/>
    <mergeCell ref="AF9:AF12"/>
    <mergeCell ref="I9:J11"/>
    <mergeCell ref="K10:K12"/>
    <mergeCell ref="F18:J18"/>
    <mergeCell ref="F17:J17"/>
    <mergeCell ref="F5:K5"/>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5454D3D-58CE-3779-9C8B-21758738D3EC}" mc:Ignorable="x14ac xr xr2 xr3">
  <sheetPr>
    <tabColor theme="9" tint="-0.25"/>
  </sheetPr>
  <dimension ref="A1:V58"/>
  <sheetViews>
    <sheetView topLeftCell="E4" showGridLines="0" zoomScale="85" workbookViewId="0">
      <selection activeCell="A1" sqref="A1"/>
    </sheetView>
  </sheetViews>
  <sheetFormatPr defaultColWidth="9.140625" customHeight="1" defaultRowHeight="10.5"/>
  <cols>
    <col min="1" max="3" style="11154" width="4.140625" hidden="1" customWidth="1"/>
    <col min="4" max="4" style="11074" width="4.140625" hidden="1" customWidth="1"/>
    <col min="5" max="5" style="11126" width="3.7109375" customWidth="1"/>
    <col min="6" max="6" style="11126" width="6.28125" customWidth="1"/>
    <col min="7" max="7" style="11126" width="60.140625" customWidth="1"/>
    <col min="8" max="9" style="11126" width="21.7109375" hidden="1" customWidth="1"/>
    <col min="10" max="10" style="11126" width="0.140625" customWidth="1"/>
    <col min="11" max="11" style="11126" width="1.7109375" customWidth="1"/>
    <col min="12" max="22" style="11126" width="9.140625"/>
  </cols>
  <sheetData>
    <row s="11074" customFormat="1" customHeight="1" ht="10.5" hidden="1">
      <c r="A1" s="1427"/>
      <c r="B1" s="1427"/>
      <c r="C1" s="1427"/>
      <c r="E1" s="774"/>
    </row>
    <row customHeight="1" ht="10.5" hidden="1"/>
    <row s="11248" customFormat="1" customHeight="1" ht="10.5" hidden="1">
      <c r="A3" s="1427"/>
      <c r="B3" s="1427"/>
      <c r="C3" s="1427"/>
      <c r="D3" s="1421"/>
      <c r="E3" s="585"/>
    </row>
    <row customHeight="1" ht="3"/>
    <row customHeight="1" ht="30">
      <c r="F5" s="2624" t="s">
        <v>2054</v>
      </c>
      <c r="G5" s="2624"/>
      <c r="H5" s="2624"/>
      <c r="I5" s="2624"/>
      <c r="J5" s="2624"/>
    </row>
    <row customHeight="1" ht="10.5">
      <c r="F6" s="2636" t="str">
        <f>IF(org=0,"Не определено",org)</f>
        <v>ООО "СамРЭК-Тепло Жигулевск"</v>
      </c>
      <c r="G6" s="2636"/>
      <c r="H6" s="2636"/>
      <c r="I6" s="2636"/>
      <c r="J6" s="2636"/>
    </row>
    <row customHeight="1" ht="11.25">
      <c r="E7" s="1431"/>
      <c r="F7" s="1505"/>
      <c r="G7" s="1505"/>
      <c r="H7" s="1505"/>
      <c r="I7" s="1505"/>
      <c r="J7" s="1505"/>
      <c r="K7" s="1418"/>
      <c r="L7" s="1418"/>
      <c r="M7" s="1418"/>
      <c r="N7" s="1418"/>
      <c r="O7" s="1418"/>
      <c r="P7" s="1418"/>
      <c r="Q7" s="1418"/>
      <c r="R7" s="1418"/>
      <c r="S7" s="1418"/>
      <c r="T7" s="1418"/>
      <c r="U7" s="1418"/>
      <c r="V7" s="1418"/>
    </row>
    <row s="10863" customFormat="1" customHeight="1" ht="5.25">
      <c r="A8" s="1428"/>
      <c r="B8" s="1428"/>
      <c r="C8" s="1428"/>
      <c r="E8" s="1506"/>
      <c r="F8" s="1507"/>
      <c r="G8" s="1507"/>
      <c r="H8" s="1507"/>
      <c r="I8" s="1507"/>
      <c r="J8" s="1507"/>
      <c r="K8" s="1506"/>
      <c r="L8" s="1506"/>
      <c r="M8" s="1506"/>
      <c r="N8" s="1506"/>
      <c r="O8" s="1506"/>
      <c r="P8" s="1506"/>
      <c r="Q8" s="1506"/>
      <c r="R8" s="1506"/>
      <c r="S8" s="1506"/>
      <c r="T8" s="1506"/>
      <c r="U8" s="1506"/>
      <c r="V8" s="1506"/>
    </row>
    <row customHeight="1" ht="10.5">
      <c r="E9" s="1431"/>
      <c r="F9" s="2643" t="s">
        <v>362</v>
      </c>
      <c r="G9" s="2644"/>
      <c r="H9" s="2644"/>
      <c r="I9" s="2644"/>
      <c r="J9" s="2644"/>
      <c r="K9" s="1518"/>
      <c r="L9" s="1418"/>
      <c r="M9" s="1418"/>
      <c r="N9" s="1418"/>
      <c r="O9" s="1418"/>
      <c r="P9" s="1418"/>
      <c r="Q9" s="1418"/>
      <c r="R9" s="1418"/>
      <c r="S9" s="1418"/>
      <c r="T9" s="1418"/>
      <c r="U9" s="1418"/>
      <c r="V9" s="1418"/>
    </row>
    <row customHeight="1" ht="24">
      <c r="E10" s="1418"/>
      <c r="F10" s="2647" t="s">
        <v>88</v>
      </c>
      <c r="G10" s="2652" t="s">
        <v>2055</v>
      </c>
      <c r="H10" s="2650" t="s">
        <v>2056</v>
      </c>
      <c r="I10" s="2650"/>
      <c r="J10" s="2650"/>
      <c r="K10" s="1511"/>
      <c r="L10" s="1418"/>
      <c r="M10" s="1418"/>
      <c r="N10" s="1418"/>
      <c r="O10" s="1418"/>
      <c r="P10" s="1418"/>
      <c r="Q10" s="1418"/>
      <c r="R10" s="1418"/>
      <c r="S10" s="1418"/>
      <c r="T10" s="1418"/>
      <c r="U10" s="1418"/>
      <c r="V10" s="1418"/>
    </row>
    <row customHeight="1" ht="24">
      <c r="E11" s="1418"/>
      <c r="F11" s="2648"/>
      <c r="G11" s="2652"/>
      <c r="H11" s="2651">
        <f>INDEX(IP_MAIN_LIST_NAME_IP,MATCH(H8,IP_MAIN_LIST_IP_ID,0))&amp;" ("&amp;INDEX(IP_MAIN_START_DATE,MATCH(H8,IP_MAIN_LIST_IP_ID,0))&amp;"-"&amp;INDEX(IP_MAIN_END_DATE,MATCH(H8,IP_MAIN_LIST_IP_ID,0))&amp;")"</f>
      </c>
      <c r="I11" s="2651"/>
      <c r="J11" s="2651"/>
      <c r="K11" s="1511"/>
      <c r="L11" s="1418"/>
      <c r="M11" s="1418"/>
      <c r="N11" s="1418"/>
      <c r="O11" s="1418"/>
      <c r="P11" s="1418"/>
      <c r="Q11" s="1418"/>
      <c r="R11" s="1418"/>
      <c r="S11" s="1418"/>
      <c r="T11" s="1418"/>
      <c r="U11" s="1418"/>
      <c r="V11" s="1418"/>
    </row>
    <row customHeight="1" ht="10.5">
      <c r="F12" s="2649"/>
      <c r="G12" s="2652"/>
      <c r="H12" s="1504" t="s">
        <v>2057</v>
      </c>
      <c r="I12" s="1510"/>
      <c r="J12" s="1504"/>
      <c r="K12" s="1512"/>
    </row>
    <row customHeight="1" ht="10.5" hidden="1">
      <c r="F13" s="1504">
        <v>1</v>
      </c>
      <c r="G13" s="1504">
        <v>2</v>
      </c>
      <c r="H13" s="1504">
        <v>3</v>
      </c>
      <c r="I13" s="1504">
        <v>4</v>
      </c>
      <c r="J13" s="1504">
        <v>5</v>
      </c>
      <c r="K13" s="1512"/>
    </row>
    <row customHeight="1" ht="11.25">
      <c r="F14" s="1503" t="s">
        <v>1276</v>
      </c>
      <c r="G14" s="2645" t="s">
        <v>2058</v>
      </c>
      <c r="H14" s="2645"/>
      <c r="I14" s="2645"/>
      <c r="J14" s="2645"/>
      <c r="K14" s="1512"/>
    </row>
    <row customHeight="1" ht="11.25">
      <c r="F15" s="1508">
        <v>1</v>
      </c>
      <c r="G15" s="927" t="s">
        <v>2059</v>
      </c>
      <c r="H15" s="1514">
        <f>SUM(I15:J15)</f>
        <v>0</v>
      </c>
      <c r="I15" s="1514">
        <f>SUM(I16:I27)</f>
        <v>0</v>
      </c>
      <c r="J15" s="1503"/>
      <c r="K15" s="1512"/>
    </row>
    <row customHeight="1" ht="22.5">
      <c r="F16" s="1508" t="s">
        <v>685</v>
      </c>
      <c r="G16" s="1515" t="s">
        <v>1229</v>
      </c>
      <c r="H16" s="1514">
        <f>SUM(I16:J16)</f>
        <v>0</v>
      </c>
      <c r="I16" s="1513"/>
      <c r="J16" s="1503"/>
      <c r="K16" s="1512"/>
    </row>
    <row customHeight="1" ht="22.5">
      <c r="F17" s="1508" t="s">
        <v>691</v>
      </c>
      <c r="G17" s="1515" t="s">
        <v>1234</v>
      </c>
      <c r="H17" s="1514">
        <f>SUM(I17:J17)</f>
        <v>0</v>
      </c>
      <c r="I17" s="1513"/>
      <c r="J17" s="1503"/>
      <c r="K17" s="1512"/>
    </row>
    <row customHeight="1" ht="33.75">
      <c r="F18" s="1508" t="s">
        <v>1505</v>
      </c>
      <c r="G18" s="1515" t="s">
        <v>1222</v>
      </c>
      <c r="H18" s="1514">
        <f>SUM(I18:J18)</f>
        <v>0</v>
      </c>
      <c r="I18" s="1513"/>
      <c r="J18" s="1503"/>
      <c r="K18" s="1512"/>
    </row>
    <row customHeight="1" ht="33.75">
      <c r="F19" s="1508" t="s">
        <v>2060</v>
      </c>
      <c r="G19" s="1515" t="s">
        <v>1260</v>
      </c>
      <c r="H19" s="1514">
        <f>SUM(I19:J19)</f>
        <v>0</v>
      </c>
      <c r="I19" s="1513"/>
      <c r="J19" s="1503"/>
      <c r="K19" s="1512"/>
    </row>
    <row customHeight="1" ht="45">
      <c r="F20" s="1508" t="s">
        <v>2061</v>
      </c>
      <c r="G20" s="1515" t="s">
        <v>1263</v>
      </c>
      <c r="H20" s="1514">
        <f>SUM(I20:J20)</f>
        <v>0</v>
      </c>
      <c r="I20" s="1513"/>
      <c r="J20" s="1503"/>
      <c r="K20" s="1512"/>
    </row>
    <row customHeight="1" ht="33.75">
      <c r="F21" s="1508" t="s">
        <v>2062</v>
      </c>
      <c r="G21" s="1515" t="s">
        <v>1269</v>
      </c>
      <c r="H21" s="1514">
        <f>SUM(I21:J21)</f>
        <v>0</v>
      </c>
      <c r="I21" s="1513"/>
      <c r="J21" s="1503"/>
      <c r="K21" s="1512"/>
    </row>
    <row customHeight="1" ht="33.75">
      <c r="F22" s="1508" t="s">
        <v>2063</v>
      </c>
      <c r="G22" s="1515" t="s">
        <v>1274</v>
      </c>
      <c r="H22" s="1514">
        <f>SUM(I22:J22)</f>
        <v>0</v>
      </c>
      <c r="I22" s="1513"/>
      <c r="J22" s="1503"/>
      <c r="K22" s="1512"/>
    </row>
    <row customHeight="1" ht="22.5">
      <c r="F23" s="1508" t="s">
        <v>2064</v>
      </c>
      <c r="G23" s="1515" t="s">
        <v>1278</v>
      </c>
      <c r="H23" s="1514">
        <f>SUM(I23:J23)</f>
        <v>0</v>
      </c>
      <c r="I23" s="1513"/>
      <c r="J23" s="1503"/>
      <c r="K23" s="1512"/>
    </row>
    <row customHeight="1" ht="22.5">
      <c r="F24" s="1508" t="s">
        <v>2065</v>
      </c>
      <c r="G24" s="1515" t="s">
        <v>1255</v>
      </c>
      <c r="H24" s="1514">
        <f>SUM(I24:J24)</f>
        <v>0</v>
      </c>
      <c r="I24" s="1513"/>
      <c r="J24" s="1503"/>
      <c r="K24" s="1512"/>
    </row>
    <row customHeight="1" ht="33.75">
      <c r="F25" s="1508" t="s">
        <v>2066</v>
      </c>
      <c r="G25" s="1515" t="s">
        <v>1315</v>
      </c>
      <c r="H25" s="1514">
        <f>SUM(I25:J25)</f>
        <v>0</v>
      </c>
      <c r="I25" s="1513"/>
      <c r="J25" s="1503"/>
      <c r="K25" s="1512"/>
    </row>
    <row customHeight="1" ht="33.75">
      <c r="F26" s="1508" t="s">
        <v>2067</v>
      </c>
      <c r="G26" s="1515" t="s">
        <v>1317</v>
      </c>
      <c r="H26" s="1514">
        <f>SUM(I26:J26)</f>
        <v>0</v>
      </c>
      <c r="I26" s="1513"/>
      <c r="J26" s="1503"/>
      <c r="K26" s="1512"/>
    </row>
    <row customHeight="1" ht="11.25">
      <c r="F27" s="1508" t="s">
        <v>2068</v>
      </c>
      <c r="G27" s="1515" t="s">
        <v>1233</v>
      </c>
      <c r="H27" s="1514">
        <f>SUM(I27:J27)</f>
        <v>0</v>
      </c>
      <c r="I27" s="1513"/>
      <c r="J27" s="1503"/>
      <c r="K27" s="1512"/>
    </row>
    <row customHeight="1" ht="11.25">
      <c r="F28" s="1508">
        <v>2</v>
      </c>
      <c r="G28" s="927" t="s">
        <v>2069</v>
      </c>
      <c r="H28" s="1514">
        <f>SUM(I28:J28)</f>
        <v>0</v>
      </c>
      <c r="I28" s="1514">
        <f>SUM(I29:I31)</f>
        <v>0</v>
      </c>
      <c r="J28" s="1503"/>
      <c r="K28" s="1512"/>
    </row>
    <row customHeight="1" ht="11.25">
      <c r="F29" s="1508" t="s">
        <v>570</v>
      </c>
      <c r="G29" s="1515" t="s">
        <v>2070</v>
      </c>
      <c r="H29" s="1514">
        <f>SUM(I29:J29)</f>
        <v>0</v>
      </c>
      <c r="I29" s="1513"/>
      <c r="J29" s="1503"/>
      <c r="K29" s="1512"/>
    </row>
    <row customHeight="1" ht="11.25">
      <c r="F30" s="1508" t="s">
        <v>369</v>
      </c>
      <c r="G30" s="1515" t="s">
        <v>1230</v>
      </c>
      <c r="H30" s="1514">
        <f>SUM(I30:J30)</f>
        <v>0</v>
      </c>
      <c r="I30" s="1513"/>
      <c r="J30" s="1503"/>
      <c r="K30" s="1512"/>
    </row>
    <row customHeight="1" ht="11.25">
      <c r="F31" s="1508" t="s">
        <v>372</v>
      </c>
      <c r="G31" s="1515" t="s">
        <v>1273</v>
      </c>
      <c r="H31" s="1514">
        <f>SUM(I31:J31)</f>
        <v>0</v>
      </c>
      <c r="I31" s="1513"/>
      <c r="J31" s="1503"/>
      <c r="K31" s="1512"/>
    </row>
    <row customHeight="1" ht="11.25">
      <c r="F32" s="1508">
        <v>3</v>
      </c>
      <c r="G32" s="927" t="s">
        <v>2071</v>
      </c>
      <c r="H32" s="1514">
        <f>SUM(I32:J32)</f>
        <v>0</v>
      </c>
      <c r="I32" s="1514">
        <f>SUM(I33:I34)</f>
        <v>0</v>
      </c>
      <c r="J32" s="1503"/>
      <c r="K32" s="1512"/>
    </row>
    <row customHeight="1" ht="33.75">
      <c r="F33" s="1508" t="s">
        <v>388</v>
      </c>
      <c r="G33" s="1515" t="s">
        <v>2072</v>
      </c>
      <c r="H33" s="1514">
        <f>SUM(I33:J33)</f>
        <v>0</v>
      </c>
      <c r="I33" s="1513"/>
      <c r="J33" s="1503"/>
      <c r="K33" s="1512"/>
    </row>
    <row customHeight="1" ht="11.25">
      <c r="F34" s="1508" t="s">
        <v>396</v>
      </c>
      <c r="G34" s="1515" t="s">
        <v>2073</v>
      </c>
      <c r="H34" s="1514">
        <f>SUM(I34:J34)</f>
        <v>0</v>
      </c>
      <c r="I34" s="1513"/>
      <c r="J34" s="1503"/>
      <c r="K34" s="1512"/>
    </row>
    <row customHeight="1" ht="11.25">
      <c r="F35" s="1508">
        <v>4</v>
      </c>
      <c r="G35" s="927" t="s">
        <v>2074</v>
      </c>
      <c r="H35" s="1514">
        <f>SUM(I35:J35)</f>
        <v>0</v>
      </c>
      <c r="I35" s="1513"/>
      <c r="J35" s="1503"/>
      <c r="K35" s="1512"/>
    </row>
    <row customHeight="1" ht="11.25">
      <c r="F36" s="1508"/>
      <c r="G36" s="930" t="s">
        <v>2075</v>
      </c>
      <c r="H36" s="1514">
        <f>SUM(I36:J36)</f>
        <v>0</v>
      </c>
      <c r="I36" s="1514">
        <f>SUM(I15,I28,I32,I35)</f>
        <v>0</v>
      </c>
      <c r="J36" s="1503"/>
      <c r="K36" s="1512"/>
    </row>
    <row customHeight="1" ht="27.75">
      <c r="F37" s="1509" t="s">
        <v>1405</v>
      </c>
      <c r="G37" s="2646" t="s">
        <v>2076</v>
      </c>
      <c r="H37" s="2646"/>
      <c r="I37" s="2646"/>
      <c r="J37" s="2646"/>
      <c r="K37" s="1512"/>
    </row>
    <row customHeight="1" ht="22.5">
      <c r="F38" s="1508" t="s">
        <v>109</v>
      </c>
      <c r="G38" s="927" t="s">
        <v>2077</v>
      </c>
      <c r="H38" s="1514">
        <f>SUM(I38:J38)</f>
        <v>0</v>
      </c>
      <c r="I38" s="1514">
        <f>SUM(I39,I44,I47)</f>
        <v>0</v>
      </c>
      <c r="J38" s="1503"/>
      <c r="K38" s="1512"/>
    </row>
    <row customHeight="1" ht="11.25">
      <c r="F39" s="1508" t="s">
        <v>685</v>
      </c>
      <c r="G39" s="1515" t="s">
        <v>2059</v>
      </c>
      <c r="H39" s="1514">
        <f>SUM(I39:J39)</f>
        <v>0</v>
      </c>
      <c r="I39" s="1514">
        <f>SUM(I40:I43)</f>
        <v>0</v>
      </c>
      <c r="J39" s="1503"/>
      <c r="K39" s="1512"/>
    </row>
    <row customHeight="1" ht="22.5">
      <c r="F40" s="1508" t="s">
        <v>1501</v>
      </c>
      <c r="G40" s="1516" t="s">
        <v>2078</v>
      </c>
      <c r="H40" s="1514">
        <f>SUM(I40:J40)</f>
        <v>0</v>
      </c>
      <c r="I40" s="1513"/>
      <c r="J40" s="1503"/>
      <c r="K40" s="1512"/>
    </row>
    <row customHeight="1" ht="11.25">
      <c r="F41" s="1508" t="s">
        <v>2079</v>
      </c>
      <c r="G41" s="1516" t="s">
        <v>1223</v>
      </c>
      <c r="H41" s="1514">
        <f>SUM(I41:J41)</f>
        <v>0</v>
      </c>
      <c r="I41" s="1513"/>
      <c r="J41" s="1503"/>
      <c r="K41" s="1512"/>
    </row>
    <row customHeight="1" ht="11.25">
      <c r="F42" s="1508" t="s">
        <v>2080</v>
      </c>
      <c r="G42" s="1516" t="s">
        <v>2081</v>
      </c>
      <c r="H42" s="1514">
        <f>SUM(I42:J42)</f>
        <v>0</v>
      </c>
      <c r="I42" s="1513"/>
      <c r="J42" s="1503"/>
      <c r="K42" s="1512"/>
    </row>
    <row customHeight="1" ht="33.75">
      <c r="F43" s="1508" t="s">
        <v>2082</v>
      </c>
      <c r="G43" s="1516" t="s">
        <v>2083</v>
      </c>
      <c r="H43" s="1514">
        <f>SUM(I43:J43)</f>
        <v>0</v>
      </c>
      <c r="I43" s="1513"/>
      <c r="J43" s="1503"/>
      <c r="K43" s="1512"/>
    </row>
    <row customHeight="1" ht="11.25">
      <c r="F44" s="1508" t="s">
        <v>691</v>
      </c>
      <c r="G44" s="1515" t="s">
        <v>2071</v>
      </c>
      <c r="H44" s="1514">
        <f>SUM(I44:J44)</f>
        <v>0</v>
      </c>
      <c r="I44" s="1514">
        <f>SUM(I45:I46)</f>
        <v>0</v>
      </c>
      <c r="J44" s="1503"/>
      <c r="K44" s="1512"/>
    </row>
    <row customHeight="1" ht="45">
      <c r="F45" s="1508" t="s">
        <v>1503</v>
      </c>
      <c r="G45" s="1516" t="s">
        <v>2072</v>
      </c>
      <c r="H45" s="1514">
        <f>SUM(I45:J45)</f>
        <v>0</v>
      </c>
      <c r="I45" s="1513"/>
      <c r="J45" s="1503"/>
      <c r="K45" s="1512"/>
    </row>
    <row customHeight="1" ht="11.25">
      <c r="F46" s="1508" t="s">
        <v>2084</v>
      </c>
      <c r="G46" s="1516" t="s">
        <v>2073</v>
      </c>
      <c r="H46" s="1514">
        <f>SUM(I46:J46)</f>
        <v>0</v>
      </c>
      <c r="I46" s="1513"/>
      <c r="J46" s="1503"/>
      <c r="K46" s="1512"/>
    </row>
    <row customHeight="1" ht="11.25">
      <c r="F47" s="1508" t="s">
        <v>1505</v>
      </c>
      <c r="G47" s="1515" t="s">
        <v>2085</v>
      </c>
      <c r="H47" s="1514">
        <f>SUM(I47:J47)</f>
        <v>0</v>
      </c>
      <c r="I47" s="1513"/>
      <c r="J47" s="1503"/>
      <c r="K47" s="1512"/>
    </row>
    <row customHeight="1" ht="22.5">
      <c r="F48" s="1508" t="s">
        <v>110</v>
      </c>
      <c r="G48" s="927" t="s">
        <v>2086</v>
      </c>
      <c r="H48" s="1514">
        <f>SUM(I48:J48)</f>
        <v>0</v>
      </c>
      <c r="I48" s="1514">
        <f>SUM(I49,I54,I57)</f>
        <v>0</v>
      </c>
      <c r="J48" s="1503"/>
      <c r="K48" s="1512"/>
    </row>
    <row customHeight="1" ht="11.25">
      <c r="F49" s="1508" t="s">
        <v>570</v>
      </c>
      <c r="G49" s="1515" t="s">
        <v>2059</v>
      </c>
      <c r="H49" s="1514">
        <f>SUM(I49:J49)</f>
        <v>0</v>
      </c>
      <c r="I49" s="1514">
        <f>SUM(I50:I53)</f>
        <v>0</v>
      </c>
      <c r="J49" s="1503"/>
      <c r="K49" s="1512"/>
    </row>
    <row customHeight="1" ht="22.5">
      <c r="F50" s="1508" t="s">
        <v>1513</v>
      </c>
      <c r="G50" s="1516" t="s">
        <v>2078</v>
      </c>
      <c r="H50" s="1514">
        <f>SUM(I50:J50)</f>
        <v>0</v>
      </c>
      <c r="I50" s="1513"/>
      <c r="J50" s="1503"/>
      <c r="K50" s="1512"/>
    </row>
    <row customHeight="1" ht="11.25">
      <c r="F51" s="1508" t="s">
        <v>1843</v>
      </c>
      <c r="G51" s="1516" t="s">
        <v>1223</v>
      </c>
      <c r="H51" s="1514">
        <f>SUM(I51:J51)</f>
        <v>0</v>
      </c>
      <c r="I51" s="1513"/>
      <c r="J51" s="1503"/>
      <c r="K51" s="1512"/>
    </row>
    <row customHeight="1" ht="11.25">
      <c r="F52" s="1508" t="s">
        <v>2087</v>
      </c>
      <c r="G52" s="1516" t="s">
        <v>2081</v>
      </c>
      <c r="H52" s="1514">
        <f>SUM(I52:J52)</f>
        <v>0</v>
      </c>
      <c r="I52" s="1513"/>
      <c r="J52" s="1503"/>
      <c r="K52" s="1512"/>
    </row>
    <row customHeight="1" ht="33.75">
      <c r="F53" s="1508" t="s">
        <v>2088</v>
      </c>
      <c r="G53" s="1516" t="s">
        <v>2083</v>
      </c>
      <c r="H53" s="1514">
        <f>SUM(I53:J53)</f>
        <v>0</v>
      </c>
      <c r="I53" s="1513"/>
      <c r="J53" s="1503"/>
      <c r="K53" s="1512"/>
    </row>
    <row customHeight="1" ht="11.25">
      <c r="F54" s="1508" t="s">
        <v>369</v>
      </c>
      <c r="G54" s="1515" t="s">
        <v>2071</v>
      </c>
      <c r="H54" s="1514">
        <f>SUM(I54:J54)</f>
        <v>0</v>
      </c>
      <c r="I54" s="1514">
        <f>SUM(I55:I56)</f>
        <v>0</v>
      </c>
      <c r="J54" s="1503"/>
      <c r="K54" s="1512"/>
    </row>
    <row customHeight="1" ht="45">
      <c r="F55" s="1508" t="s">
        <v>585</v>
      </c>
      <c r="G55" s="1516" t="s">
        <v>2072</v>
      </c>
      <c r="H55" s="1514">
        <f>SUM(I55:J55)</f>
        <v>0</v>
      </c>
      <c r="I55" s="1513"/>
      <c r="J55" s="1503"/>
      <c r="K55" s="1512"/>
    </row>
    <row customHeight="1" ht="11.25">
      <c r="F56" s="1508" t="s">
        <v>590</v>
      </c>
      <c r="G56" s="1516" t="s">
        <v>2073</v>
      </c>
      <c r="H56" s="1514">
        <f>SUM(I56:J56)</f>
        <v>0</v>
      </c>
      <c r="I56" s="1513"/>
      <c r="J56" s="1503"/>
      <c r="K56" s="1512"/>
    </row>
    <row customHeight="1" ht="11.25">
      <c r="F57" s="1508" t="s">
        <v>372</v>
      </c>
      <c r="G57" s="1515" t="s">
        <v>2085</v>
      </c>
      <c r="H57" s="1514">
        <f>SUM(I57:J57)</f>
        <v>0</v>
      </c>
      <c r="I57" s="1513"/>
      <c r="J57" s="1503"/>
      <c r="K57" s="1512"/>
    </row>
    <row customHeight="1" ht="11.25">
      <c r="F58" s="1508"/>
      <c r="G58" s="1517" t="s">
        <v>2075</v>
      </c>
      <c r="H58" s="1514">
        <f>SUM(I58:J58)</f>
        <v>0</v>
      </c>
      <c r="I58" s="1514">
        <f>SUM(I38,I48)</f>
        <v>0</v>
      </c>
      <c r="J58" s="1503"/>
      <c r="K58" s="1512"/>
    </row>
  </sheetData>
  <sheetProtection formatColumns="0" formatRows="0" autoFilter="0" sort="0" insertRows="0" insertColumns="1" deleteRows="0" deleteColumns="0"/>
  <mergeCells count="9">
    <mergeCell ref="F5:J5"/>
    <mergeCell ref="F6:J6"/>
    <mergeCell ref="F9:J9"/>
    <mergeCell ref="G14:J14"/>
    <mergeCell ref="G37:J37"/>
    <mergeCell ref="F10:F12"/>
    <mergeCell ref="H10:J10"/>
    <mergeCell ref="H11:J11"/>
    <mergeCell ref="G10:G12"/>
  </mergeCells>
  <dataValidations count="1">
    <dataValidation type="decimal" allowBlank="1" showErrorMessage="1" errorTitle="Ошибка" error="Допускается ввод только неотрицательных чисел!" sqref="I29:I31 I33:I35 I40:I43 I45:I47 I50:I53 I55:I57 I16:I27">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4F0F678-0099-4021-D6F9-E03666B40AB4}" mc:Ignorable="x14ac xr xr2 xr3">
  <sheetPr>
    <tabColor theme="9" tint="-0.25"/>
  </sheetPr>
  <dimension ref="A1:GB24"/>
  <sheetViews>
    <sheetView topLeftCell="E4" showGridLines="0" zoomScale="90" workbookViewId="0">
      <selection activeCell="A1" sqref="A1"/>
    </sheetView>
  </sheetViews>
  <sheetFormatPr defaultColWidth="9.140625" customHeight="1" defaultRowHeight="12"/>
  <cols>
    <col min="1" max="1" style="11228" width="4.7109375" hidden="1" customWidth="1"/>
    <col min="2" max="2" style="11229" width="4.7109375" hidden="1" customWidth="1"/>
    <col min="3" max="4" style="11228" width="4.7109375" hidden="1" customWidth="1"/>
    <col min="5" max="5" style="11228" width="3.57421875" customWidth="1"/>
    <col min="6" max="6" style="11228" width="6.7109375" customWidth="1"/>
    <col min="7" max="7" style="11228" width="18.7109375" customWidth="1"/>
    <col min="8" max="8" style="11228" width="27.28125" customWidth="1"/>
    <col min="9" max="9" style="11228" width="18.7109375" customWidth="1"/>
    <col min="10" max="14" style="11228" width="0.8515625" hidden="1" customWidth="1"/>
    <col min="15" max="28" style="11228" width="21.7109375" customWidth="1"/>
    <col min="29" max="71" style="11228" width="0.8515625" customWidth="1"/>
    <col min="72" max="79" style="11228" width="21.7109375" hidden="1" customWidth="1"/>
    <col min="80" max="81" style="11228" width="29.140625" hidden="1" customWidth="1"/>
    <col min="82" max="89" style="11228" width="21.7109375" hidden="1" customWidth="1"/>
    <col min="90" max="102" style="11228" width="0.7109375" hidden="1" customWidth="1"/>
    <col min="103" max="114" style="11228" width="21.7109375" hidden="1" customWidth="1"/>
    <col min="115" max="178" style="11228" width="0.7109375" hidden="1" customWidth="1"/>
    <col min="179" max="179" style="11228" width="0.140625" customWidth="1"/>
    <col min="180" max="184" style="11228" width="9.140625"/>
  </cols>
  <sheetData>
    <row s="11213" customFormat="1" customHeight="1" ht="12" hidden="1">
      <c r="B1" s="1178"/>
      <c r="C1" s="1179"/>
      <c r="D1" s="1179"/>
    </row>
    <row s="11213" customFormat="1" customHeight="1" ht="12" hidden="1">
      <c r="B2" s="1178"/>
      <c r="C2" s="1179"/>
      <c r="D2" s="1179"/>
      <c r="E2" s="1179"/>
      <c r="F2" s="1179"/>
      <c r="G2" s="1179"/>
      <c r="H2" s="1179"/>
      <c r="I2" s="1179"/>
      <c r="J2" s="1179"/>
      <c r="K2" s="1179"/>
      <c r="L2" s="1179"/>
      <c r="M2" s="1179"/>
      <c r="N2" s="1179"/>
      <c r="O2" s="1179"/>
      <c r="P2" s="1179"/>
      <c r="Q2" s="1179"/>
      <c r="R2" s="1179"/>
      <c r="S2" s="1179"/>
      <c r="T2" s="1179"/>
      <c r="U2" s="1179"/>
      <c r="V2" s="1179"/>
      <c r="W2" s="1179"/>
      <c r="X2" s="1179"/>
      <c r="Y2" s="1179"/>
      <c r="Z2" s="1179"/>
      <c r="AA2" s="1179"/>
      <c r="AB2" s="1180"/>
      <c r="AC2" s="1179"/>
      <c r="AD2" s="1179"/>
      <c r="AE2" s="1179"/>
      <c r="AF2" s="1179"/>
      <c r="AG2" s="1179"/>
      <c r="AH2" s="1179"/>
      <c r="AI2" s="1179"/>
      <c r="AJ2" s="1179"/>
      <c r="AK2" s="1179"/>
      <c r="AL2" s="1179"/>
      <c r="AM2" s="1179"/>
      <c r="AN2" s="1179"/>
      <c r="AO2" s="1179"/>
      <c r="AP2" s="1179"/>
      <c r="AQ2" s="1179"/>
      <c r="AR2" s="1179"/>
      <c r="AS2" s="1179"/>
      <c r="AT2" s="1179"/>
      <c r="AU2" s="1179"/>
      <c r="AV2" s="1179"/>
      <c r="AW2" s="1179"/>
      <c r="AX2" s="1179"/>
      <c r="AY2" s="1179"/>
      <c r="AZ2" s="1179"/>
      <c r="BA2" s="1179"/>
      <c r="BB2" s="1179"/>
      <c r="BC2" s="1179"/>
      <c r="BD2" s="1179"/>
      <c r="BE2" s="1179"/>
      <c r="BF2" s="1179"/>
      <c r="BG2" s="1179"/>
      <c r="BH2" s="1179"/>
      <c r="BI2" s="1179"/>
      <c r="BJ2" s="1179"/>
      <c r="BK2" s="1179"/>
      <c r="BL2" s="1179"/>
      <c r="BM2" s="1179"/>
      <c r="BN2" s="1179"/>
      <c r="BO2" s="1179"/>
      <c r="BP2" s="1179"/>
      <c r="BQ2" s="1179"/>
      <c r="BR2" s="1179"/>
      <c r="BS2" s="1179"/>
      <c r="BT2" s="1179"/>
      <c r="BU2" s="1179"/>
      <c r="BV2" s="1179"/>
      <c r="BW2" s="1179"/>
      <c r="BX2" s="1179"/>
      <c r="BY2" s="1179"/>
      <c r="BZ2" s="1179"/>
      <c r="CA2" s="1179"/>
      <c r="CB2" s="1179"/>
      <c r="CC2" s="1179"/>
      <c r="CD2" s="1179"/>
      <c r="CE2" s="1179"/>
      <c r="CF2" s="1179"/>
      <c r="CG2" s="1179"/>
      <c r="CH2" s="1179"/>
      <c r="CI2" s="1179"/>
      <c r="CJ2" s="1179"/>
      <c r="CK2" s="1179"/>
      <c r="CL2" s="1179"/>
      <c r="CM2" s="1179"/>
      <c r="CN2" s="1179"/>
      <c r="CO2" s="1179"/>
      <c r="CP2" s="1179"/>
      <c r="CQ2" s="1179"/>
      <c r="CR2" s="1179"/>
      <c r="CS2" s="1179"/>
      <c r="CT2" s="1179"/>
      <c r="CU2" s="1179"/>
      <c r="CV2" s="1179"/>
      <c r="CW2" s="1179"/>
      <c r="CX2" s="1179"/>
      <c r="CY2" s="1179"/>
      <c r="CZ2" s="1179"/>
      <c r="DA2" s="1179"/>
      <c r="DB2" s="1179"/>
      <c r="DC2" s="1179"/>
      <c r="DD2" s="1179"/>
      <c r="DE2" s="1179"/>
      <c r="DF2" s="1179"/>
      <c r="DG2" s="1179"/>
      <c r="DH2" s="1179"/>
      <c r="DI2" s="1179"/>
      <c r="DJ2" s="1179"/>
      <c r="DK2" s="1179"/>
      <c r="DL2" s="1179"/>
      <c r="DM2" s="1179"/>
      <c r="DN2" s="1179"/>
      <c r="DO2" s="1179"/>
      <c r="DP2" s="1179"/>
      <c r="DQ2" s="1179"/>
      <c r="DR2" s="1179"/>
      <c r="DS2" s="1179"/>
      <c r="DT2" s="1179"/>
      <c r="DU2" s="1179"/>
      <c r="DV2" s="1179"/>
      <c r="DW2" s="1179"/>
      <c r="DX2" s="1179"/>
      <c r="DY2" s="1179"/>
      <c r="DZ2" s="1179"/>
      <c r="EA2" s="1179"/>
      <c r="EB2" s="1179"/>
      <c r="EC2" s="1179"/>
      <c r="ED2" s="1179"/>
      <c r="EE2" s="1179"/>
      <c r="EF2" s="1179"/>
      <c r="EG2" s="1179"/>
      <c r="EH2" s="1179"/>
      <c r="EI2" s="1179"/>
      <c r="EJ2" s="1179"/>
      <c r="EK2" s="1179"/>
      <c r="EL2" s="1179"/>
      <c r="EM2" s="1179"/>
      <c r="EN2" s="1179"/>
      <c r="EO2" s="1179"/>
      <c r="EP2" s="1179"/>
      <c r="EQ2" s="1179"/>
      <c r="ER2" s="1179"/>
      <c r="ES2" s="1179"/>
      <c r="ET2" s="1179"/>
      <c r="EU2" s="1179"/>
      <c r="EV2" s="1179"/>
      <c r="EW2" s="1179"/>
      <c r="EX2" s="1179"/>
      <c r="EY2" s="1179"/>
      <c r="EZ2" s="1179"/>
      <c r="FA2" s="1179"/>
      <c r="FB2" s="1179"/>
      <c r="FC2" s="1179"/>
      <c r="FD2" s="1179"/>
      <c r="FE2" s="1179"/>
      <c r="FF2" s="1179"/>
      <c r="FG2" s="1179"/>
      <c r="FH2" s="1179"/>
      <c r="FI2" s="1179"/>
      <c r="FJ2" s="1179"/>
      <c r="FK2" s="1179"/>
      <c r="FL2" s="1179"/>
      <c r="FM2" s="1179"/>
      <c r="FN2" s="1179"/>
      <c r="FO2" s="1179"/>
      <c r="FP2" s="1179"/>
      <c r="FQ2" s="1179"/>
      <c r="FR2" s="1179"/>
      <c r="FS2" s="1179"/>
      <c r="FT2" s="1179"/>
      <c r="FU2" s="1179"/>
      <c r="FV2" s="1179"/>
      <c r="FW2" s="1179"/>
    </row>
    <row s="11213" customFormat="1" customHeight="1" ht="12" hidden="1">
      <c r="B3" s="1178"/>
      <c r="C3" s="1179"/>
      <c r="D3" s="1179"/>
      <c r="E3" s="1179"/>
      <c r="F3" s="1179"/>
      <c r="G3" s="1179"/>
      <c r="H3" s="1179"/>
      <c r="I3" s="1179"/>
      <c r="J3" s="1179"/>
      <c r="K3" s="1179"/>
      <c r="L3" s="1179"/>
      <c r="M3" s="1179"/>
      <c r="N3" s="1179"/>
      <c r="O3" s="1179"/>
      <c r="P3" s="1179"/>
      <c r="Q3" s="1179"/>
      <c r="R3" s="1179"/>
      <c r="S3" s="1179"/>
      <c r="T3" s="1179"/>
      <c r="U3" s="1179"/>
      <c r="V3" s="1179"/>
      <c r="W3" s="1179"/>
      <c r="X3" s="1179"/>
      <c r="Y3" s="1179"/>
      <c r="Z3" s="1179"/>
      <c r="AA3" s="1179"/>
      <c r="AB3" s="1180"/>
      <c r="AC3" s="1179"/>
      <c r="AD3" s="1179"/>
      <c r="AE3" s="1179"/>
      <c r="AF3" s="1179"/>
      <c r="AG3" s="1179"/>
      <c r="AH3" s="1179"/>
      <c r="AI3" s="1179"/>
      <c r="AJ3" s="1179"/>
      <c r="AK3" s="1179"/>
      <c r="AL3" s="1179"/>
      <c r="AM3" s="1179"/>
      <c r="AN3" s="1179"/>
      <c r="AO3" s="1179"/>
      <c r="AP3" s="1179"/>
      <c r="AQ3" s="1179"/>
      <c r="AR3" s="1179"/>
      <c r="AS3" s="1179"/>
      <c r="AT3" s="1179"/>
      <c r="AU3" s="1179"/>
      <c r="AV3" s="1179"/>
      <c r="AW3" s="1179"/>
      <c r="AX3" s="1179"/>
      <c r="AY3" s="1179"/>
      <c r="AZ3" s="1179"/>
      <c r="BA3" s="1179"/>
      <c r="BB3" s="1179"/>
      <c r="BC3" s="1179"/>
      <c r="BD3" s="1179"/>
      <c r="BE3" s="1179"/>
      <c r="BF3" s="1179"/>
      <c r="BG3" s="1179"/>
      <c r="BH3" s="1179"/>
      <c r="BI3" s="1179"/>
      <c r="BJ3" s="1179"/>
      <c r="BK3" s="1179"/>
      <c r="BL3" s="1179"/>
      <c r="BM3" s="1179"/>
      <c r="BN3" s="1179"/>
      <c r="BO3" s="1179"/>
      <c r="BP3" s="1179"/>
      <c r="BQ3" s="1179"/>
      <c r="BR3" s="1179"/>
      <c r="BS3" s="1179"/>
      <c r="BT3" s="1179"/>
      <c r="BU3" s="1179"/>
      <c r="BV3" s="1179"/>
      <c r="BW3" s="1179"/>
      <c r="BX3" s="1179"/>
      <c r="BY3" s="1179"/>
      <c r="BZ3" s="1179"/>
      <c r="CA3" s="1179"/>
      <c r="CB3" s="1179"/>
      <c r="CC3" s="1179"/>
      <c r="CD3" s="1179"/>
      <c r="CE3" s="1179"/>
      <c r="CF3" s="1179"/>
      <c r="CG3" s="1179"/>
      <c r="CH3" s="1179"/>
      <c r="CI3" s="1179"/>
      <c r="CJ3" s="1179"/>
      <c r="CK3" s="1179"/>
      <c r="CL3" s="1179"/>
      <c r="CM3" s="1179"/>
      <c r="CN3" s="1179"/>
      <c r="CO3" s="1179"/>
      <c r="CP3" s="1179"/>
      <c r="CQ3" s="1179"/>
      <c r="CR3" s="1179"/>
      <c r="CS3" s="1179"/>
      <c r="CT3" s="1179"/>
      <c r="CU3" s="1179"/>
      <c r="CV3" s="1179"/>
      <c r="CW3" s="1179"/>
      <c r="CX3" s="1179"/>
      <c r="CY3" s="1179"/>
      <c r="CZ3" s="1179"/>
      <c r="DA3" s="1179"/>
      <c r="DB3" s="1179"/>
      <c r="DC3" s="1179"/>
      <c r="DD3" s="1179"/>
      <c r="DE3" s="1179"/>
      <c r="DF3" s="1179"/>
      <c r="DG3" s="1179"/>
      <c r="DH3" s="1179"/>
      <c r="DI3" s="1179"/>
      <c r="DJ3" s="1179"/>
      <c r="DK3" s="1179"/>
      <c r="DL3" s="1179"/>
      <c r="DM3" s="1179"/>
      <c r="DN3" s="1179"/>
      <c r="DO3" s="1179"/>
      <c r="DP3" s="1179"/>
      <c r="DQ3" s="1179"/>
      <c r="DR3" s="1179"/>
      <c r="DS3" s="1179"/>
      <c r="DT3" s="1179"/>
      <c r="DU3" s="1179"/>
      <c r="DV3" s="1179"/>
      <c r="DW3" s="1179"/>
      <c r="DX3" s="1179"/>
      <c r="DY3" s="1179"/>
      <c r="DZ3" s="1179"/>
      <c r="EA3" s="1179"/>
      <c r="EB3" s="1179"/>
      <c r="EC3" s="1179"/>
      <c r="ED3" s="1179"/>
      <c r="EE3" s="1179"/>
      <c r="EF3" s="1179"/>
      <c r="EG3" s="1179"/>
      <c r="EH3" s="1179"/>
      <c r="EI3" s="1179"/>
      <c r="EJ3" s="1179"/>
      <c r="EK3" s="1179"/>
      <c r="EL3" s="1179"/>
      <c r="EM3" s="1179"/>
      <c r="EN3" s="1179"/>
      <c r="EO3" s="1179"/>
      <c r="EP3" s="1179"/>
      <c r="EQ3" s="1179"/>
      <c r="ER3" s="1179"/>
      <c r="ES3" s="1179"/>
      <c r="ET3" s="1179"/>
      <c r="EU3" s="1179"/>
      <c r="EV3" s="1179"/>
      <c r="EW3" s="1179"/>
      <c r="EX3" s="1179"/>
      <c r="EY3" s="1179"/>
      <c r="EZ3" s="1179"/>
      <c r="FA3" s="1179"/>
      <c r="FB3" s="1179"/>
      <c r="FC3" s="1179"/>
      <c r="FD3" s="1179"/>
      <c r="FE3" s="1179"/>
      <c r="FF3" s="1179"/>
      <c r="FG3" s="1179"/>
      <c r="FH3" s="1179"/>
      <c r="FI3" s="1179"/>
      <c r="FJ3" s="1179"/>
      <c r="FK3" s="1179"/>
      <c r="FL3" s="1179"/>
      <c r="FM3" s="1179"/>
      <c r="FN3" s="1179"/>
      <c r="FO3" s="1179"/>
      <c r="FP3" s="1179"/>
      <c r="FQ3" s="1179"/>
      <c r="FR3" s="1179"/>
      <c r="FS3" s="1179"/>
      <c r="FT3" s="1179"/>
      <c r="FU3" s="1179"/>
      <c r="FV3" s="1179"/>
      <c r="FW3" s="1179"/>
    </row>
    <row customHeight="1" ht="10.5">
      <c r="B4" s="1182"/>
      <c r="C4" s="1183"/>
      <c r="D4" s="1183"/>
      <c r="E4" s="1183"/>
      <c r="F4" s="1183"/>
      <c r="G4" s="1183"/>
      <c r="H4" s="1184"/>
      <c r="I4" s="1184"/>
      <c r="J4" s="1184"/>
      <c r="K4" s="1184"/>
      <c r="L4" s="1184"/>
      <c r="M4" s="1185"/>
      <c r="N4" s="1185"/>
      <c r="O4" s="1185"/>
      <c r="P4" s="1185"/>
      <c r="Q4" s="1185"/>
      <c r="R4" s="1185"/>
      <c r="S4" s="1185"/>
      <c r="T4" s="1185"/>
      <c r="U4" s="1185"/>
      <c r="V4" s="1185"/>
      <c r="W4" s="1185"/>
      <c r="X4" s="1185"/>
      <c r="Y4" s="1185"/>
      <c r="Z4" s="1185"/>
      <c r="AA4" s="1185"/>
      <c r="AB4" s="1185"/>
      <c r="AC4" s="1185"/>
      <c r="AD4" s="1185"/>
      <c r="AE4" s="1185"/>
      <c r="AF4" s="1185"/>
      <c r="AG4" s="1185"/>
      <c r="AH4" s="1185"/>
      <c r="AI4" s="1185"/>
      <c r="AJ4" s="1185"/>
      <c r="AK4" s="1185"/>
      <c r="AL4" s="1185"/>
      <c r="AM4" s="1185"/>
      <c r="AN4" s="1185"/>
      <c r="AO4" s="1185"/>
      <c r="AP4" s="1185"/>
      <c r="AQ4" s="1185"/>
      <c r="AR4" s="1185"/>
      <c r="AS4" s="1185"/>
      <c r="AT4" s="1185"/>
      <c r="AU4" s="1185"/>
      <c r="AV4" s="1185"/>
      <c r="AW4" s="1185"/>
      <c r="AX4" s="1185"/>
      <c r="AY4" s="1185"/>
      <c r="AZ4" s="1185"/>
      <c r="BA4" s="1185"/>
      <c r="BB4" s="1185"/>
      <c r="BC4" s="1185"/>
      <c r="BD4" s="1185"/>
      <c r="BE4" s="1185"/>
      <c r="BF4" s="1185"/>
      <c r="BG4" s="1185"/>
      <c r="BH4" s="1185"/>
      <c r="BI4" s="1185"/>
      <c r="BJ4" s="1185"/>
      <c r="BK4" s="1185"/>
      <c r="BL4" s="1185"/>
      <c r="BM4" s="1185"/>
      <c r="BN4" s="1185"/>
      <c r="BO4" s="1185"/>
      <c r="BP4" s="1185"/>
      <c r="BQ4" s="1185"/>
      <c r="BR4" s="1185"/>
      <c r="BS4" s="1185"/>
      <c r="BT4" s="1185"/>
      <c r="BU4" s="1185"/>
      <c r="BV4" s="1185"/>
      <c r="BW4" s="1185"/>
      <c r="BX4" s="1185"/>
      <c r="BY4" s="1185"/>
      <c r="BZ4" s="1185"/>
      <c r="CA4" s="1185"/>
      <c r="CB4" s="1185"/>
      <c r="CC4" s="1185"/>
      <c r="CD4" s="1185"/>
      <c r="CE4" s="1185"/>
      <c r="CF4" s="1185"/>
      <c r="CG4" s="1185"/>
      <c r="CH4" s="1185"/>
      <c r="CI4" s="1185"/>
      <c r="CJ4" s="1185"/>
      <c r="CK4" s="1185"/>
      <c r="CL4" s="1185"/>
      <c r="CM4" s="1185"/>
      <c r="CN4" s="1185"/>
      <c r="CO4" s="1185"/>
      <c r="CP4" s="1185"/>
      <c r="CQ4" s="1185"/>
      <c r="CR4" s="1185"/>
      <c r="CS4" s="1185"/>
      <c r="CT4" s="1185"/>
      <c r="CU4" s="1185"/>
      <c r="CV4" s="1185"/>
      <c r="CW4" s="1185"/>
      <c r="CX4" s="1185"/>
      <c r="CY4" s="1185"/>
      <c r="CZ4" s="1185"/>
      <c r="DA4" s="1185"/>
      <c r="DB4" s="1185"/>
      <c r="DC4" s="1185"/>
      <c r="DD4" s="1185"/>
      <c r="DE4" s="1185"/>
      <c r="DF4" s="1185"/>
      <c r="DG4" s="1185"/>
      <c r="DH4" s="1185"/>
      <c r="DI4" s="1185"/>
      <c r="DJ4" s="1185"/>
      <c r="DK4" s="1185"/>
      <c r="DL4" s="1185"/>
      <c r="DM4" s="1185"/>
      <c r="DN4" s="1185"/>
      <c r="DO4" s="1185"/>
      <c r="DP4" s="1185"/>
      <c r="DQ4" s="1185"/>
      <c r="DR4" s="1185"/>
      <c r="DS4" s="1185"/>
      <c r="DT4" s="1185"/>
      <c r="DU4" s="1185"/>
      <c r="DV4" s="1185"/>
      <c r="DW4" s="1185"/>
      <c r="DX4" s="1185"/>
      <c r="DY4" s="1185"/>
      <c r="DZ4" s="1185"/>
      <c r="EA4" s="1185"/>
      <c r="EB4" s="1185"/>
      <c r="EC4" s="1185"/>
      <c r="ED4" s="1185"/>
      <c r="EE4" s="1185"/>
      <c r="EF4" s="1185"/>
      <c r="EG4" s="1185"/>
      <c r="EH4" s="1185"/>
      <c r="EI4" s="1185"/>
      <c r="EJ4" s="1185"/>
      <c r="EK4" s="1185"/>
      <c r="EL4" s="1185"/>
      <c r="EM4" s="1185"/>
      <c r="EN4" s="1185"/>
      <c r="EO4" s="1185"/>
      <c r="EP4" s="1185"/>
      <c r="EQ4" s="1185"/>
      <c r="ER4" s="1185"/>
      <c r="ES4" s="1185"/>
      <c r="ET4" s="1185"/>
      <c r="EU4" s="1185"/>
      <c r="EV4" s="1185"/>
      <c r="EW4" s="1185"/>
      <c r="EX4" s="1185"/>
      <c r="EY4" s="1185"/>
      <c r="EZ4" s="1185"/>
      <c r="FA4" s="1185"/>
      <c r="FB4" s="1185"/>
      <c r="FC4" s="1185"/>
      <c r="FD4" s="1185"/>
      <c r="FE4" s="1185"/>
      <c r="FF4" s="1185"/>
      <c r="FG4" s="1185"/>
      <c r="FH4" s="1185"/>
      <c r="FI4" s="1185"/>
      <c r="FJ4" s="1185"/>
      <c r="FK4" s="1185"/>
      <c r="FL4" s="1185"/>
      <c r="FM4" s="1185"/>
      <c r="FN4" s="1185"/>
      <c r="FO4" s="1185"/>
      <c r="FP4" s="1185"/>
      <c r="FQ4" s="1185"/>
      <c r="FR4" s="1185"/>
      <c r="FS4" s="1185"/>
      <c r="FT4" s="1185"/>
      <c r="FU4" s="1185"/>
      <c r="FV4" s="1185"/>
      <c r="FW4" s="1185"/>
    </row>
    <row s="11173" customFormat="1" customHeight="1" ht="24">
      <c r="B5" s="1199"/>
      <c r="E5" s="1201"/>
      <c r="F5" s="2656" t="str">
        <f>"Информация о реализации инвестиционных программ и показатели качества, надежности и энергетической эффективности в сфере "&amp;TEMPLATE_SPHERE_RUS&amp;" на "&amp;TITLE_FIL_YEAR&amp;" год"</f>
        <v>Информация о реализации инвестиционных программ и показатели качества, надежности и энергетической эффективности в сфере теплоснабжения на 2023 год</v>
      </c>
      <c r="G5" s="2657"/>
      <c r="H5" s="2657"/>
      <c r="I5" s="2657"/>
      <c r="J5" s="2657"/>
      <c r="K5" s="2657"/>
      <c r="L5" s="2657"/>
      <c r="M5" s="2657"/>
      <c r="N5" s="2657"/>
      <c r="O5" s="2657"/>
      <c r="P5" s="2657"/>
      <c r="Q5" s="2657"/>
      <c r="R5" s="2657"/>
      <c r="S5" s="2657"/>
      <c r="T5" s="2657"/>
      <c r="U5" s="2657"/>
      <c r="V5" s="2657"/>
      <c r="W5" s="2657"/>
      <c r="X5" s="2657"/>
      <c r="Y5" s="2657"/>
      <c r="Z5" s="2657"/>
      <c r="AA5" s="2657"/>
      <c r="AB5" s="2657"/>
      <c r="AC5" s="2657"/>
      <c r="AD5" s="2657"/>
      <c r="AE5" s="2657"/>
      <c r="AF5" s="2657"/>
      <c r="AG5" s="2657"/>
      <c r="AH5" s="2657"/>
      <c r="AI5" s="2657"/>
      <c r="AJ5" s="2657"/>
      <c r="AK5" s="2657"/>
      <c r="AL5" s="2657"/>
      <c r="AM5" s="2657"/>
      <c r="AN5" s="2657"/>
      <c r="AO5" s="2657"/>
      <c r="AP5" s="2657"/>
      <c r="AQ5" s="2657"/>
      <c r="AR5" s="2657"/>
      <c r="AS5" s="2657"/>
      <c r="AT5" s="2657"/>
      <c r="AU5" s="2657"/>
      <c r="AV5" s="2657"/>
      <c r="AW5" s="2657"/>
      <c r="AX5" s="2657"/>
      <c r="AY5" s="2657"/>
      <c r="AZ5" s="2657"/>
      <c r="BA5" s="2657"/>
      <c r="BB5" s="2657"/>
      <c r="BC5" s="2657"/>
      <c r="BD5" s="2657"/>
      <c r="BE5" s="2657"/>
      <c r="BF5" s="2657"/>
      <c r="BG5" s="2657"/>
      <c r="BH5" s="2657"/>
      <c r="BI5" s="2657"/>
      <c r="BJ5" s="2657"/>
      <c r="BK5" s="2657"/>
      <c r="BL5" s="2657"/>
      <c r="BM5" s="2657"/>
      <c r="BN5" s="2657"/>
      <c r="BO5" s="2657"/>
      <c r="BP5" s="2657"/>
      <c r="BQ5" s="2657"/>
      <c r="BR5" s="2657"/>
      <c r="BS5" s="2657"/>
    </row>
    <row s="11173" customFormat="1" customHeight="1" ht="18">
      <c r="B6" s="1199"/>
      <c r="E6" s="1201"/>
      <c r="F6" s="2658" t="str">
        <f>IF(org=0,"Не определено",org)</f>
        <v>ООО "СамРЭК-Тепло Жигулевск"</v>
      </c>
      <c r="G6" s="2659"/>
      <c r="H6" s="2659"/>
      <c r="I6" s="2659"/>
      <c r="J6" s="2659"/>
      <c r="K6" s="2659"/>
      <c r="L6" s="2659"/>
      <c r="M6" s="2659"/>
      <c r="N6" s="2659"/>
      <c r="O6" s="2659"/>
      <c r="P6" s="2659"/>
      <c r="Q6" s="2659"/>
      <c r="R6" s="2659"/>
      <c r="S6" s="2659"/>
      <c r="T6" s="2659"/>
      <c r="U6" s="2659"/>
      <c r="V6" s="2659"/>
      <c r="W6" s="2659"/>
      <c r="X6" s="2659"/>
      <c r="Y6" s="2659"/>
      <c r="Z6" s="2659"/>
      <c r="AA6" s="2659"/>
      <c r="AB6" s="2659"/>
      <c r="AC6" s="2659"/>
      <c r="AD6" s="2659"/>
      <c r="AE6" s="2659"/>
      <c r="AF6" s="2659"/>
      <c r="AG6" s="2659"/>
      <c r="AH6" s="2659"/>
      <c r="AI6" s="2659"/>
      <c r="AJ6" s="2659"/>
      <c r="AK6" s="2659"/>
      <c r="AL6" s="2659"/>
      <c r="AM6" s="2659"/>
      <c r="AN6" s="2659"/>
      <c r="AO6" s="2659"/>
      <c r="AP6" s="2659"/>
      <c r="AQ6" s="2659"/>
      <c r="AR6" s="2659"/>
      <c r="AS6" s="2659"/>
      <c r="AT6" s="2659"/>
      <c r="AU6" s="2659"/>
      <c r="AV6" s="2659"/>
      <c r="AW6" s="2659"/>
      <c r="AX6" s="2659"/>
      <c r="AY6" s="2659"/>
      <c r="AZ6" s="2659"/>
      <c r="BA6" s="2659"/>
      <c r="BB6" s="2659"/>
      <c r="BC6" s="2659"/>
      <c r="BD6" s="2659"/>
      <c r="BE6" s="2659"/>
      <c r="BF6" s="2659"/>
      <c r="BG6" s="2659"/>
      <c r="BH6" s="2659"/>
      <c r="BI6" s="2659"/>
      <c r="BJ6" s="2659"/>
      <c r="BK6" s="2659"/>
      <c r="BL6" s="2659"/>
      <c r="BM6" s="2659"/>
      <c r="BN6" s="2659"/>
      <c r="BO6" s="2659"/>
      <c r="BP6" s="2659"/>
      <c r="BQ6" s="2659"/>
      <c r="BR6" s="2659"/>
      <c r="BS6" s="2659"/>
    </row>
    <row s="11171" customFormat="1" customHeight="1" ht="10.5">
      <c r="B7" s="1187"/>
      <c r="E7" s="1188"/>
      <c r="F7" s="1188"/>
      <c r="G7" s="1190"/>
      <c r="H7" s="1184"/>
      <c r="I7" s="1184"/>
      <c r="J7" s="1184"/>
      <c r="K7" s="1184"/>
      <c r="L7" s="1184"/>
      <c r="M7" s="1188"/>
      <c r="N7" s="1188"/>
      <c r="O7" s="1188"/>
      <c r="P7" s="1188"/>
      <c r="Q7" s="1188"/>
      <c r="R7" s="1188"/>
      <c r="S7" s="1188"/>
      <c r="T7" s="1188"/>
      <c r="U7" s="1188"/>
      <c r="V7" s="1188"/>
      <c r="W7" s="1188"/>
      <c r="X7" s="1188"/>
      <c r="Y7" s="1188"/>
      <c r="Z7" s="1188"/>
      <c r="AA7" s="1188"/>
      <c r="AB7" s="1188"/>
      <c r="AC7" s="1188"/>
      <c r="AD7" s="1188"/>
      <c r="AE7" s="1188"/>
      <c r="AF7" s="1188"/>
      <c r="AG7" s="1188"/>
      <c r="AH7" s="1188"/>
      <c r="AI7" s="1188"/>
      <c r="AJ7" s="1188"/>
      <c r="AK7" s="1188"/>
      <c r="AL7" s="1188"/>
      <c r="AM7" s="1188"/>
      <c r="AN7" s="1188"/>
      <c r="AO7" s="1188"/>
      <c r="AP7" s="1188"/>
      <c r="AQ7" s="1188"/>
      <c r="AR7" s="1188"/>
      <c r="AS7" s="1188"/>
      <c r="AT7" s="1188"/>
      <c r="AU7" s="1188"/>
      <c r="AV7" s="1188"/>
      <c r="AW7" s="1188"/>
      <c r="AX7" s="1188"/>
      <c r="AY7" s="1188"/>
      <c r="AZ7" s="1188"/>
      <c r="BA7" s="1188"/>
      <c r="BB7" s="1188"/>
      <c r="BC7" s="1188"/>
      <c r="BD7" s="1188"/>
      <c r="BE7" s="1188"/>
      <c r="BF7" s="1188"/>
      <c r="BG7" s="1188"/>
      <c r="BH7" s="1188"/>
      <c r="BI7" s="1188"/>
      <c r="BJ7" s="1188"/>
      <c r="BK7" s="1188"/>
      <c r="BL7" s="1188"/>
      <c r="BM7" s="1188"/>
      <c r="BN7" s="1188"/>
      <c r="BO7" s="1188"/>
      <c r="BP7" s="1188"/>
      <c r="BQ7" s="1188"/>
      <c r="BR7" s="1188"/>
      <c r="BS7" s="1188"/>
      <c r="BT7" s="1188"/>
      <c r="BU7" s="1188"/>
      <c r="BV7" s="1188"/>
      <c r="BW7" s="1188"/>
      <c r="BX7" s="1188"/>
      <c r="BY7" s="1188"/>
      <c r="BZ7" s="1188"/>
      <c r="CA7" s="1188"/>
      <c r="CB7" s="1188"/>
      <c r="CC7" s="1188"/>
      <c r="CD7" s="1188"/>
      <c r="CE7" s="1188"/>
      <c r="CF7" s="1188"/>
      <c r="CG7" s="1188"/>
      <c r="CH7" s="1188"/>
      <c r="CI7" s="1188"/>
      <c r="CJ7" s="1188"/>
      <c r="CK7" s="1188"/>
      <c r="CL7" s="1188"/>
      <c r="CM7" s="1188"/>
      <c r="CN7" s="1188"/>
      <c r="CO7" s="1188"/>
      <c r="CP7" s="1188"/>
      <c r="CQ7" s="1188"/>
      <c r="CR7" s="1188"/>
      <c r="CS7" s="1188"/>
      <c r="CT7" s="1188"/>
      <c r="CU7" s="1188"/>
      <c r="CV7" s="1188"/>
      <c r="CW7" s="1188"/>
      <c r="CX7" s="1188"/>
      <c r="CY7" s="1188"/>
      <c r="CZ7" s="1188"/>
      <c r="DA7" s="1188"/>
      <c r="DB7" s="1188"/>
      <c r="DC7" s="1188"/>
      <c r="DD7" s="1188"/>
      <c r="DE7" s="1188"/>
      <c r="DF7" s="1188"/>
      <c r="DG7" s="1188"/>
      <c r="DH7" s="1188"/>
      <c r="DI7" s="1188"/>
      <c r="DJ7" s="1188"/>
      <c r="DK7" s="1188"/>
      <c r="DL7" s="1188"/>
      <c r="DM7" s="1188"/>
      <c r="DN7" s="1188"/>
      <c r="DO7" s="1188"/>
      <c r="DP7" s="1188"/>
      <c r="DQ7" s="1188"/>
      <c r="DR7" s="1188"/>
      <c r="DS7" s="1188"/>
      <c r="DT7" s="1188"/>
      <c r="DU7" s="1188"/>
      <c r="DV7" s="1188"/>
      <c r="DW7" s="1188"/>
      <c r="DX7" s="1188"/>
      <c r="DY7" s="1188"/>
      <c r="DZ7" s="1188"/>
      <c r="EA7" s="1188"/>
      <c r="EB7" s="1188"/>
      <c r="EC7" s="1188"/>
      <c r="ED7" s="1188"/>
      <c r="EE7" s="1188"/>
      <c r="EF7" s="1188"/>
      <c r="EG7" s="1188"/>
      <c r="EH7" s="1188"/>
      <c r="EI7" s="1188"/>
      <c r="EJ7" s="1188"/>
      <c r="EK7" s="1188"/>
      <c r="EL7" s="1188"/>
      <c r="EM7" s="1188"/>
      <c r="EN7" s="1188"/>
      <c r="EO7" s="1188"/>
      <c r="EP7" s="1188"/>
      <c r="EQ7" s="1188"/>
      <c r="ER7" s="1188"/>
      <c r="ES7" s="1188"/>
      <c r="ET7" s="1188"/>
      <c r="EU7" s="1188"/>
      <c r="EV7" s="1188"/>
      <c r="EW7" s="1188"/>
      <c r="EX7" s="1188"/>
      <c r="EY7" s="1188"/>
      <c r="EZ7" s="1188"/>
      <c r="FA7" s="1188"/>
      <c r="FB7" s="1188"/>
      <c r="FC7" s="1188"/>
      <c r="FD7" s="1188"/>
      <c r="FE7" s="1188"/>
      <c r="FF7" s="1188"/>
      <c r="FG7" s="1188"/>
      <c r="FH7" s="1188"/>
      <c r="FI7" s="1188"/>
      <c r="FJ7" s="1188"/>
      <c r="FK7" s="1188"/>
      <c r="FL7" s="1188"/>
      <c r="FM7" s="1188"/>
      <c r="FN7" s="1188"/>
      <c r="FO7" s="1188"/>
      <c r="FP7" s="1188"/>
      <c r="FQ7" s="1188"/>
      <c r="FR7" s="1188"/>
      <c r="FS7" s="1188"/>
      <c r="FT7" s="1188"/>
      <c r="FU7" s="1188"/>
      <c r="FV7" s="1188"/>
      <c r="FW7" s="1188"/>
    </row>
    <row s="11171" customFormat="1" customHeight="1" ht="11.25" hidden="1">
      <c r="B8" s="1189"/>
      <c r="F8" s="1316"/>
      <c r="G8" s="1002"/>
      <c r="H8" s="581"/>
      <c r="I8" s="581"/>
      <c r="J8" s="581"/>
      <c r="K8" s="581"/>
      <c r="L8" s="581"/>
      <c r="M8" s="1316"/>
      <c r="N8" s="1316"/>
      <c r="O8" s="2687" t="s">
        <v>2089</v>
      </c>
      <c r="P8" s="2688"/>
      <c r="Q8" s="2688"/>
      <c r="R8" s="2688"/>
      <c r="S8" s="2688"/>
      <c r="T8" s="2688"/>
      <c r="U8" s="2688"/>
      <c r="V8" s="2688"/>
      <c r="W8" s="2688"/>
      <c r="X8" s="2688"/>
      <c r="Y8" s="2688"/>
      <c r="Z8" s="2688"/>
      <c r="AA8" s="2688"/>
      <c r="AB8" s="2688"/>
      <c r="AC8" s="2688"/>
      <c r="AD8" s="2688"/>
      <c r="AE8" s="2688"/>
      <c r="AF8" s="2688"/>
      <c r="AG8" s="2688"/>
      <c r="AH8" s="2688"/>
      <c r="AI8" s="2688"/>
      <c r="AJ8" s="2688"/>
      <c r="AK8" s="2688"/>
      <c r="AL8" s="2688"/>
      <c r="AM8" s="2688"/>
      <c r="AN8" s="2688"/>
      <c r="AO8" s="2688"/>
      <c r="AP8" s="2688"/>
      <c r="AQ8" s="2688"/>
      <c r="AR8" s="2688"/>
      <c r="AS8" s="2688"/>
      <c r="AT8" s="2688"/>
      <c r="AU8" s="2688"/>
      <c r="AV8" s="2688"/>
      <c r="AW8" s="2688"/>
      <c r="AX8" s="2688"/>
      <c r="AY8" s="2688"/>
      <c r="AZ8" s="2688"/>
      <c r="BA8" s="2688"/>
      <c r="BB8" s="2688"/>
      <c r="BC8" s="2688"/>
      <c r="BD8" s="2688"/>
      <c r="BE8" s="2688"/>
      <c r="BF8" s="2688"/>
      <c r="BG8" s="2688"/>
      <c r="BH8" s="2688"/>
      <c r="BI8" s="2688"/>
      <c r="BJ8" s="2688"/>
      <c r="BK8" s="2688"/>
      <c r="BL8" s="2688"/>
      <c r="BM8" s="2688"/>
      <c r="BN8" s="2688"/>
      <c r="BO8" s="2688"/>
      <c r="BP8" s="2688"/>
      <c r="BQ8" s="2688"/>
      <c r="BR8" s="2688"/>
      <c r="BS8" s="2689"/>
      <c r="BT8" s="2676"/>
      <c r="BU8" s="2677"/>
      <c r="BV8" s="2677"/>
      <c r="BW8" s="2677"/>
      <c r="BX8" s="2677"/>
      <c r="BY8" s="2677"/>
      <c r="BZ8" s="2677"/>
      <c r="CA8" s="2677"/>
      <c r="CB8" s="2677"/>
      <c r="CC8" s="2677"/>
      <c r="CD8" s="2677"/>
      <c r="CE8" s="2677"/>
      <c r="CF8" s="2677"/>
      <c r="CG8" s="2677"/>
      <c r="CH8" s="2677"/>
      <c r="CI8" s="2677"/>
      <c r="CJ8" s="2677"/>
      <c r="CK8" s="2677"/>
      <c r="CL8" s="2677"/>
      <c r="CM8" s="2677"/>
      <c r="CN8" s="2677"/>
      <c r="CO8" s="2677"/>
      <c r="CP8" s="2677"/>
      <c r="CQ8" s="2677"/>
      <c r="CR8" s="2677"/>
      <c r="CS8" s="2677"/>
      <c r="CT8" s="2677"/>
      <c r="CU8" s="2677"/>
      <c r="CV8" s="2677"/>
      <c r="CW8" s="2677"/>
      <c r="CX8" s="2678"/>
      <c r="CY8" s="2679"/>
      <c r="CZ8" s="2680"/>
      <c r="DA8" s="2680"/>
      <c r="DB8" s="2680"/>
      <c r="DC8" s="2680"/>
      <c r="DD8" s="2680"/>
      <c r="DE8" s="2680"/>
      <c r="DF8" s="2680"/>
      <c r="DG8" s="2680"/>
      <c r="DH8" s="2680"/>
      <c r="DI8" s="2680"/>
      <c r="DJ8" s="2680"/>
      <c r="DK8" s="2680"/>
      <c r="DL8" s="2680"/>
      <c r="DM8" s="2680"/>
      <c r="DN8" s="2680"/>
      <c r="DO8" s="2680"/>
      <c r="DP8" s="2680"/>
      <c r="DQ8" s="2680"/>
      <c r="DR8" s="2680"/>
      <c r="DS8" s="2680"/>
      <c r="DT8" s="2680"/>
      <c r="DU8" s="2680"/>
      <c r="DV8" s="2680"/>
      <c r="DW8" s="2680"/>
      <c r="DX8" s="2681"/>
      <c r="DY8" s="2682" t="s">
        <v>2090</v>
      </c>
      <c r="DZ8" s="2683"/>
      <c r="EA8" s="2683"/>
      <c r="EB8" s="2683"/>
      <c r="EC8" s="2683"/>
      <c r="ED8" s="2683"/>
      <c r="EE8" s="2683"/>
      <c r="EF8" s="2683"/>
      <c r="EG8" s="2683"/>
      <c r="EH8" s="2683"/>
      <c r="EI8" s="2683"/>
      <c r="EJ8" s="2683"/>
      <c r="EK8" s="2683"/>
      <c r="EL8" s="2683"/>
      <c r="EM8" s="2683"/>
      <c r="EN8" s="2683"/>
      <c r="EO8" s="2683"/>
      <c r="EP8" s="2683"/>
      <c r="EQ8" s="2683"/>
      <c r="ER8" s="2683"/>
      <c r="ES8" s="2683"/>
      <c r="ET8" s="2683"/>
      <c r="EU8" s="2683"/>
      <c r="EV8" s="2683"/>
      <c r="EW8" s="2683"/>
      <c r="EX8" s="2683"/>
      <c r="EY8" s="2683"/>
      <c r="EZ8" s="2683"/>
      <c r="FA8" s="2683"/>
      <c r="FB8" s="2683"/>
      <c r="FC8" s="2683"/>
      <c r="FD8" s="2683"/>
      <c r="FE8" s="2683"/>
      <c r="FF8" s="2683"/>
      <c r="FG8" s="2683"/>
      <c r="FH8" s="2683"/>
      <c r="FI8" s="2683"/>
      <c r="FJ8" s="2683"/>
      <c r="FK8" s="2683"/>
      <c r="FL8" s="2683"/>
      <c r="FM8" s="2683"/>
      <c r="FN8" s="2683"/>
      <c r="FO8" s="2683"/>
      <c r="FP8" s="2683"/>
      <c r="FQ8" s="2683"/>
      <c r="FR8" s="2683"/>
      <c r="FS8" s="2683"/>
      <c r="FT8" s="2683"/>
      <c r="FU8" s="2683"/>
      <c r="FV8" s="2683"/>
      <c r="FW8" s="2684"/>
      <c r="FX8" s="1316"/>
    </row>
    <row s="11171" customFormat="1" customHeight="1" ht="11.25" hidden="1">
      <c r="B9" s="1189"/>
      <c r="F9" s="1316"/>
      <c r="G9" s="1002"/>
      <c r="H9" s="581"/>
      <c r="I9" s="581"/>
      <c r="J9" s="581"/>
      <c r="K9" s="581"/>
      <c r="L9" s="581"/>
      <c r="M9" s="1316"/>
      <c r="N9" s="1316"/>
      <c r="O9" s="1316"/>
      <c r="P9" s="1316"/>
      <c r="Q9" s="1316"/>
      <c r="R9" s="1316"/>
      <c r="S9" s="1316"/>
      <c r="T9" s="1316"/>
      <c r="U9" s="1316"/>
      <c r="V9" s="1316"/>
      <c r="W9" s="1316"/>
      <c r="X9" s="1316"/>
      <c r="Y9" s="1316"/>
      <c r="Z9" s="1316"/>
      <c r="AA9" s="1316"/>
      <c r="AB9" s="1316"/>
      <c r="AC9" s="1316"/>
      <c r="AD9" s="1316"/>
      <c r="AE9" s="1316"/>
      <c r="AF9" s="1316"/>
      <c r="AG9" s="1316"/>
      <c r="AH9" s="1316"/>
      <c r="AI9" s="1316"/>
      <c r="AJ9" s="1316"/>
      <c r="AK9" s="1316"/>
      <c r="AL9" s="1316"/>
      <c r="AM9" s="1316"/>
      <c r="AN9" s="1316"/>
      <c r="AO9" s="1316"/>
      <c r="AP9" s="1316"/>
      <c r="AQ9" s="1316"/>
      <c r="AR9" s="1316"/>
      <c r="AS9" s="1316"/>
      <c r="AT9" s="1316"/>
      <c r="AU9" s="1316"/>
      <c r="AV9" s="1316"/>
      <c r="AW9" s="1316"/>
      <c r="AX9" s="1316"/>
      <c r="AY9" s="1316"/>
      <c r="AZ9" s="1316"/>
      <c r="BA9" s="1316"/>
      <c r="BB9" s="1316"/>
      <c r="BC9" s="1316"/>
      <c r="BD9" s="1316"/>
      <c r="BE9" s="1316"/>
      <c r="BF9" s="1316"/>
      <c r="BG9" s="1316"/>
      <c r="BH9" s="1316"/>
      <c r="BI9" s="1316"/>
      <c r="BJ9" s="1316"/>
      <c r="BK9" s="1316"/>
      <c r="BL9" s="1316"/>
      <c r="BM9" s="1316"/>
      <c r="BN9" s="1316"/>
      <c r="BO9" s="1316"/>
      <c r="BP9" s="1316"/>
      <c r="BQ9" s="1316"/>
      <c r="BR9" s="1316"/>
      <c r="BS9" s="1316"/>
      <c r="BT9" s="1316"/>
      <c r="BU9" s="1316"/>
      <c r="BV9" s="1316"/>
      <c r="BW9" s="1316"/>
      <c r="BX9" s="1316"/>
      <c r="BY9" s="1316"/>
      <c r="BZ9" s="1316"/>
      <c r="CA9" s="1316"/>
      <c r="CB9" s="1316"/>
      <c r="CC9" s="1316"/>
      <c r="CD9" s="1316"/>
      <c r="CE9" s="1316"/>
      <c r="CF9" s="1316"/>
      <c r="CG9" s="1316"/>
      <c r="CH9" s="1316"/>
      <c r="CI9" s="1316"/>
      <c r="CJ9" s="1316"/>
      <c r="CK9" s="1316"/>
      <c r="CL9" s="1316"/>
      <c r="CM9" s="1316"/>
      <c r="CN9" s="1316"/>
      <c r="CO9" s="1316"/>
      <c r="CP9" s="1316"/>
      <c r="CQ9" s="1316"/>
      <c r="CR9" s="1316"/>
      <c r="CS9" s="1316"/>
      <c r="CT9" s="1316"/>
      <c r="CU9" s="1316"/>
      <c r="CV9" s="1316"/>
      <c r="CW9" s="1316"/>
      <c r="CX9" s="1316"/>
      <c r="CY9" s="1316"/>
      <c r="CZ9" s="1316"/>
      <c r="DA9" s="1316"/>
      <c r="DB9" s="1316"/>
      <c r="DC9" s="1316"/>
      <c r="DD9" s="1316"/>
      <c r="DE9" s="1316"/>
      <c r="DF9" s="1316"/>
      <c r="DG9" s="1316"/>
      <c r="DH9" s="1316"/>
      <c r="DI9" s="1316"/>
      <c r="DJ9" s="1316"/>
      <c r="DK9" s="1316"/>
      <c r="DL9" s="1316"/>
      <c r="DM9" s="1316"/>
      <c r="DN9" s="1316"/>
      <c r="DO9" s="1316"/>
      <c r="DP9" s="1316"/>
      <c r="DQ9" s="1316"/>
      <c r="DR9" s="1316"/>
      <c r="DS9" s="1316"/>
      <c r="DT9" s="1316"/>
      <c r="DU9" s="1316"/>
      <c r="DV9" s="1316"/>
      <c r="DW9" s="1316"/>
      <c r="DX9" s="1316"/>
      <c r="DY9" s="1316"/>
      <c r="DZ9" s="1316"/>
      <c r="EA9" s="1316"/>
      <c r="EB9" s="1316"/>
      <c r="EC9" s="1316"/>
      <c r="ED9" s="1316"/>
      <c r="EE9" s="1316"/>
      <c r="EF9" s="1316"/>
      <c r="EG9" s="1316"/>
      <c r="EH9" s="1316"/>
      <c r="EI9" s="1316"/>
      <c r="EJ9" s="1316"/>
      <c r="EK9" s="1316"/>
      <c r="EL9" s="1316"/>
      <c r="EM9" s="1316"/>
      <c r="EN9" s="1316"/>
      <c r="EO9" s="1316"/>
      <c r="EP9" s="1316"/>
      <c r="EQ9" s="1316"/>
      <c r="ER9" s="1316"/>
      <c r="ES9" s="1316"/>
      <c r="ET9" s="1316"/>
      <c r="EU9" s="1316"/>
      <c r="EV9" s="1316"/>
      <c r="EW9" s="1316"/>
      <c r="EX9" s="1316"/>
      <c r="EY9" s="1316"/>
      <c r="EZ9" s="1316"/>
      <c r="FA9" s="1316"/>
      <c r="FB9" s="1316"/>
      <c r="FC9" s="1316"/>
      <c r="FD9" s="1316"/>
      <c r="FE9" s="1316"/>
      <c r="FF9" s="1316"/>
      <c r="FG9" s="1316"/>
      <c r="FH9" s="1316"/>
      <c r="FI9" s="1316"/>
      <c r="FJ9" s="1316"/>
      <c r="FK9" s="1316"/>
      <c r="FL9" s="1316"/>
      <c r="FM9" s="1316"/>
      <c r="FN9" s="1316"/>
      <c r="FO9" s="1316"/>
      <c r="FP9" s="1316"/>
      <c r="FQ9" s="1316"/>
      <c r="FR9" s="1316"/>
      <c r="FS9" s="1316"/>
      <c r="FT9" s="1316"/>
      <c r="FU9" s="1316"/>
      <c r="FV9" s="1316"/>
      <c r="FW9" s="2685"/>
      <c r="FX9" s="1316"/>
    </row>
    <row s="11171" customFormat="1" customHeight="1" ht="11.25">
      <c r="B10" s="1189"/>
      <c r="F10" s="2653" t="s">
        <v>362</v>
      </c>
      <c r="G10" s="2654"/>
      <c r="H10" s="2654"/>
      <c r="I10" s="2654"/>
      <c r="J10" s="2654"/>
      <c r="K10" s="2654"/>
      <c r="L10" s="2654"/>
      <c r="M10" s="2654"/>
      <c r="N10" s="2654"/>
      <c r="O10" s="2654"/>
      <c r="P10" s="2654"/>
      <c r="Q10" s="2654"/>
      <c r="R10" s="2654"/>
      <c r="S10" s="2654"/>
      <c r="T10" s="2654"/>
      <c r="U10" s="2654"/>
      <c r="V10" s="2654"/>
      <c r="W10" s="2654"/>
      <c r="X10" s="2654"/>
      <c r="Y10" s="2654"/>
      <c r="Z10" s="2654"/>
      <c r="AA10" s="2654"/>
      <c r="AB10" s="2654"/>
      <c r="AC10" s="2654"/>
      <c r="AD10" s="2654"/>
      <c r="AE10" s="2654"/>
      <c r="AF10" s="2654"/>
      <c r="AG10" s="2654"/>
      <c r="AH10" s="2654"/>
      <c r="AI10" s="2654"/>
      <c r="AJ10" s="2654"/>
      <c r="AK10" s="2654"/>
      <c r="AL10" s="2654"/>
      <c r="AM10" s="2654"/>
      <c r="AN10" s="2654"/>
      <c r="AO10" s="2654"/>
      <c r="AP10" s="2654"/>
      <c r="AQ10" s="2654"/>
      <c r="AR10" s="2654"/>
      <c r="AS10" s="2654"/>
      <c r="AT10" s="2654"/>
      <c r="AU10" s="2654"/>
      <c r="AV10" s="2654"/>
      <c r="AW10" s="2654"/>
      <c r="AX10" s="2654"/>
      <c r="AY10" s="2654"/>
      <c r="AZ10" s="2654"/>
      <c r="BA10" s="2654"/>
      <c r="BB10" s="2654"/>
      <c r="BC10" s="2654"/>
      <c r="BD10" s="2654"/>
      <c r="BE10" s="2654"/>
      <c r="BF10" s="2654"/>
      <c r="BG10" s="2654"/>
      <c r="BH10" s="2654"/>
      <c r="BI10" s="2654"/>
      <c r="BJ10" s="2654"/>
      <c r="BK10" s="2654"/>
      <c r="BL10" s="2654"/>
      <c r="BM10" s="2654"/>
      <c r="BN10" s="2654"/>
      <c r="BO10" s="2654"/>
      <c r="BP10" s="2654"/>
      <c r="BQ10" s="2654"/>
      <c r="BR10" s="2654"/>
      <c r="BS10" s="2654"/>
      <c r="BT10" s="2654"/>
      <c r="BU10" s="2654"/>
      <c r="BV10" s="2654"/>
      <c r="BW10" s="2654"/>
      <c r="BX10" s="2654"/>
      <c r="BY10" s="2654"/>
      <c r="BZ10" s="2654"/>
      <c r="CA10" s="2654"/>
      <c r="CB10" s="2654"/>
      <c r="CC10" s="2654"/>
      <c r="CD10" s="2654"/>
      <c r="CE10" s="2654"/>
      <c r="CF10" s="2654"/>
      <c r="CG10" s="2654"/>
      <c r="CH10" s="2654"/>
      <c r="CI10" s="2654"/>
      <c r="CJ10" s="2654"/>
      <c r="CK10" s="2654"/>
      <c r="CL10" s="2654"/>
      <c r="CM10" s="2654"/>
      <c r="CN10" s="2654"/>
      <c r="CO10" s="2654"/>
      <c r="CP10" s="2654"/>
      <c r="CQ10" s="2654"/>
      <c r="CR10" s="2654"/>
      <c r="CS10" s="2654"/>
      <c r="CT10" s="2654"/>
      <c r="CU10" s="2654"/>
      <c r="CV10" s="2654"/>
      <c r="CW10" s="2654"/>
      <c r="CX10" s="2654"/>
      <c r="CY10" s="2654"/>
      <c r="CZ10" s="2654"/>
      <c r="DA10" s="2654"/>
      <c r="DB10" s="2654"/>
      <c r="DC10" s="2654"/>
      <c r="DD10" s="2654"/>
      <c r="DE10" s="2654"/>
      <c r="DF10" s="2654"/>
      <c r="DG10" s="2654"/>
      <c r="DH10" s="2654"/>
      <c r="DI10" s="2654"/>
      <c r="DJ10" s="2654"/>
      <c r="DK10" s="2654"/>
      <c r="DL10" s="2654"/>
      <c r="DM10" s="2654"/>
      <c r="DN10" s="2654"/>
      <c r="DO10" s="2654"/>
      <c r="DP10" s="2654"/>
      <c r="DQ10" s="2654"/>
      <c r="DR10" s="2654"/>
      <c r="DS10" s="2654"/>
      <c r="DT10" s="2654"/>
      <c r="DU10" s="2654"/>
      <c r="DV10" s="2654"/>
      <c r="DW10" s="2654"/>
      <c r="DX10" s="2654"/>
      <c r="DY10" s="2654"/>
      <c r="DZ10" s="2654"/>
      <c r="EA10" s="2654"/>
      <c r="EB10" s="2654"/>
      <c r="EC10" s="2654"/>
      <c r="ED10" s="2654"/>
      <c r="EE10" s="2654"/>
      <c r="EF10" s="2654"/>
      <c r="EG10" s="2654"/>
      <c r="EH10" s="2654"/>
      <c r="EI10" s="2654"/>
      <c r="EJ10" s="2654"/>
      <c r="EK10" s="2654"/>
      <c r="EL10" s="2654"/>
      <c r="EM10" s="2654"/>
      <c r="EN10" s="2654"/>
      <c r="EO10" s="2654"/>
      <c r="EP10" s="2654"/>
      <c r="EQ10" s="2654"/>
      <c r="ER10" s="2654"/>
      <c r="ES10" s="2654"/>
      <c r="ET10" s="2654"/>
      <c r="EU10" s="2654"/>
      <c r="EV10" s="2654"/>
      <c r="EW10" s="2654"/>
      <c r="EX10" s="2654"/>
      <c r="EY10" s="2654"/>
      <c r="EZ10" s="2654"/>
      <c r="FA10" s="2654"/>
      <c r="FB10" s="2654"/>
      <c r="FC10" s="2654"/>
      <c r="FD10" s="2654"/>
      <c r="FE10" s="2654"/>
      <c r="FF10" s="2654"/>
      <c r="FG10" s="2654"/>
      <c r="FH10" s="2654"/>
      <c r="FI10" s="2654"/>
      <c r="FJ10" s="2654"/>
      <c r="FK10" s="2654"/>
      <c r="FL10" s="2654"/>
      <c r="FM10" s="2654"/>
      <c r="FN10" s="2654"/>
      <c r="FO10" s="2654"/>
      <c r="FP10" s="2654"/>
      <c r="FQ10" s="2654"/>
      <c r="FR10" s="2654"/>
      <c r="FS10" s="2654"/>
      <c r="FT10" s="2654"/>
      <c r="FU10" s="2654"/>
      <c r="FV10" s="2655"/>
      <c r="FW10" s="2685"/>
      <c r="FX10" s="1316"/>
    </row>
    <row customHeight="1" ht="12">
      <c r="E11" s="1192"/>
      <c r="F11" s="2671" t="s">
        <v>88</v>
      </c>
      <c r="G11" s="2671" t="s">
        <v>2091</v>
      </c>
      <c r="H11" s="2672" t="s">
        <v>2092</v>
      </c>
      <c r="I11" s="2672" t="s">
        <v>2093</v>
      </c>
      <c r="J11" s="2673"/>
      <c r="K11" s="2673"/>
      <c r="L11" s="2673"/>
      <c r="M11" s="2673"/>
      <c r="N11" s="2673"/>
      <c r="O11" s="2674" t="s">
        <v>2094</v>
      </c>
      <c r="P11" s="2674"/>
      <c r="Q11" s="2674"/>
      <c r="R11" s="2674"/>
      <c r="S11" s="2674"/>
      <c r="T11" s="2674"/>
      <c r="U11" s="2674"/>
      <c r="V11" s="2674"/>
      <c r="W11" s="2674"/>
      <c r="X11" s="2674"/>
      <c r="Y11" s="2674"/>
      <c r="Z11" s="2674"/>
      <c r="AA11" s="2674"/>
      <c r="AB11" s="2674"/>
      <c r="AC11" s="2663"/>
      <c r="AD11" s="2663"/>
      <c r="AE11" s="2663"/>
      <c r="AF11" s="2663"/>
      <c r="AG11" s="2663"/>
      <c r="AH11" s="2663"/>
      <c r="AI11" s="2663"/>
      <c r="AJ11" s="2663"/>
      <c r="AK11" s="2663"/>
      <c r="AL11" s="2663"/>
      <c r="AM11" s="2663"/>
      <c r="AN11" s="2663"/>
      <c r="AO11" s="2663"/>
      <c r="AP11" s="2663"/>
      <c r="AQ11" s="2663"/>
      <c r="AR11" s="2663"/>
      <c r="AS11" s="2663"/>
      <c r="AT11" s="2663"/>
      <c r="AU11" s="2663"/>
      <c r="AV11" s="2663"/>
      <c r="AW11" s="2663"/>
      <c r="AX11" s="2663"/>
      <c r="AY11" s="2663"/>
      <c r="AZ11" s="2663"/>
      <c r="BA11" s="2663"/>
      <c r="BB11" s="2663"/>
      <c r="BC11" s="2663"/>
      <c r="BD11" s="2663"/>
      <c r="BE11" s="2663"/>
      <c r="BF11" s="2663"/>
      <c r="BG11" s="2663"/>
      <c r="BH11" s="2663"/>
      <c r="BI11" s="2663"/>
      <c r="BJ11" s="2663"/>
      <c r="BK11" s="2663"/>
      <c r="BL11" s="2663"/>
      <c r="BM11" s="2663"/>
      <c r="BN11" s="2663"/>
      <c r="BO11" s="2663"/>
      <c r="BP11" s="2663"/>
      <c r="BQ11" s="2663"/>
      <c r="BR11" s="2663"/>
      <c r="BS11" s="2690"/>
      <c r="BT11" s="2660" t="s">
        <v>2094</v>
      </c>
      <c r="BU11" s="2661"/>
      <c r="BV11" s="2661"/>
      <c r="BW11" s="2661"/>
      <c r="BX11" s="2661"/>
      <c r="BY11" s="2661"/>
      <c r="BZ11" s="2661"/>
      <c r="CA11" s="2661"/>
      <c r="CB11" s="2661"/>
      <c r="CC11" s="2661"/>
      <c r="CD11" s="2661"/>
      <c r="CE11" s="2661"/>
      <c r="CF11" s="2661"/>
      <c r="CG11" s="2661"/>
      <c r="CH11" s="2661"/>
      <c r="CI11" s="2661"/>
      <c r="CJ11" s="2661"/>
      <c r="CK11" s="2662"/>
      <c r="CL11" s="2668"/>
      <c r="CM11" s="2663"/>
      <c r="CN11" s="2663"/>
      <c r="CO11" s="2663"/>
      <c r="CP11" s="2663"/>
      <c r="CQ11" s="2663"/>
      <c r="CR11" s="2663"/>
      <c r="CS11" s="2663"/>
      <c r="CT11" s="2663"/>
      <c r="CU11" s="2663"/>
      <c r="CV11" s="2663"/>
      <c r="CW11" s="2663"/>
      <c r="CX11" s="2690"/>
      <c r="CY11" s="2660" t="s">
        <v>2094</v>
      </c>
      <c r="CZ11" s="2661"/>
      <c r="DA11" s="2661"/>
      <c r="DB11" s="2661"/>
      <c r="DC11" s="2661"/>
      <c r="DD11" s="2661"/>
      <c r="DE11" s="2661"/>
      <c r="DF11" s="2661"/>
      <c r="DG11" s="2661"/>
      <c r="DH11" s="2661"/>
      <c r="DI11" s="2661"/>
      <c r="DJ11" s="2662"/>
      <c r="DK11" s="2668"/>
      <c r="DL11" s="2663"/>
      <c r="DM11" s="2663"/>
      <c r="DN11" s="2663"/>
      <c r="DO11" s="2663"/>
      <c r="DP11" s="2663"/>
      <c r="DQ11" s="2663"/>
      <c r="DR11" s="2663"/>
      <c r="DS11" s="2663"/>
      <c r="DT11" s="2663"/>
      <c r="DU11" s="2663"/>
      <c r="DV11" s="2663"/>
      <c r="DW11" s="2663"/>
      <c r="DX11" s="2663"/>
      <c r="DY11" s="2663"/>
      <c r="DZ11" s="2663"/>
      <c r="EA11" s="2663"/>
      <c r="EB11" s="2663"/>
      <c r="EC11" s="2663"/>
      <c r="ED11" s="2663"/>
      <c r="EE11" s="2663"/>
      <c r="EF11" s="2663"/>
      <c r="EG11" s="2663"/>
      <c r="EH11" s="2663"/>
      <c r="EI11" s="2663"/>
      <c r="EJ11" s="2663"/>
      <c r="EK11" s="2663"/>
      <c r="EL11" s="2663"/>
      <c r="EM11" s="2663"/>
      <c r="EN11" s="2663"/>
      <c r="EO11" s="2663"/>
      <c r="EP11" s="2663"/>
      <c r="EQ11" s="2663"/>
      <c r="ER11" s="2663"/>
      <c r="ES11" s="2663"/>
      <c r="ET11" s="2663"/>
      <c r="EU11" s="2663"/>
      <c r="EV11" s="2663"/>
      <c r="EW11" s="2663"/>
      <c r="EX11" s="2663"/>
      <c r="EY11" s="2663"/>
      <c r="EZ11" s="2663"/>
      <c r="FA11" s="2663"/>
      <c r="FB11" s="2663"/>
      <c r="FC11" s="2663"/>
      <c r="FD11" s="2663"/>
      <c r="FE11" s="2663"/>
      <c r="FF11" s="2663"/>
      <c r="FG11" s="2663"/>
      <c r="FH11" s="2663"/>
      <c r="FI11" s="2663"/>
      <c r="FJ11" s="2663"/>
      <c r="FK11" s="2663"/>
      <c r="FL11" s="2663"/>
      <c r="FM11" s="2663"/>
      <c r="FN11" s="2663"/>
      <c r="FO11" s="2663"/>
      <c r="FP11" s="2663"/>
      <c r="FQ11" s="2663"/>
      <c r="FR11" s="2663"/>
      <c r="FS11" s="2663"/>
      <c r="FT11" s="2663"/>
      <c r="FU11" s="2663"/>
      <c r="FV11" s="2663"/>
      <c r="FW11" s="2685"/>
      <c r="FX11" s="1001"/>
    </row>
    <row customHeight="1" ht="12">
      <c r="D12" s="1193"/>
      <c r="E12" s="1192"/>
      <c r="F12" s="2671"/>
      <c r="G12" s="2671"/>
      <c r="H12" s="2672"/>
      <c r="I12" s="2672"/>
      <c r="J12" s="2673"/>
      <c r="K12" s="2673"/>
      <c r="L12" s="2673"/>
      <c r="M12" s="2673"/>
      <c r="N12" s="2673"/>
      <c r="O12" s="2674" t="s">
        <v>2095</v>
      </c>
      <c r="P12" s="2674"/>
      <c r="Q12" s="2674"/>
      <c r="R12" s="2674"/>
      <c r="S12" s="2674" t="s">
        <v>2096</v>
      </c>
      <c r="T12" s="2674"/>
      <c r="U12" s="2674"/>
      <c r="V12" s="2674"/>
      <c r="W12" s="2674"/>
      <c r="X12" s="2674"/>
      <c r="Y12" s="2674"/>
      <c r="Z12" s="2674"/>
      <c r="AA12" s="2674"/>
      <c r="AB12" s="2674"/>
      <c r="AC12" s="2663"/>
      <c r="AD12" s="2663"/>
      <c r="AE12" s="2663"/>
      <c r="AF12" s="2663"/>
      <c r="AG12" s="2663"/>
      <c r="AH12" s="2663"/>
      <c r="AI12" s="2663"/>
      <c r="AJ12" s="2663"/>
      <c r="AK12" s="2663"/>
      <c r="AL12" s="2663"/>
      <c r="AM12" s="2663"/>
      <c r="AN12" s="2663"/>
      <c r="AO12" s="2663"/>
      <c r="AP12" s="2663"/>
      <c r="AQ12" s="2663"/>
      <c r="AR12" s="2663"/>
      <c r="AS12" s="2663"/>
      <c r="AT12" s="2663"/>
      <c r="AU12" s="2663"/>
      <c r="AV12" s="2663"/>
      <c r="AW12" s="2663"/>
      <c r="AX12" s="2663"/>
      <c r="AY12" s="2663"/>
      <c r="AZ12" s="2663"/>
      <c r="BA12" s="2663"/>
      <c r="BB12" s="2663"/>
      <c r="BC12" s="2663"/>
      <c r="BD12" s="2663"/>
      <c r="BE12" s="2663"/>
      <c r="BF12" s="2663"/>
      <c r="BG12" s="2663"/>
      <c r="BH12" s="2663"/>
      <c r="BI12" s="2663"/>
      <c r="BJ12" s="2663"/>
      <c r="BK12" s="2663"/>
      <c r="BL12" s="2663"/>
      <c r="BM12" s="2663"/>
      <c r="BN12" s="2663"/>
      <c r="BO12" s="2663"/>
      <c r="BP12" s="2663"/>
      <c r="BQ12" s="2663"/>
      <c r="BR12" s="2663"/>
      <c r="BS12" s="2690"/>
      <c r="BT12" s="2660" t="s">
        <v>2097</v>
      </c>
      <c r="BU12" s="2661"/>
      <c r="BV12" s="2661"/>
      <c r="BW12" s="2662"/>
      <c r="BX12" s="2660" t="s">
        <v>2098</v>
      </c>
      <c r="BY12" s="2661"/>
      <c r="BZ12" s="2661"/>
      <c r="CA12" s="2662"/>
      <c r="CB12" s="2660" t="s">
        <v>2099</v>
      </c>
      <c r="CC12" s="2662"/>
      <c r="CD12" s="2660" t="s">
        <v>2100</v>
      </c>
      <c r="CE12" s="2661"/>
      <c r="CF12" s="2661"/>
      <c r="CG12" s="2661"/>
      <c r="CH12" s="2661"/>
      <c r="CI12" s="2661"/>
      <c r="CJ12" s="2661"/>
      <c r="CK12" s="2662"/>
      <c r="CL12" s="2668"/>
      <c r="CM12" s="2663"/>
      <c r="CN12" s="2663"/>
      <c r="CO12" s="2663"/>
      <c r="CP12" s="2663"/>
      <c r="CQ12" s="2663"/>
      <c r="CR12" s="2663"/>
      <c r="CS12" s="2663"/>
      <c r="CT12" s="2663"/>
      <c r="CU12" s="2663"/>
      <c r="CV12" s="2663"/>
      <c r="CW12" s="2663"/>
      <c r="CX12" s="2690"/>
      <c r="CY12" s="2660" t="s">
        <v>2101</v>
      </c>
      <c r="CZ12" s="2661"/>
      <c r="DA12" s="2661"/>
      <c r="DB12" s="2661"/>
      <c r="DC12" s="2661"/>
      <c r="DD12" s="2662"/>
      <c r="DE12" s="2660" t="s">
        <v>2102</v>
      </c>
      <c r="DF12" s="2662"/>
      <c r="DG12" s="2660" t="s">
        <v>2100</v>
      </c>
      <c r="DH12" s="2661"/>
      <c r="DI12" s="2661"/>
      <c r="DJ12" s="2662"/>
      <c r="DK12" s="2668"/>
      <c r="DL12" s="2663"/>
      <c r="DM12" s="2663"/>
      <c r="DN12" s="2663"/>
      <c r="DO12" s="2663"/>
      <c r="DP12" s="2663"/>
      <c r="DQ12" s="2663"/>
      <c r="DR12" s="2663"/>
      <c r="DS12" s="2663"/>
      <c r="DT12" s="2663"/>
      <c r="DU12" s="2663"/>
      <c r="DV12" s="2663"/>
      <c r="DW12" s="2663"/>
      <c r="DX12" s="2663"/>
      <c r="DY12" s="2663"/>
      <c r="DZ12" s="2663"/>
      <c r="EA12" s="2663"/>
      <c r="EB12" s="2663"/>
      <c r="EC12" s="2663"/>
      <c r="ED12" s="2663"/>
      <c r="EE12" s="2663"/>
      <c r="EF12" s="2663"/>
      <c r="EG12" s="2663"/>
      <c r="EH12" s="2663"/>
      <c r="EI12" s="2663"/>
      <c r="EJ12" s="2663"/>
      <c r="EK12" s="2663"/>
      <c r="EL12" s="2663"/>
      <c r="EM12" s="2663"/>
      <c r="EN12" s="2663"/>
      <c r="EO12" s="2663"/>
      <c r="EP12" s="2663"/>
      <c r="EQ12" s="2663"/>
      <c r="ER12" s="2663"/>
      <c r="ES12" s="2663"/>
      <c r="ET12" s="2663"/>
      <c r="EU12" s="2663"/>
      <c r="EV12" s="2663"/>
      <c r="EW12" s="2663"/>
      <c r="EX12" s="2663"/>
      <c r="EY12" s="2663"/>
      <c r="EZ12" s="2663"/>
      <c r="FA12" s="2663"/>
      <c r="FB12" s="2663"/>
      <c r="FC12" s="2663"/>
      <c r="FD12" s="2663"/>
      <c r="FE12" s="2663"/>
      <c r="FF12" s="2663"/>
      <c r="FG12" s="2663"/>
      <c r="FH12" s="2663"/>
      <c r="FI12" s="2663"/>
      <c r="FJ12" s="2663"/>
      <c r="FK12" s="2663"/>
      <c r="FL12" s="2663"/>
      <c r="FM12" s="2663"/>
      <c r="FN12" s="2663"/>
      <c r="FO12" s="2663"/>
      <c r="FP12" s="2663"/>
      <c r="FQ12" s="2663"/>
      <c r="FR12" s="2663"/>
      <c r="FS12" s="2663"/>
      <c r="FT12" s="2663"/>
      <c r="FU12" s="2663"/>
      <c r="FV12" s="2663"/>
      <c r="FW12" s="2685"/>
      <c r="FX12" s="1001"/>
    </row>
    <row customHeight="1" ht="36">
      <c r="D13" s="1193"/>
      <c r="E13" s="1192"/>
      <c r="F13" s="2671"/>
      <c r="G13" s="2671"/>
      <c r="H13" s="2672"/>
      <c r="I13" s="2672"/>
      <c r="J13" s="2673"/>
      <c r="K13" s="2673"/>
      <c r="L13" s="2673"/>
      <c r="M13" s="2673"/>
      <c r="N13" s="2673"/>
      <c r="O13" s="2674" t="s">
        <v>2103</v>
      </c>
      <c r="P13" s="2674"/>
      <c r="Q13" s="2674"/>
      <c r="R13" s="2674"/>
      <c r="S13" s="2664" t="s">
        <v>2104</v>
      </c>
      <c r="T13" s="2665"/>
      <c r="U13" s="2675" t="s">
        <v>2105</v>
      </c>
      <c r="V13" s="2675"/>
      <c r="W13" s="2675"/>
      <c r="X13" s="2675"/>
      <c r="Y13" s="2675" t="s">
        <v>2106</v>
      </c>
      <c r="Z13" s="2675"/>
      <c r="AA13" s="2675"/>
      <c r="AB13" s="2675"/>
      <c r="AC13" s="2663"/>
      <c r="AD13" s="2663"/>
      <c r="AE13" s="2663"/>
      <c r="AF13" s="2663"/>
      <c r="AG13" s="2663"/>
      <c r="AH13" s="2663"/>
      <c r="AI13" s="2663"/>
      <c r="AJ13" s="2663"/>
      <c r="AK13" s="2663"/>
      <c r="AL13" s="2663"/>
      <c r="AM13" s="2663"/>
      <c r="AN13" s="2663"/>
      <c r="AO13" s="2663"/>
      <c r="AP13" s="2663"/>
      <c r="AQ13" s="2663"/>
      <c r="AR13" s="2663"/>
      <c r="AS13" s="2663"/>
      <c r="AT13" s="2663"/>
      <c r="AU13" s="2663"/>
      <c r="AV13" s="2663"/>
      <c r="AW13" s="2663"/>
      <c r="AX13" s="2663"/>
      <c r="AY13" s="2663"/>
      <c r="AZ13" s="2663"/>
      <c r="BA13" s="2663"/>
      <c r="BB13" s="2663"/>
      <c r="BC13" s="2663"/>
      <c r="BD13" s="2663"/>
      <c r="BE13" s="2663"/>
      <c r="BF13" s="2663"/>
      <c r="BG13" s="2663"/>
      <c r="BH13" s="2663"/>
      <c r="BI13" s="2663"/>
      <c r="BJ13" s="2663"/>
      <c r="BK13" s="2663"/>
      <c r="BL13" s="2663"/>
      <c r="BM13" s="2663"/>
      <c r="BN13" s="2663"/>
      <c r="BO13" s="2663"/>
      <c r="BP13" s="2663"/>
      <c r="BQ13" s="2663"/>
      <c r="BR13" s="2663"/>
      <c r="BS13" s="2690"/>
      <c r="BT13" s="2664" t="s">
        <v>2107</v>
      </c>
      <c r="BU13" s="2665"/>
      <c r="BV13" s="2664" t="s">
        <v>2108</v>
      </c>
      <c r="BW13" s="2665"/>
      <c r="BX13" s="2664" t="s">
        <v>2109</v>
      </c>
      <c r="BY13" s="2665"/>
      <c r="BZ13" s="2664" t="s">
        <v>2110</v>
      </c>
      <c r="CA13" s="2665"/>
      <c r="CB13" s="2664" t="s">
        <v>2111</v>
      </c>
      <c r="CC13" s="2665"/>
      <c r="CD13" s="2664" t="s">
        <v>2112</v>
      </c>
      <c r="CE13" s="2665"/>
      <c r="CF13" s="2664" t="s">
        <v>2113</v>
      </c>
      <c r="CG13" s="2665"/>
      <c r="CH13" s="2660" t="s">
        <v>2114</v>
      </c>
      <c r="CI13" s="2661"/>
      <c r="CJ13" s="2661"/>
      <c r="CK13" s="2662"/>
      <c r="CL13" s="2668"/>
      <c r="CM13" s="2663"/>
      <c r="CN13" s="2663"/>
      <c r="CO13" s="2663"/>
      <c r="CP13" s="2663"/>
      <c r="CQ13" s="2663"/>
      <c r="CR13" s="2663"/>
      <c r="CS13" s="2663"/>
      <c r="CT13" s="2663"/>
      <c r="CU13" s="2663"/>
      <c r="CV13" s="2663"/>
      <c r="CW13" s="2663"/>
      <c r="CX13" s="2690"/>
      <c r="CY13" s="2664" t="s">
        <v>2115</v>
      </c>
      <c r="CZ13" s="2665"/>
      <c r="DA13" s="2664" t="s">
        <v>2116</v>
      </c>
      <c r="DB13" s="2665"/>
      <c r="DC13" s="2664" t="s">
        <v>2117</v>
      </c>
      <c r="DD13" s="2665"/>
      <c r="DE13" s="2664" t="s">
        <v>2118</v>
      </c>
      <c r="DF13" s="2665"/>
      <c r="DG13" s="2660" t="s">
        <v>2119</v>
      </c>
      <c r="DH13" s="2661"/>
      <c r="DI13" s="2661"/>
      <c r="DJ13" s="2662"/>
      <c r="DK13" s="2668"/>
      <c r="DL13" s="2663"/>
      <c r="DM13" s="2663"/>
      <c r="DN13" s="2663"/>
      <c r="DO13" s="2663"/>
      <c r="DP13" s="2663"/>
      <c r="DQ13" s="2663"/>
      <c r="DR13" s="2663"/>
      <c r="DS13" s="2663"/>
      <c r="DT13" s="2663"/>
      <c r="DU13" s="2663"/>
      <c r="DV13" s="2663"/>
      <c r="DW13" s="2663"/>
      <c r="DX13" s="2663"/>
      <c r="DY13" s="2663"/>
      <c r="DZ13" s="2663"/>
      <c r="EA13" s="2663"/>
      <c r="EB13" s="2663"/>
      <c r="EC13" s="2663"/>
      <c r="ED13" s="2663"/>
      <c r="EE13" s="2663"/>
      <c r="EF13" s="2663"/>
      <c r="EG13" s="2663"/>
      <c r="EH13" s="2663"/>
      <c r="EI13" s="2663"/>
      <c r="EJ13" s="2663"/>
      <c r="EK13" s="2663"/>
      <c r="EL13" s="2663"/>
      <c r="EM13" s="2663"/>
      <c r="EN13" s="2663"/>
      <c r="EO13" s="2663"/>
      <c r="EP13" s="2663"/>
      <c r="EQ13" s="2663"/>
      <c r="ER13" s="2663"/>
      <c r="ES13" s="2663"/>
      <c r="ET13" s="2663"/>
      <c r="EU13" s="2663"/>
      <c r="EV13" s="2663"/>
      <c r="EW13" s="2663"/>
      <c r="EX13" s="2663"/>
      <c r="EY13" s="2663"/>
      <c r="EZ13" s="2663"/>
      <c r="FA13" s="2663"/>
      <c r="FB13" s="2663"/>
      <c r="FC13" s="2663"/>
      <c r="FD13" s="2663"/>
      <c r="FE13" s="2663"/>
      <c r="FF13" s="2663"/>
      <c r="FG13" s="2663"/>
      <c r="FH13" s="2663"/>
      <c r="FI13" s="2663"/>
      <c r="FJ13" s="2663"/>
      <c r="FK13" s="2663"/>
      <c r="FL13" s="2663"/>
      <c r="FM13" s="2663"/>
      <c r="FN13" s="2663"/>
      <c r="FO13" s="2663"/>
      <c r="FP13" s="2663"/>
      <c r="FQ13" s="2663"/>
      <c r="FR13" s="2663"/>
      <c r="FS13" s="2663"/>
      <c r="FT13" s="2663"/>
      <c r="FU13" s="2663"/>
      <c r="FV13" s="2663"/>
      <c r="FW13" s="2685"/>
      <c r="FX13" s="1001"/>
    </row>
    <row customHeight="1" ht="36">
      <c r="D14" s="1193"/>
      <c r="E14" s="1192"/>
      <c r="F14" s="2671"/>
      <c r="G14" s="2671"/>
      <c r="H14" s="2672"/>
      <c r="I14" s="2672"/>
      <c r="J14" s="2673"/>
      <c r="K14" s="2673"/>
      <c r="L14" s="2673"/>
      <c r="M14" s="2673"/>
      <c r="N14" s="2673"/>
      <c r="O14" s="2664" t="s">
        <v>2120</v>
      </c>
      <c r="P14" s="2665"/>
      <c r="Q14" s="2664" t="s">
        <v>2121</v>
      </c>
      <c r="R14" s="2665"/>
      <c r="S14" s="2669"/>
      <c r="T14" s="2670"/>
      <c r="U14" s="2664" t="s">
        <v>1909</v>
      </c>
      <c r="V14" s="2665"/>
      <c r="W14" s="2664" t="s">
        <v>1912</v>
      </c>
      <c r="X14" s="2665"/>
      <c r="Y14" s="2664" t="s">
        <v>1909</v>
      </c>
      <c r="Z14" s="2665"/>
      <c r="AA14" s="2664" t="s">
        <v>1919</v>
      </c>
      <c r="AB14" s="2665"/>
      <c r="AC14" s="2663"/>
      <c r="AD14" s="2663"/>
      <c r="AE14" s="2663"/>
      <c r="AF14" s="2663"/>
      <c r="AG14" s="2663"/>
      <c r="AH14" s="2663"/>
      <c r="AI14" s="2663"/>
      <c r="AJ14" s="2663"/>
      <c r="AK14" s="2663"/>
      <c r="AL14" s="2663"/>
      <c r="AM14" s="2663"/>
      <c r="AN14" s="2663"/>
      <c r="AO14" s="2663"/>
      <c r="AP14" s="2663"/>
      <c r="AQ14" s="2663"/>
      <c r="AR14" s="2663"/>
      <c r="AS14" s="2663"/>
      <c r="AT14" s="2663"/>
      <c r="AU14" s="2663"/>
      <c r="AV14" s="2663"/>
      <c r="AW14" s="2663"/>
      <c r="AX14" s="2663"/>
      <c r="AY14" s="2663"/>
      <c r="AZ14" s="2663"/>
      <c r="BA14" s="2663"/>
      <c r="BB14" s="2663"/>
      <c r="BC14" s="2663"/>
      <c r="BD14" s="2663"/>
      <c r="BE14" s="2663"/>
      <c r="BF14" s="2663"/>
      <c r="BG14" s="2663"/>
      <c r="BH14" s="2663"/>
      <c r="BI14" s="2663"/>
      <c r="BJ14" s="2663"/>
      <c r="BK14" s="2663"/>
      <c r="BL14" s="2663"/>
      <c r="BM14" s="2663"/>
      <c r="BN14" s="2663"/>
      <c r="BO14" s="2663"/>
      <c r="BP14" s="2663"/>
      <c r="BQ14" s="2663"/>
      <c r="BR14" s="2663"/>
      <c r="BS14" s="2690"/>
      <c r="BT14" s="2669"/>
      <c r="BU14" s="2670"/>
      <c r="BV14" s="2669"/>
      <c r="BW14" s="2670"/>
      <c r="BX14" s="2669"/>
      <c r="BY14" s="2670"/>
      <c r="BZ14" s="2669"/>
      <c r="CA14" s="2670"/>
      <c r="CB14" s="2669"/>
      <c r="CC14" s="2670"/>
      <c r="CD14" s="2669"/>
      <c r="CE14" s="2670"/>
      <c r="CF14" s="2669"/>
      <c r="CG14" s="2670"/>
      <c r="CH14" s="2664" t="s">
        <v>2122</v>
      </c>
      <c r="CI14" s="2665"/>
      <c r="CJ14" s="2664" t="s">
        <v>2123</v>
      </c>
      <c r="CK14" s="2665"/>
      <c r="CL14" s="2668"/>
      <c r="CM14" s="2663"/>
      <c r="CN14" s="2663"/>
      <c r="CO14" s="2663"/>
      <c r="CP14" s="2663"/>
      <c r="CQ14" s="2663"/>
      <c r="CR14" s="2663"/>
      <c r="CS14" s="2663"/>
      <c r="CT14" s="2663"/>
      <c r="CU14" s="2663"/>
      <c r="CV14" s="2663"/>
      <c r="CW14" s="2663"/>
      <c r="CX14" s="2690"/>
      <c r="CY14" s="2669"/>
      <c r="CZ14" s="2670"/>
      <c r="DA14" s="2669"/>
      <c r="DB14" s="2670"/>
      <c r="DC14" s="2669"/>
      <c r="DD14" s="2670"/>
      <c r="DE14" s="2669"/>
      <c r="DF14" s="2670"/>
      <c r="DG14" s="2664" t="s">
        <v>2124</v>
      </c>
      <c r="DH14" s="2665"/>
      <c r="DI14" s="2664" t="s">
        <v>2125</v>
      </c>
      <c r="DJ14" s="2665"/>
      <c r="DK14" s="2668"/>
      <c r="DL14" s="2663"/>
      <c r="DM14" s="2663"/>
      <c r="DN14" s="2663"/>
      <c r="DO14" s="2663"/>
      <c r="DP14" s="2663"/>
      <c r="DQ14" s="2663"/>
      <c r="DR14" s="2663"/>
      <c r="DS14" s="2663"/>
      <c r="DT14" s="2663"/>
      <c r="DU14" s="2663"/>
      <c r="DV14" s="2663"/>
      <c r="DW14" s="2663"/>
      <c r="DX14" s="2663"/>
      <c r="DY14" s="2663"/>
      <c r="DZ14" s="2663"/>
      <c r="EA14" s="2663"/>
      <c r="EB14" s="2663"/>
      <c r="EC14" s="2663"/>
      <c r="ED14" s="2663"/>
      <c r="EE14" s="2663"/>
      <c r="EF14" s="2663"/>
      <c r="EG14" s="2663"/>
      <c r="EH14" s="2663"/>
      <c r="EI14" s="2663"/>
      <c r="EJ14" s="2663"/>
      <c r="EK14" s="2663"/>
      <c r="EL14" s="2663"/>
      <c r="EM14" s="2663"/>
      <c r="EN14" s="2663"/>
      <c r="EO14" s="2663"/>
      <c r="EP14" s="2663"/>
      <c r="EQ14" s="2663"/>
      <c r="ER14" s="2663"/>
      <c r="ES14" s="2663"/>
      <c r="ET14" s="2663"/>
      <c r="EU14" s="2663"/>
      <c r="EV14" s="2663"/>
      <c r="EW14" s="2663"/>
      <c r="EX14" s="2663"/>
      <c r="EY14" s="2663"/>
      <c r="EZ14" s="2663"/>
      <c r="FA14" s="2663"/>
      <c r="FB14" s="2663"/>
      <c r="FC14" s="2663"/>
      <c r="FD14" s="2663"/>
      <c r="FE14" s="2663"/>
      <c r="FF14" s="2663"/>
      <c r="FG14" s="2663"/>
      <c r="FH14" s="2663"/>
      <c r="FI14" s="2663"/>
      <c r="FJ14" s="2663"/>
      <c r="FK14" s="2663"/>
      <c r="FL14" s="2663"/>
      <c r="FM14" s="2663"/>
      <c r="FN14" s="2663"/>
      <c r="FO14" s="2663"/>
      <c r="FP14" s="2663"/>
      <c r="FQ14" s="2663"/>
      <c r="FR14" s="2663"/>
      <c r="FS14" s="2663"/>
      <c r="FT14" s="2663"/>
      <c r="FU14" s="2663"/>
      <c r="FV14" s="2663"/>
      <c r="FW14" s="2685"/>
      <c r="FX14" s="1001"/>
    </row>
    <row customHeight="1" ht="36">
      <c r="D15" s="1193"/>
      <c r="E15" s="1192"/>
      <c r="F15" s="2671"/>
      <c r="G15" s="2671"/>
      <c r="H15" s="2672"/>
      <c r="I15" s="2672"/>
      <c r="J15" s="2673"/>
      <c r="K15" s="2673"/>
      <c r="L15" s="2673"/>
      <c r="M15" s="2673"/>
      <c r="N15" s="2673"/>
      <c r="O15" s="2666"/>
      <c r="P15" s="2667"/>
      <c r="Q15" s="2666"/>
      <c r="R15" s="2667"/>
      <c r="S15" s="2666"/>
      <c r="T15" s="2667"/>
      <c r="U15" s="2666"/>
      <c r="V15" s="2667"/>
      <c r="W15" s="2666"/>
      <c r="X15" s="2667"/>
      <c r="Y15" s="2666"/>
      <c r="Z15" s="2667"/>
      <c r="AA15" s="2666"/>
      <c r="AB15" s="2667"/>
      <c r="AC15" s="2663"/>
      <c r="AD15" s="2663"/>
      <c r="AE15" s="2663"/>
      <c r="AF15" s="2663"/>
      <c r="AG15" s="2663"/>
      <c r="AH15" s="2663"/>
      <c r="AI15" s="2663"/>
      <c r="AJ15" s="2663"/>
      <c r="AK15" s="2663"/>
      <c r="AL15" s="2663"/>
      <c r="AM15" s="2663"/>
      <c r="AN15" s="2663"/>
      <c r="AO15" s="2663"/>
      <c r="AP15" s="2663"/>
      <c r="AQ15" s="2663"/>
      <c r="AR15" s="2663"/>
      <c r="AS15" s="2663"/>
      <c r="AT15" s="2663"/>
      <c r="AU15" s="2663"/>
      <c r="AV15" s="2663"/>
      <c r="AW15" s="2663"/>
      <c r="AX15" s="2663"/>
      <c r="AY15" s="2663"/>
      <c r="AZ15" s="2663"/>
      <c r="BA15" s="2663"/>
      <c r="BB15" s="2663"/>
      <c r="BC15" s="2663"/>
      <c r="BD15" s="2663"/>
      <c r="BE15" s="2663"/>
      <c r="BF15" s="2663"/>
      <c r="BG15" s="2663"/>
      <c r="BH15" s="2663"/>
      <c r="BI15" s="2663"/>
      <c r="BJ15" s="2663"/>
      <c r="BK15" s="2663"/>
      <c r="BL15" s="2663"/>
      <c r="BM15" s="2663"/>
      <c r="BN15" s="2663"/>
      <c r="BO15" s="2663"/>
      <c r="BP15" s="2663"/>
      <c r="BQ15" s="2663"/>
      <c r="BR15" s="2663"/>
      <c r="BS15" s="2690"/>
      <c r="BT15" s="2666"/>
      <c r="BU15" s="2667"/>
      <c r="BV15" s="2666"/>
      <c r="BW15" s="2667"/>
      <c r="BX15" s="2666"/>
      <c r="BY15" s="2667"/>
      <c r="BZ15" s="2666"/>
      <c r="CA15" s="2667"/>
      <c r="CB15" s="2666"/>
      <c r="CC15" s="2667"/>
      <c r="CD15" s="2666"/>
      <c r="CE15" s="2667"/>
      <c r="CF15" s="2666"/>
      <c r="CG15" s="2667"/>
      <c r="CH15" s="2666"/>
      <c r="CI15" s="2667"/>
      <c r="CJ15" s="2666"/>
      <c r="CK15" s="2667"/>
      <c r="CL15" s="2668"/>
      <c r="CM15" s="2663"/>
      <c r="CN15" s="2663"/>
      <c r="CO15" s="2663"/>
      <c r="CP15" s="2663"/>
      <c r="CQ15" s="2663"/>
      <c r="CR15" s="2663"/>
      <c r="CS15" s="2663"/>
      <c r="CT15" s="2663"/>
      <c r="CU15" s="2663"/>
      <c r="CV15" s="2663"/>
      <c r="CW15" s="2663"/>
      <c r="CX15" s="2690"/>
      <c r="CY15" s="2666"/>
      <c r="CZ15" s="2667"/>
      <c r="DA15" s="2666"/>
      <c r="DB15" s="2667"/>
      <c r="DC15" s="2666"/>
      <c r="DD15" s="2667"/>
      <c r="DE15" s="2666"/>
      <c r="DF15" s="2667"/>
      <c r="DG15" s="2666"/>
      <c r="DH15" s="2667"/>
      <c r="DI15" s="2666"/>
      <c r="DJ15" s="2667"/>
      <c r="DK15" s="2668"/>
      <c r="DL15" s="2663"/>
      <c r="DM15" s="2663"/>
      <c r="DN15" s="2663"/>
      <c r="DO15" s="2663"/>
      <c r="DP15" s="2663"/>
      <c r="DQ15" s="2663"/>
      <c r="DR15" s="2663"/>
      <c r="DS15" s="2663"/>
      <c r="DT15" s="2663"/>
      <c r="DU15" s="2663"/>
      <c r="DV15" s="2663"/>
      <c r="DW15" s="2663"/>
      <c r="DX15" s="2663"/>
      <c r="DY15" s="2663"/>
      <c r="DZ15" s="2663"/>
      <c r="EA15" s="2663"/>
      <c r="EB15" s="2663"/>
      <c r="EC15" s="2663"/>
      <c r="ED15" s="2663"/>
      <c r="EE15" s="2663"/>
      <c r="EF15" s="2663"/>
      <c r="EG15" s="2663"/>
      <c r="EH15" s="2663"/>
      <c r="EI15" s="2663"/>
      <c r="EJ15" s="2663"/>
      <c r="EK15" s="2663"/>
      <c r="EL15" s="2663"/>
      <c r="EM15" s="2663"/>
      <c r="EN15" s="2663"/>
      <c r="EO15" s="2663"/>
      <c r="EP15" s="2663"/>
      <c r="EQ15" s="2663"/>
      <c r="ER15" s="2663"/>
      <c r="ES15" s="2663"/>
      <c r="ET15" s="2663"/>
      <c r="EU15" s="2663"/>
      <c r="EV15" s="2663"/>
      <c r="EW15" s="2663"/>
      <c r="EX15" s="2663"/>
      <c r="EY15" s="2663"/>
      <c r="EZ15" s="2663"/>
      <c r="FA15" s="2663"/>
      <c r="FB15" s="2663"/>
      <c r="FC15" s="2663"/>
      <c r="FD15" s="2663"/>
      <c r="FE15" s="2663"/>
      <c r="FF15" s="2663"/>
      <c r="FG15" s="2663"/>
      <c r="FH15" s="2663"/>
      <c r="FI15" s="2663"/>
      <c r="FJ15" s="2663"/>
      <c r="FK15" s="2663"/>
      <c r="FL15" s="2663"/>
      <c r="FM15" s="2663"/>
      <c r="FN15" s="2663"/>
      <c r="FO15" s="2663"/>
      <c r="FP15" s="2663"/>
      <c r="FQ15" s="2663"/>
      <c r="FR15" s="2663"/>
      <c r="FS15" s="2663"/>
      <c r="FT15" s="2663"/>
      <c r="FU15" s="2663"/>
      <c r="FV15" s="2663"/>
      <c r="FW15" s="2685"/>
      <c r="FX15" s="1001"/>
    </row>
    <row customHeight="1" ht="12">
      <c r="D16" s="1193"/>
      <c r="E16" s="1192"/>
      <c r="F16" s="2671"/>
      <c r="G16" s="2671"/>
      <c r="H16" s="2672"/>
      <c r="I16" s="2672"/>
      <c r="J16" s="2673"/>
      <c r="K16" s="2673"/>
      <c r="L16" s="2673"/>
      <c r="M16" s="2673"/>
      <c r="N16" s="2673"/>
      <c r="O16" s="2660" t="s">
        <v>1899</v>
      </c>
      <c r="P16" s="2662"/>
      <c r="Q16" s="2660" t="s">
        <v>1901</v>
      </c>
      <c r="R16" s="2662"/>
      <c r="S16" s="2660" t="s">
        <v>1905</v>
      </c>
      <c r="T16" s="2662"/>
      <c r="U16" s="2660" t="s">
        <v>1910</v>
      </c>
      <c r="V16" s="2662"/>
      <c r="W16" s="2660" t="s">
        <v>1913</v>
      </c>
      <c r="X16" s="2662"/>
      <c r="Y16" s="2660" t="s">
        <v>1917</v>
      </c>
      <c r="Z16" s="2662"/>
      <c r="AA16" s="2660" t="s">
        <v>1920</v>
      </c>
      <c r="AB16" s="2662"/>
      <c r="AC16" s="2663"/>
      <c r="AD16" s="2663"/>
      <c r="AE16" s="2663"/>
      <c r="AF16" s="2663"/>
      <c r="AG16" s="2663"/>
      <c r="AH16" s="2663"/>
      <c r="AI16" s="2663"/>
      <c r="AJ16" s="2663"/>
      <c r="AK16" s="2663"/>
      <c r="AL16" s="2663"/>
      <c r="AM16" s="2663"/>
      <c r="AN16" s="2663"/>
      <c r="AO16" s="2663"/>
      <c r="AP16" s="2663"/>
      <c r="AQ16" s="2663"/>
      <c r="AR16" s="2663"/>
      <c r="AS16" s="2663"/>
      <c r="AT16" s="2663"/>
      <c r="AU16" s="2663"/>
      <c r="AV16" s="2663"/>
      <c r="AW16" s="2663"/>
      <c r="AX16" s="2663"/>
      <c r="AY16" s="2663"/>
      <c r="AZ16" s="2663"/>
      <c r="BA16" s="2663"/>
      <c r="BB16" s="2663"/>
      <c r="BC16" s="2663"/>
      <c r="BD16" s="2663"/>
      <c r="BE16" s="2663"/>
      <c r="BF16" s="2663"/>
      <c r="BG16" s="2663"/>
      <c r="BH16" s="2663"/>
      <c r="BI16" s="2663"/>
      <c r="BJ16" s="2663"/>
      <c r="BK16" s="2663"/>
      <c r="BL16" s="2663"/>
      <c r="BM16" s="2663"/>
      <c r="BN16" s="2663"/>
      <c r="BO16" s="2663"/>
      <c r="BP16" s="2663"/>
      <c r="BQ16" s="2663"/>
      <c r="BR16" s="2663"/>
      <c r="BS16" s="2690"/>
      <c r="BT16" s="2660" t="s">
        <v>1674</v>
      </c>
      <c r="BU16" s="2662"/>
      <c r="BV16" s="2660" t="s">
        <v>1674</v>
      </c>
      <c r="BW16" s="2662"/>
      <c r="BX16" s="2660" t="s">
        <v>1674</v>
      </c>
      <c r="BY16" s="2662"/>
      <c r="BZ16" s="2660" t="s">
        <v>1674</v>
      </c>
      <c r="CA16" s="2662"/>
      <c r="CB16" s="2660" t="s">
        <v>2126</v>
      </c>
      <c r="CC16" s="2662"/>
      <c r="CD16" s="2660" t="s">
        <v>1674</v>
      </c>
      <c r="CE16" s="2662"/>
      <c r="CF16" s="2660" t="s">
        <v>2127</v>
      </c>
      <c r="CG16" s="2662"/>
      <c r="CH16" s="2660" t="s">
        <v>2128</v>
      </c>
      <c r="CI16" s="2662"/>
      <c r="CJ16" s="2660" t="s">
        <v>2128</v>
      </c>
      <c r="CK16" s="2662"/>
      <c r="CL16" s="2668"/>
      <c r="CM16" s="2663"/>
      <c r="CN16" s="2663"/>
      <c r="CO16" s="2663"/>
      <c r="CP16" s="2663"/>
      <c r="CQ16" s="2663"/>
      <c r="CR16" s="2663"/>
      <c r="CS16" s="2663"/>
      <c r="CT16" s="2663"/>
      <c r="CU16" s="2663"/>
      <c r="CV16" s="2663"/>
      <c r="CW16" s="2663"/>
      <c r="CX16" s="2690"/>
      <c r="CY16" s="2664" t="s">
        <v>1674</v>
      </c>
      <c r="CZ16" s="2665"/>
      <c r="DA16" s="2664" t="s">
        <v>1674</v>
      </c>
      <c r="DB16" s="2665"/>
      <c r="DC16" s="2664" t="s">
        <v>1674</v>
      </c>
      <c r="DD16" s="2665"/>
      <c r="DE16" s="2660" t="s">
        <v>2126</v>
      </c>
      <c r="DF16" s="2662"/>
      <c r="DG16" s="2660" t="s">
        <v>2129</v>
      </c>
      <c r="DH16" s="2662"/>
      <c r="DI16" s="2660" t="s">
        <v>2129</v>
      </c>
      <c r="DJ16" s="2662"/>
      <c r="DK16" s="2668"/>
      <c r="DL16" s="2663"/>
      <c r="DM16" s="2663"/>
      <c r="DN16" s="2663"/>
      <c r="DO16" s="2663"/>
      <c r="DP16" s="2663"/>
      <c r="DQ16" s="2663"/>
      <c r="DR16" s="2663"/>
      <c r="DS16" s="2663"/>
      <c r="DT16" s="2663"/>
      <c r="DU16" s="2663"/>
      <c r="DV16" s="2663"/>
      <c r="DW16" s="2663"/>
      <c r="DX16" s="2663"/>
      <c r="DY16" s="2663"/>
      <c r="DZ16" s="2663"/>
      <c r="EA16" s="2663"/>
      <c r="EB16" s="2663"/>
      <c r="EC16" s="2663"/>
      <c r="ED16" s="2663"/>
      <c r="EE16" s="2663"/>
      <c r="EF16" s="2663"/>
      <c r="EG16" s="2663"/>
      <c r="EH16" s="2663"/>
      <c r="EI16" s="2663"/>
      <c r="EJ16" s="2663"/>
      <c r="EK16" s="2663"/>
      <c r="EL16" s="2663"/>
      <c r="EM16" s="2663"/>
      <c r="EN16" s="2663"/>
      <c r="EO16" s="2663"/>
      <c r="EP16" s="2663"/>
      <c r="EQ16" s="2663"/>
      <c r="ER16" s="2663"/>
      <c r="ES16" s="2663"/>
      <c r="ET16" s="2663"/>
      <c r="EU16" s="2663"/>
      <c r="EV16" s="2663"/>
      <c r="EW16" s="2663"/>
      <c r="EX16" s="2663"/>
      <c r="EY16" s="2663"/>
      <c r="EZ16" s="2663"/>
      <c r="FA16" s="2663"/>
      <c r="FB16" s="2663"/>
      <c r="FC16" s="2663"/>
      <c r="FD16" s="2663"/>
      <c r="FE16" s="2663"/>
      <c r="FF16" s="2663"/>
      <c r="FG16" s="2663"/>
      <c r="FH16" s="2663"/>
      <c r="FI16" s="2663"/>
      <c r="FJ16" s="2663"/>
      <c r="FK16" s="2663"/>
      <c r="FL16" s="2663"/>
      <c r="FM16" s="2663"/>
      <c r="FN16" s="2663"/>
      <c r="FO16" s="2663"/>
      <c r="FP16" s="2663"/>
      <c r="FQ16" s="2663"/>
      <c r="FR16" s="2663"/>
      <c r="FS16" s="2663"/>
      <c r="FT16" s="2663"/>
      <c r="FU16" s="2663"/>
      <c r="FV16" s="2663"/>
      <c r="FW16" s="2685"/>
      <c r="FX16" s="1001"/>
    </row>
    <row customHeight="1" ht="15">
      <c r="E17" s="1192"/>
      <c r="F17" s="2671"/>
      <c r="G17" s="2671"/>
      <c r="H17" s="2672"/>
      <c r="I17" s="2672"/>
      <c r="J17" s="2673"/>
      <c r="K17" s="2673"/>
      <c r="L17" s="2673"/>
      <c r="M17" s="2673"/>
      <c r="N17" s="2673"/>
      <c r="O17" s="1461" t="s">
        <v>2130</v>
      </c>
      <c r="P17" s="1461" t="s">
        <v>2131</v>
      </c>
      <c r="Q17" s="1461" t="s">
        <v>2130</v>
      </c>
      <c r="R17" s="1461" t="s">
        <v>2131</v>
      </c>
      <c r="S17" s="1461" t="s">
        <v>2130</v>
      </c>
      <c r="T17" s="1461" t="s">
        <v>2131</v>
      </c>
      <c r="U17" s="1461" t="s">
        <v>2130</v>
      </c>
      <c r="V17" s="1461" t="s">
        <v>2131</v>
      </c>
      <c r="W17" s="1461" t="s">
        <v>2130</v>
      </c>
      <c r="X17" s="1461" t="s">
        <v>2131</v>
      </c>
      <c r="Y17" s="1461" t="s">
        <v>2130</v>
      </c>
      <c r="Z17" s="1461" t="s">
        <v>2131</v>
      </c>
      <c r="AA17" s="1461" t="s">
        <v>2130</v>
      </c>
      <c r="AB17" s="1461" t="s">
        <v>2131</v>
      </c>
      <c r="AC17" s="2663"/>
      <c r="AD17" s="2663"/>
      <c r="AE17" s="2663"/>
      <c r="AF17" s="2663"/>
      <c r="AG17" s="2663"/>
      <c r="AH17" s="2663"/>
      <c r="AI17" s="2663"/>
      <c r="AJ17" s="2663"/>
      <c r="AK17" s="2663"/>
      <c r="AL17" s="2663"/>
      <c r="AM17" s="2663"/>
      <c r="AN17" s="2663"/>
      <c r="AO17" s="2663"/>
      <c r="AP17" s="2663"/>
      <c r="AQ17" s="2663"/>
      <c r="AR17" s="2663"/>
      <c r="AS17" s="2663"/>
      <c r="AT17" s="2663"/>
      <c r="AU17" s="2663"/>
      <c r="AV17" s="2663"/>
      <c r="AW17" s="2663"/>
      <c r="AX17" s="2663"/>
      <c r="AY17" s="2663"/>
      <c r="AZ17" s="2663"/>
      <c r="BA17" s="2663"/>
      <c r="BB17" s="2663"/>
      <c r="BC17" s="2663"/>
      <c r="BD17" s="2663"/>
      <c r="BE17" s="2663"/>
      <c r="BF17" s="2663"/>
      <c r="BG17" s="2663"/>
      <c r="BH17" s="2663"/>
      <c r="BI17" s="2663"/>
      <c r="BJ17" s="2663"/>
      <c r="BK17" s="2663"/>
      <c r="BL17" s="2663"/>
      <c r="BM17" s="2663"/>
      <c r="BN17" s="2663"/>
      <c r="BO17" s="2663"/>
      <c r="BP17" s="2663"/>
      <c r="BQ17" s="2663"/>
      <c r="BR17" s="2663"/>
      <c r="BS17" s="2690"/>
      <c r="BT17" s="1461" t="s">
        <v>2130</v>
      </c>
      <c r="BU17" s="1461" t="s">
        <v>2131</v>
      </c>
      <c r="BV17" s="1461" t="s">
        <v>2130</v>
      </c>
      <c r="BW17" s="1461" t="s">
        <v>2131</v>
      </c>
      <c r="BX17" s="1461" t="s">
        <v>2130</v>
      </c>
      <c r="BY17" s="1461" t="s">
        <v>2131</v>
      </c>
      <c r="BZ17" s="1461" t="s">
        <v>2130</v>
      </c>
      <c r="CA17" s="1461" t="s">
        <v>2131</v>
      </c>
      <c r="CB17" s="1461" t="s">
        <v>2130</v>
      </c>
      <c r="CC17" s="1461" t="s">
        <v>2131</v>
      </c>
      <c r="CD17" s="1461" t="s">
        <v>2130</v>
      </c>
      <c r="CE17" s="1461" t="s">
        <v>2131</v>
      </c>
      <c r="CF17" s="1461" t="s">
        <v>2130</v>
      </c>
      <c r="CG17" s="1461" t="s">
        <v>2131</v>
      </c>
      <c r="CH17" s="1461" t="s">
        <v>2130</v>
      </c>
      <c r="CI17" s="1461" t="s">
        <v>2131</v>
      </c>
      <c r="CJ17" s="1461" t="s">
        <v>2130</v>
      </c>
      <c r="CK17" s="1461" t="s">
        <v>2131</v>
      </c>
      <c r="CL17" s="2668"/>
      <c r="CM17" s="2663"/>
      <c r="CN17" s="2663"/>
      <c r="CO17" s="2663"/>
      <c r="CP17" s="2663"/>
      <c r="CQ17" s="2663"/>
      <c r="CR17" s="2663"/>
      <c r="CS17" s="2663"/>
      <c r="CT17" s="2663"/>
      <c r="CU17" s="2663"/>
      <c r="CV17" s="2663"/>
      <c r="CW17" s="2663"/>
      <c r="CX17" s="2690"/>
      <c r="CY17" s="1461" t="s">
        <v>2130</v>
      </c>
      <c r="CZ17" s="1461" t="s">
        <v>2131</v>
      </c>
      <c r="DA17" s="1461" t="s">
        <v>2130</v>
      </c>
      <c r="DB17" s="1461" t="s">
        <v>2131</v>
      </c>
      <c r="DC17" s="1461" t="s">
        <v>2130</v>
      </c>
      <c r="DD17" s="1461" t="s">
        <v>2131</v>
      </c>
      <c r="DE17" s="1461" t="s">
        <v>2130</v>
      </c>
      <c r="DF17" s="1461" t="s">
        <v>2131</v>
      </c>
      <c r="DG17" s="1461" t="s">
        <v>2130</v>
      </c>
      <c r="DH17" s="1461" t="s">
        <v>2131</v>
      </c>
      <c r="DI17" s="1461" t="s">
        <v>2130</v>
      </c>
      <c r="DJ17" s="1461" t="s">
        <v>2131</v>
      </c>
      <c r="DK17" s="2668"/>
      <c r="DL17" s="2663"/>
      <c r="DM17" s="2663"/>
      <c r="DN17" s="2663"/>
      <c r="DO17" s="2663"/>
      <c r="DP17" s="2663"/>
      <c r="DQ17" s="2663"/>
      <c r="DR17" s="2663"/>
      <c r="DS17" s="2663"/>
      <c r="DT17" s="2663"/>
      <c r="DU17" s="2663"/>
      <c r="DV17" s="2663"/>
      <c r="DW17" s="2663"/>
      <c r="DX17" s="2663"/>
      <c r="DY17" s="2663"/>
      <c r="DZ17" s="2663"/>
      <c r="EA17" s="2663"/>
      <c r="EB17" s="2663"/>
      <c r="EC17" s="2663"/>
      <c r="ED17" s="2663"/>
      <c r="EE17" s="2663"/>
      <c r="EF17" s="2663"/>
      <c r="EG17" s="2663"/>
      <c r="EH17" s="2663"/>
      <c r="EI17" s="2663"/>
      <c r="EJ17" s="2663"/>
      <c r="EK17" s="2663"/>
      <c r="EL17" s="2663"/>
      <c r="EM17" s="2663"/>
      <c r="EN17" s="2663"/>
      <c r="EO17" s="2663"/>
      <c r="EP17" s="2663"/>
      <c r="EQ17" s="2663"/>
      <c r="ER17" s="2663"/>
      <c r="ES17" s="2663"/>
      <c r="ET17" s="2663"/>
      <c r="EU17" s="2663"/>
      <c r="EV17" s="2663"/>
      <c r="EW17" s="2663"/>
      <c r="EX17" s="2663"/>
      <c r="EY17" s="2663"/>
      <c r="EZ17" s="2663"/>
      <c r="FA17" s="2663"/>
      <c r="FB17" s="2663"/>
      <c r="FC17" s="2663"/>
      <c r="FD17" s="2663"/>
      <c r="FE17" s="2663"/>
      <c r="FF17" s="2663"/>
      <c r="FG17" s="2663"/>
      <c r="FH17" s="2663"/>
      <c r="FI17" s="2663"/>
      <c r="FJ17" s="2663"/>
      <c r="FK17" s="2663"/>
      <c r="FL17" s="2663"/>
      <c r="FM17" s="2663"/>
      <c r="FN17" s="2663"/>
      <c r="FO17" s="2663"/>
      <c r="FP17" s="2663"/>
      <c r="FQ17" s="2663"/>
      <c r="FR17" s="2663"/>
      <c r="FS17" s="2663"/>
      <c r="FT17" s="2663"/>
      <c r="FU17" s="2663"/>
      <c r="FV17" s="2663"/>
      <c r="FW17" s="2686"/>
      <c r="FX17" s="1001"/>
    </row>
    <row s="11213" customFormat="1" customHeight="1" ht="12" hidden="1">
      <c r="B18" s="1178"/>
      <c r="E18" s="1194"/>
      <c r="F18" s="1462"/>
      <c r="G18" s="1462"/>
      <c r="H18" s="1462"/>
      <c r="I18" s="1462"/>
      <c r="J18" s="1463"/>
      <c r="K18" s="1463"/>
      <c r="L18" s="1463"/>
      <c r="M18" s="1463"/>
      <c r="N18" s="1463"/>
      <c r="O18" s="1462"/>
      <c r="P18" s="1462"/>
      <c r="Q18" s="1462"/>
      <c r="R18" s="1462"/>
      <c r="S18" s="1462"/>
      <c r="T18" s="1462"/>
      <c r="U18" s="1464"/>
      <c r="V18" s="1464"/>
      <c r="W18" s="1464"/>
      <c r="X18" s="1464"/>
      <c r="Y18" s="1464"/>
      <c r="Z18" s="1464"/>
      <c r="AA18" s="1464"/>
      <c r="AB18" s="1462"/>
      <c r="AC18" s="1463"/>
      <c r="AD18" s="1463"/>
      <c r="AE18" s="1463"/>
      <c r="AF18" s="1463"/>
      <c r="AG18" s="1463"/>
      <c r="AH18" s="1463"/>
      <c r="AI18" s="1463"/>
      <c r="AJ18" s="1463"/>
      <c r="AK18" s="1463"/>
      <c r="AL18" s="1463"/>
      <c r="AM18" s="1463"/>
      <c r="AN18" s="1463"/>
      <c r="AO18" s="1463"/>
      <c r="AP18" s="1463"/>
      <c r="AQ18" s="1463"/>
      <c r="AR18" s="1463"/>
      <c r="AS18" s="1463"/>
      <c r="AT18" s="1463"/>
      <c r="AU18" s="1463"/>
      <c r="AV18" s="1463"/>
      <c r="AW18" s="1463"/>
      <c r="AX18" s="1463"/>
      <c r="AY18" s="1463"/>
      <c r="AZ18" s="1463"/>
      <c r="BA18" s="1463"/>
      <c r="BB18" s="1463"/>
      <c r="BC18" s="1463"/>
      <c r="BD18" s="1463"/>
      <c r="BE18" s="1463"/>
      <c r="BF18" s="1463"/>
      <c r="BG18" s="1463"/>
      <c r="BH18" s="1463"/>
      <c r="BI18" s="1463"/>
      <c r="BJ18" s="1463"/>
      <c r="BK18" s="1463"/>
      <c r="BL18" s="1463"/>
      <c r="BM18" s="1463"/>
      <c r="BN18" s="1463"/>
      <c r="BO18" s="1463"/>
      <c r="BP18" s="1463"/>
      <c r="BQ18" s="1463"/>
      <c r="BR18" s="1463"/>
      <c r="BS18" s="1463"/>
      <c r="BT18" s="1465"/>
      <c r="BU18" s="1465"/>
      <c r="BV18" s="1465"/>
      <c r="BW18" s="1465"/>
      <c r="BX18" s="1465"/>
      <c r="BY18" s="1465"/>
      <c r="BZ18" s="1465"/>
      <c r="CA18" s="1465"/>
      <c r="CB18" s="1465"/>
      <c r="CC18" s="1465"/>
      <c r="CD18" s="1465"/>
      <c r="CE18" s="1465"/>
      <c r="CF18" s="1465"/>
      <c r="CG18" s="1465"/>
      <c r="CH18" s="1465"/>
      <c r="CI18" s="1465"/>
      <c r="CJ18" s="1465"/>
      <c r="CK18" s="1465"/>
      <c r="CL18" s="1463"/>
      <c r="CM18" s="1463"/>
      <c r="CN18" s="1463"/>
      <c r="CO18" s="1463"/>
      <c r="CP18" s="1463"/>
      <c r="CQ18" s="1463"/>
      <c r="CR18" s="1463"/>
      <c r="CS18" s="1463"/>
      <c r="CT18" s="1463"/>
      <c r="CU18" s="1463"/>
      <c r="CV18" s="1463"/>
      <c r="CW18" s="1463"/>
      <c r="CX18" s="1463"/>
      <c r="CY18" s="1465"/>
      <c r="CZ18" s="1465"/>
      <c r="DA18" s="1465"/>
      <c r="DB18" s="1465"/>
      <c r="DC18" s="1465"/>
      <c r="DD18" s="1465"/>
      <c r="DE18" s="1465"/>
      <c r="DF18" s="1465"/>
      <c r="DG18" s="1465"/>
      <c r="DH18" s="1465"/>
      <c r="DI18" s="1465"/>
      <c r="DJ18" s="1465"/>
      <c r="DK18" s="1463"/>
      <c r="DL18" s="1463"/>
      <c r="DM18" s="1463"/>
      <c r="DN18" s="1463"/>
      <c r="DO18" s="1463"/>
      <c r="DP18" s="1463"/>
      <c r="DQ18" s="1463"/>
      <c r="DR18" s="1463"/>
      <c r="DS18" s="1463"/>
      <c r="DT18" s="1463"/>
      <c r="DU18" s="1463"/>
      <c r="DV18" s="1463"/>
      <c r="DW18" s="1463"/>
      <c r="DX18" s="1463"/>
      <c r="DY18" s="1463"/>
      <c r="DZ18" s="1463"/>
      <c r="EA18" s="1463"/>
      <c r="EB18" s="1463"/>
      <c r="EC18" s="1463"/>
      <c r="ED18" s="1463"/>
      <c r="EE18" s="1463"/>
      <c r="EF18" s="1463"/>
      <c r="EG18" s="1463"/>
      <c r="EH18" s="1463"/>
      <c r="EI18" s="1463"/>
      <c r="EJ18" s="1463"/>
      <c r="EK18" s="1463"/>
      <c r="EL18" s="1463"/>
      <c r="EM18" s="1463"/>
      <c r="EN18" s="1463"/>
      <c r="EO18" s="1463"/>
      <c r="EP18" s="1463"/>
      <c r="EQ18" s="1463"/>
      <c r="ER18" s="1463"/>
      <c r="ES18" s="1463"/>
      <c r="ET18" s="1463"/>
      <c r="EU18" s="1463"/>
      <c r="EV18" s="1463"/>
      <c r="EW18" s="1463"/>
      <c r="EX18" s="1463"/>
      <c r="EY18" s="1463"/>
      <c r="EZ18" s="1463"/>
      <c r="FA18" s="1463"/>
      <c r="FB18" s="1463"/>
      <c r="FC18" s="1463"/>
      <c r="FD18" s="1463"/>
      <c r="FE18" s="1463"/>
      <c r="FF18" s="1463"/>
      <c r="FG18" s="1463"/>
      <c r="FH18" s="1463"/>
      <c r="FI18" s="1463"/>
      <c r="FJ18" s="1463"/>
      <c r="FK18" s="1463"/>
      <c r="FL18" s="1463"/>
      <c r="FM18" s="1463"/>
      <c r="FN18" s="1463"/>
      <c r="FO18" s="1463"/>
      <c r="FP18" s="1463"/>
      <c r="FQ18" s="1463"/>
      <c r="FR18" s="1463"/>
      <c r="FS18" s="1463"/>
      <c r="FT18" s="1463"/>
      <c r="FU18" s="1463"/>
      <c r="FV18" s="1463"/>
      <c r="FW18" s="1462"/>
      <c r="FX18" s="1466"/>
    </row>
    <row s="11213" customFormat="1" customHeight="1" ht="11.25" hidden="1">
      <c r="B19" s="1178"/>
      <c r="E19" s="1194"/>
      <c r="F19" s="1462"/>
      <c r="G19" s="1462"/>
      <c r="H19" s="1462"/>
      <c r="I19" s="1462"/>
      <c r="J19" s="1462"/>
      <c r="K19" s="1462"/>
      <c r="L19" s="1462"/>
      <c r="M19" s="1462"/>
      <c r="N19" s="1462"/>
      <c r="O19" s="1462"/>
      <c r="P19" s="1462"/>
      <c r="Q19" s="1462"/>
      <c r="R19" s="1462"/>
      <c r="S19" s="1462"/>
      <c r="T19" s="1462"/>
      <c r="U19" s="1464"/>
      <c r="V19" s="1464"/>
      <c r="W19" s="1464"/>
      <c r="X19" s="1464"/>
      <c r="Y19" s="1464"/>
      <c r="Z19" s="1464"/>
      <c r="AA19" s="1464"/>
      <c r="AB19" s="1462"/>
      <c r="AC19" s="1462"/>
      <c r="AD19" s="1462"/>
      <c r="AE19" s="1462"/>
      <c r="AF19" s="1462"/>
      <c r="AG19" s="1462"/>
      <c r="AH19" s="1462"/>
      <c r="AI19" s="1462"/>
      <c r="AJ19" s="1462"/>
      <c r="AK19" s="1462"/>
      <c r="AL19" s="1462"/>
      <c r="AM19" s="1462"/>
      <c r="AN19" s="1462"/>
      <c r="AO19" s="1462"/>
      <c r="AP19" s="1462"/>
      <c r="AQ19" s="1462"/>
      <c r="AR19" s="1462"/>
      <c r="AS19" s="1462"/>
      <c r="AT19" s="1462"/>
      <c r="AU19" s="1462"/>
      <c r="AV19" s="1462"/>
      <c r="AW19" s="1462"/>
      <c r="AX19" s="1462"/>
      <c r="AY19" s="1462"/>
      <c r="AZ19" s="1462"/>
      <c r="BA19" s="1462"/>
      <c r="BB19" s="1462"/>
      <c r="BC19" s="1462"/>
      <c r="BD19" s="1462"/>
      <c r="BE19" s="1462"/>
      <c r="BF19" s="1462"/>
      <c r="BG19" s="1462"/>
      <c r="BH19" s="1462"/>
      <c r="BI19" s="1462"/>
      <c r="BJ19" s="1462"/>
      <c r="BK19" s="1462"/>
      <c r="BL19" s="1462"/>
      <c r="BM19" s="1462"/>
      <c r="BN19" s="1462"/>
      <c r="BO19" s="1462"/>
      <c r="BP19" s="1462"/>
      <c r="BQ19" s="1462"/>
      <c r="BR19" s="1462"/>
      <c r="BS19" s="1462"/>
      <c r="BT19" s="1462"/>
      <c r="BU19" s="1462"/>
      <c r="BV19" s="1462"/>
      <c r="BW19" s="1462"/>
      <c r="BX19" s="1462"/>
      <c r="BY19" s="1462"/>
      <c r="BZ19" s="1462"/>
      <c r="CA19" s="1462"/>
      <c r="CB19" s="1462"/>
      <c r="CC19" s="1462"/>
      <c r="CD19" s="1462"/>
      <c r="CE19" s="1462"/>
      <c r="CF19" s="1462"/>
      <c r="CG19" s="1462"/>
      <c r="CH19" s="1462"/>
      <c r="CI19" s="1462"/>
      <c r="CJ19" s="1462"/>
      <c r="CK19" s="1462"/>
      <c r="CL19" s="1462"/>
      <c r="CM19" s="1462"/>
      <c r="CN19" s="1462"/>
      <c r="CO19" s="1462"/>
      <c r="CP19" s="1462"/>
      <c r="CQ19" s="1462"/>
      <c r="CR19" s="1462"/>
      <c r="CS19" s="1462"/>
      <c r="CT19" s="1462"/>
      <c r="CU19" s="1462"/>
      <c r="CV19" s="1462"/>
      <c r="CW19" s="1462"/>
      <c r="CX19" s="1462"/>
      <c r="CY19" s="1462"/>
      <c r="CZ19" s="1462"/>
      <c r="DA19" s="1462"/>
      <c r="DB19" s="1462"/>
      <c r="DC19" s="1462"/>
      <c r="DD19" s="1462"/>
      <c r="DE19" s="1462"/>
      <c r="DF19" s="1462"/>
      <c r="DG19" s="1462"/>
      <c r="DH19" s="1462"/>
      <c r="DI19" s="1462"/>
      <c r="DJ19" s="1462"/>
      <c r="DK19" s="1462"/>
      <c r="DL19" s="1462"/>
      <c r="DM19" s="1462"/>
      <c r="DN19" s="1462"/>
      <c r="DO19" s="1462"/>
      <c r="DP19" s="1462"/>
      <c r="DQ19" s="1462"/>
      <c r="DR19" s="1462"/>
      <c r="DS19" s="1462"/>
      <c r="DT19" s="1462"/>
      <c r="DU19" s="1462"/>
      <c r="DV19" s="1462"/>
      <c r="DW19" s="1462"/>
      <c r="DX19" s="1462"/>
      <c r="DY19" s="1462"/>
      <c r="DZ19" s="1462"/>
      <c r="EA19" s="1462"/>
      <c r="EB19" s="1462"/>
      <c r="EC19" s="1462"/>
      <c r="ED19" s="1462"/>
      <c r="EE19" s="1462"/>
      <c r="EF19" s="1462"/>
      <c r="EG19" s="1462"/>
      <c r="EH19" s="1462"/>
      <c r="EI19" s="1462"/>
      <c r="EJ19" s="1462"/>
      <c r="EK19" s="1462"/>
      <c r="EL19" s="1462"/>
      <c r="EM19" s="1462"/>
      <c r="EN19" s="1462"/>
      <c r="EO19" s="1462"/>
      <c r="EP19" s="1462"/>
      <c r="EQ19" s="1462"/>
      <c r="ER19" s="1462"/>
      <c r="ES19" s="1462"/>
      <c r="ET19" s="1462"/>
      <c r="EU19" s="1462"/>
      <c r="EV19" s="1462"/>
      <c r="EW19" s="1462"/>
      <c r="EX19" s="1462"/>
      <c r="EY19" s="1462"/>
      <c r="EZ19" s="1462"/>
      <c r="FA19" s="1462"/>
      <c r="FB19" s="1462"/>
      <c r="FC19" s="1462"/>
      <c r="FD19" s="1462"/>
      <c r="FE19" s="1462"/>
      <c r="FF19" s="1462"/>
      <c r="FG19" s="1462"/>
      <c r="FH19" s="1462"/>
      <c r="FI19" s="1462"/>
      <c r="FJ19" s="1462"/>
      <c r="FK19" s="1462"/>
      <c r="FL19" s="1462"/>
      <c r="FM19" s="1462"/>
      <c r="FN19" s="1462"/>
      <c r="FO19" s="1462"/>
      <c r="FP19" s="1462"/>
      <c r="FQ19" s="1462"/>
      <c r="FR19" s="1462"/>
      <c r="FS19" s="1462"/>
      <c r="FT19" s="1462"/>
      <c r="FU19" s="1462"/>
      <c r="FV19" s="1462"/>
      <c r="FW19" s="1462"/>
      <c r="FX19" s="1466"/>
    </row>
    <row s="11213" customFormat="1" customHeight="1" ht="11.25" hidden="1">
      <c r="B20" s="1195"/>
      <c r="D20" s="1179"/>
      <c r="E20" s="1194"/>
      <c r="F20" s="1467" t="s">
        <v>440</v>
      </c>
      <c r="G20" s="1468"/>
      <c r="H20" s="1469"/>
      <c r="I20" s="1469"/>
      <c r="J20" s="1469"/>
      <c r="K20" s="1469"/>
      <c r="L20" s="1469"/>
      <c r="M20" s="1469"/>
      <c r="N20" s="1469"/>
      <c r="O20" s="1468"/>
      <c r="P20" s="1468"/>
      <c r="Q20" s="1468"/>
      <c r="R20" s="1468"/>
      <c r="S20" s="1468"/>
      <c r="T20" s="1468"/>
      <c r="U20" s="1470"/>
      <c r="V20" s="1470"/>
      <c r="W20" s="1470"/>
      <c r="X20" s="1470"/>
      <c r="Y20" s="1470"/>
      <c r="Z20" s="1470"/>
      <c r="AA20" s="1470"/>
      <c r="AB20" s="1468"/>
      <c r="AC20" s="1469"/>
      <c r="AD20" s="1469"/>
      <c r="AE20" s="1469"/>
      <c r="AF20" s="1469"/>
      <c r="AG20" s="1469"/>
      <c r="AH20" s="1469"/>
      <c r="AI20" s="1469"/>
      <c r="AJ20" s="1469"/>
      <c r="AK20" s="1469"/>
      <c r="AL20" s="1469"/>
      <c r="AM20" s="1469"/>
      <c r="AN20" s="1469"/>
      <c r="AO20" s="1469"/>
      <c r="AP20" s="1469"/>
      <c r="AQ20" s="1469"/>
      <c r="AR20" s="1469"/>
      <c r="AS20" s="1469"/>
      <c r="AT20" s="1469"/>
      <c r="AU20" s="1469"/>
      <c r="AV20" s="1469"/>
      <c r="AW20" s="1469"/>
      <c r="AX20" s="1469"/>
      <c r="AY20" s="1469"/>
      <c r="AZ20" s="1469"/>
      <c r="BA20" s="1469"/>
      <c r="BB20" s="1469"/>
      <c r="BC20" s="1469"/>
      <c r="BD20" s="1469"/>
      <c r="BE20" s="1469"/>
      <c r="BF20" s="1469"/>
      <c r="BG20" s="1469"/>
      <c r="BH20" s="1469"/>
      <c r="BI20" s="1469"/>
      <c r="BJ20" s="1469"/>
      <c r="BK20" s="1469"/>
      <c r="BL20" s="1469"/>
      <c r="BM20" s="1469"/>
      <c r="BN20" s="1469"/>
      <c r="BO20" s="1469"/>
      <c r="BP20" s="1469"/>
      <c r="BQ20" s="1469"/>
      <c r="BR20" s="1469"/>
      <c r="BS20" s="1469"/>
      <c r="BT20" s="1469"/>
      <c r="BU20" s="1469"/>
      <c r="BV20" s="1469"/>
      <c r="BW20" s="1469"/>
      <c r="BX20" s="1469"/>
      <c r="BY20" s="1469"/>
      <c r="BZ20" s="1469"/>
      <c r="CA20" s="1469"/>
      <c r="CB20" s="1469"/>
      <c r="CC20" s="1469"/>
      <c r="CD20" s="1469"/>
      <c r="CE20" s="1469"/>
      <c r="CF20" s="1469"/>
      <c r="CG20" s="1469"/>
      <c r="CH20" s="1469"/>
      <c r="CI20" s="1469"/>
      <c r="CJ20" s="1469"/>
      <c r="CK20" s="1469"/>
      <c r="CL20" s="1471"/>
      <c r="CM20" s="1471"/>
      <c r="CN20" s="1471"/>
      <c r="CO20" s="1471"/>
      <c r="CP20" s="1471"/>
      <c r="CQ20" s="1471"/>
      <c r="CR20" s="1471"/>
      <c r="CS20" s="1471"/>
      <c r="CT20" s="1471"/>
      <c r="CU20" s="1471"/>
      <c r="CV20" s="1471"/>
      <c r="CW20" s="1471"/>
      <c r="CX20" s="1471"/>
      <c r="CY20" s="1471"/>
      <c r="CZ20" s="1471"/>
      <c r="DA20" s="1471"/>
      <c r="DB20" s="1471"/>
      <c r="DC20" s="1471"/>
      <c r="DD20" s="1471"/>
      <c r="DE20" s="1471"/>
      <c r="DF20" s="1471"/>
      <c r="DG20" s="1471"/>
      <c r="DH20" s="1471"/>
      <c r="DI20" s="1471"/>
      <c r="DJ20" s="1471"/>
      <c r="DK20" s="1471"/>
      <c r="DL20" s="1471"/>
      <c r="DM20" s="1471"/>
      <c r="DN20" s="1471"/>
      <c r="DO20" s="1471"/>
      <c r="DP20" s="1471"/>
      <c r="DQ20" s="1471"/>
      <c r="DR20" s="1471"/>
      <c r="DS20" s="1471"/>
      <c r="DT20" s="1471"/>
      <c r="DU20" s="1471"/>
      <c r="DV20" s="1471"/>
      <c r="DW20" s="1471"/>
      <c r="DX20" s="1471"/>
      <c r="DY20" s="1471"/>
      <c r="DZ20" s="1471"/>
      <c r="EA20" s="1471"/>
      <c r="EB20" s="1471"/>
      <c r="EC20" s="1471"/>
      <c r="ED20" s="1471"/>
      <c r="EE20" s="1471"/>
      <c r="EF20" s="1471"/>
      <c r="EG20" s="1471"/>
      <c r="EH20" s="1471"/>
      <c r="EI20" s="1471"/>
      <c r="EJ20" s="1471"/>
      <c r="EK20" s="1471"/>
      <c r="EL20" s="1471"/>
      <c r="EM20" s="1471"/>
      <c r="EN20" s="1471"/>
      <c r="EO20" s="1471"/>
      <c r="EP20" s="1471"/>
      <c r="EQ20" s="1471"/>
      <c r="ER20" s="1471"/>
      <c r="ES20" s="1471"/>
      <c r="ET20" s="1471"/>
      <c r="EU20" s="1471"/>
      <c r="EV20" s="1471"/>
      <c r="EW20" s="1471"/>
      <c r="EX20" s="1471"/>
      <c r="EY20" s="1471"/>
      <c r="EZ20" s="1471"/>
      <c r="FA20" s="1471"/>
      <c r="FB20" s="1471"/>
      <c r="FC20" s="1471"/>
      <c r="FD20" s="1471"/>
      <c r="FE20" s="1471"/>
      <c r="FF20" s="1471"/>
      <c r="FG20" s="1471"/>
      <c r="FH20" s="1471"/>
      <c r="FI20" s="1471"/>
      <c r="FJ20" s="1471"/>
      <c r="FK20" s="1471"/>
      <c r="FL20" s="1471"/>
      <c r="FM20" s="1471"/>
      <c r="FN20" s="1471"/>
      <c r="FO20" s="1471"/>
      <c r="FP20" s="1471"/>
      <c r="FQ20" s="1471"/>
      <c r="FR20" s="1471"/>
      <c r="FS20" s="1471"/>
      <c r="FT20" s="1471"/>
      <c r="FU20" s="1471"/>
      <c r="FV20" s="1471"/>
      <c r="FW20" s="1471"/>
      <c r="FX20" s="1472"/>
    </row>
    <row s="11213" customFormat="1" customHeight="1" ht="12">
      <c r="A21" s="1196"/>
      <c r="B21" s="1196"/>
      <c r="C21" s="1196"/>
      <c r="D21" s="1196"/>
      <c r="E21" s="1196"/>
      <c r="F21" s="1194"/>
      <c r="G21" s="1194"/>
      <c r="H21" s="1194"/>
      <c r="I21" s="1194"/>
      <c r="J21" s="1194"/>
      <c r="K21" s="1194"/>
      <c r="L21" s="1194"/>
      <c r="M21" s="1194"/>
      <c r="N21" s="1194"/>
      <c r="O21" s="1194"/>
      <c r="P21" s="1194"/>
      <c r="Q21" s="1194"/>
      <c r="R21" s="1194"/>
      <c r="S21" s="1197"/>
      <c r="T21" s="1197"/>
      <c r="U21" s="1194"/>
      <c r="V21" s="1194"/>
      <c r="W21" s="1194"/>
      <c r="X21" s="1194"/>
      <c r="Y21" s="1194"/>
      <c r="Z21" s="1194"/>
      <c r="AA21" s="1194"/>
      <c r="AB21" s="1194"/>
      <c r="AC21" s="1194"/>
      <c r="AD21" s="1194"/>
      <c r="AE21" s="1194"/>
      <c r="AF21" s="1194"/>
      <c r="AG21" s="1194"/>
      <c r="AH21" s="1194"/>
      <c r="AI21" s="1194"/>
      <c r="AJ21" s="1194"/>
      <c r="AK21" s="1194"/>
      <c r="AL21" s="1194"/>
      <c r="AM21" s="1194"/>
      <c r="AN21" s="1194"/>
      <c r="AO21" s="1194"/>
      <c r="AP21" s="1194"/>
      <c r="AQ21" s="1194"/>
      <c r="AR21" s="1194"/>
      <c r="AS21" s="1194"/>
      <c r="AT21" s="1194"/>
      <c r="AU21" s="1194"/>
      <c r="AV21" s="1194"/>
      <c r="AW21" s="1194"/>
      <c r="AX21" s="1194"/>
      <c r="AY21" s="1194"/>
      <c r="AZ21" s="1194"/>
      <c r="BA21" s="1194"/>
      <c r="BB21" s="1194"/>
      <c r="BC21" s="1194"/>
      <c r="BD21" s="1194"/>
      <c r="BE21" s="1194"/>
      <c r="BF21" s="1194"/>
      <c r="BG21" s="1194"/>
      <c r="BH21" s="1194"/>
      <c r="BI21" s="1194"/>
      <c r="BJ21" s="1194"/>
      <c r="BK21" s="1194"/>
      <c r="BL21" s="1194"/>
      <c r="BM21" s="1194"/>
      <c r="BN21" s="1194"/>
      <c r="BO21" s="1194"/>
      <c r="BP21" s="1194"/>
      <c r="BQ21" s="1194"/>
      <c r="BR21" s="1194"/>
      <c r="BS21" s="1194"/>
      <c r="BT21" s="1194"/>
      <c r="BU21" s="1194"/>
      <c r="BV21" s="1194"/>
      <c r="BW21" s="1194"/>
      <c r="BX21" s="1194"/>
      <c r="BY21" s="1194"/>
      <c r="BZ21" s="1194"/>
      <c r="CA21" s="1194"/>
      <c r="CB21" s="1194"/>
      <c r="CC21" s="1194"/>
      <c r="CD21" s="1194"/>
      <c r="CE21" s="1194"/>
      <c r="CF21" s="1194"/>
      <c r="CG21" s="1194"/>
      <c r="CH21" s="1194"/>
      <c r="CI21" s="1194"/>
      <c r="CJ21" s="1194"/>
      <c r="CK21" s="1194"/>
      <c r="CL21" s="1194"/>
      <c r="CM21" s="1194"/>
      <c r="CN21" s="1194"/>
      <c r="CO21" s="1194"/>
      <c r="CP21" s="1194"/>
      <c r="CQ21" s="1194"/>
      <c r="CR21" s="1194"/>
      <c r="CS21" s="1194"/>
      <c r="CT21" s="1194"/>
      <c r="CU21" s="1194"/>
      <c r="CV21" s="1194"/>
      <c r="CW21" s="1194"/>
      <c r="CX21" s="1194"/>
      <c r="CY21" s="1194"/>
      <c r="CZ21" s="1194"/>
      <c r="DA21" s="1194"/>
      <c r="DB21" s="1194"/>
      <c r="DC21" s="1194"/>
      <c r="DD21" s="1194"/>
      <c r="DE21" s="1194"/>
      <c r="DF21" s="1194"/>
      <c r="DG21" s="1194"/>
      <c r="DH21" s="1194"/>
      <c r="DI21" s="1194"/>
      <c r="DJ21" s="1194"/>
      <c r="DK21" s="1194"/>
      <c r="DL21" s="1194"/>
      <c r="DM21" s="1194"/>
      <c r="DN21" s="1194"/>
      <c r="DO21" s="1194"/>
      <c r="DP21" s="1194"/>
      <c r="DQ21" s="1194"/>
      <c r="DR21" s="1194"/>
      <c r="DS21" s="1194"/>
      <c r="DT21" s="1194"/>
      <c r="DU21" s="1194"/>
      <c r="DV21" s="1194"/>
      <c r="DW21" s="1194"/>
      <c r="DX21" s="1194"/>
      <c r="DY21" s="1194"/>
      <c r="DZ21" s="1194"/>
      <c r="EA21" s="1194"/>
      <c r="EB21" s="1194"/>
      <c r="EC21" s="1194"/>
      <c r="ED21" s="1194"/>
      <c r="EE21" s="1194"/>
      <c r="EF21" s="1194"/>
      <c r="EG21" s="1194"/>
      <c r="EH21" s="1194"/>
      <c r="EI21" s="1194"/>
      <c r="EJ21" s="1194"/>
      <c r="EK21" s="1194"/>
      <c r="EL21" s="1194"/>
      <c r="EM21" s="1194"/>
      <c r="EN21" s="1194"/>
      <c r="EO21" s="1194"/>
      <c r="EP21" s="1194"/>
      <c r="EQ21" s="1194"/>
      <c r="ER21" s="1194"/>
      <c r="ES21" s="1194"/>
      <c r="ET21" s="1194"/>
      <c r="EU21" s="1194"/>
      <c r="EV21" s="1194"/>
      <c r="EW21" s="1194"/>
      <c r="EX21" s="1194"/>
      <c r="EY21" s="1194"/>
      <c r="EZ21" s="1194"/>
      <c r="FA21" s="1194"/>
      <c r="FB21" s="1194"/>
      <c r="FC21" s="1194"/>
      <c r="FD21" s="1194"/>
      <c r="FE21" s="1194"/>
      <c r="FF21" s="1194"/>
      <c r="FG21" s="1194"/>
      <c r="FH21" s="1194"/>
      <c r="FI21" s="1194"/>
      <c r="FJ21" s="1194"/>
      <c r="FK21" s="1194"/>
      <c r="FL21" s="1194"/>
      <c r="FM21" s="1194"/>
      <c r="FN21" s="1194"/>
      <c r="FO21" s="1194"/>
      <c r="FP21" s="1194"/>
      <c r="FQ21" s="1194"/>
      <c r="FR21" s="1194"/>
      <c r="FS21" s="1194"/>
      <c r="FT21" s="1194"/>
      <c r="FU21" s="1194"/>
      <c r="FV21" s="1194"/>
      <c r="FW21" s="1194"/>
      <c r="FX21" s="1196"/>
      <c r="FY21" s="1196"/>
      <c r="FZ21" s="1196"/>
      <c r="GA21" s="1196"/>
      <c r="GB21" s="1196"/>
    </row>
    <row s="11213" customFormat="1" customHeight="1" ht="12">
      <c r="A22" s="1196"/>
      <c r="B22" s="1196"/>
      <c r="C22" s="1196"/>
      <c r="D22" s="1196"/>
      <c r="E22" s="1196"/>
      <c r="FX22" s="1196"/>
      <c r="FY22" s="1196"/>
      <c r="FZ22" s="1196"/>
      <c r="GA22" s="1196"/>
      <c r="GB22" s="1196"/>
    </row>
    <row s="11228" customFormat="1" customHeight="1" ht="12">
      <c r="A23" s="1322"/>
      <c r="B23" s="1322"/>
      <c r="C23" s="1322"/>
      <c r="D23" s="1322"/>
      <c r="E23" s="1322"/>
      <c r="O23" s="1324"/>
      <c r="P23" s="1324"/>
      <c r="Q23" s="1324"/>
      <c r="R23" s="1324"/>
      <c r="S23" s="1324"/>
      <c r="T23" s="1324"/>
      <c r="U23" s="1324"/>
      <c r="V23" s="1324"/>
      <c r="W23" s="1324"/>
      <c r="X23" s="1324"/>
      <c r="Y23" s="1324"/>
      <c r="Z23" s="1324"/>
      <c r="AA23" s="1324"/>
      <c r="AB23" s="1324"/>
      <c r="AC23" s="1324"/>
      <c r="AD23" s="1324"/>
      <c r="AE23" s="1324"/>
      <c r="AF23" s="1324"/>
      <c r="AG23" s="1324"/>
      <c r="AH23" s="1324"/>
      <c r="AI23" s="1324"/>
      <c r="AJ23" s="1324"/>
      <c r="AK23" s="1324"/>
      <c r="AL23" s="1324"/>
      <c r="AM23" s="1324"/>
      <c r="AN23" s="1324"/>
      <c r="AO23" s="1324"/>
      <c r="AP23" s="1324"/>
      <c r="AQ23" s="1324"/>
      <c r="AR23" s="1324"/>
      <c r="AS23" s="1324"/>
      <c r="AT23" s="1324"/>
      <c r="AU23" s="1324"/>
      <c r="AV23" s="1324"/>
      <c r="AW23" s="1324"/>
      <c r="AX23" s="1324"/>
      <c r="AY23" s="1324"/>
      <c r="AZ23" s="1324"/>
      <c r="BA23" s="1324"/>
      <c r="BB23" s="1324"/>
      <c r="BC23" s="1324"/>
      <c r="BD23" s="1324"/>
      <c r="BE23" s="1324"/>
      <c r="BF23" s="1324"/>
      <c r="BG23" s="1324"/>
      <c r="BH23" s="1324"/>
      <c r="BI23" s="1324"/>
      <c r="BJ23" s="1324"/>
      <c r="BK23" s="1324"/>
      <c r="BL23" s="1324"/>
      <c r="BM23" s="1324"/>
      <c r="BN23" s="1324"/>
      <c r="BO23" s="1324"/>
      <c r="BP23" s="1324"/>
      <c r="BQ23" s="1324"/>
      <c r="BR23" s="1324"/>
      <c r="BS23" s="1324"/>
      <c r="BT23" s="1325"/>
      <c r="BU23" s="1325"/>
      <c r="BV23" s="1325"/>
      <c r="BW23" s="1325"/>
      <c r="BX23" s="1325"/>
      <c r="BY23" s="1325"/>
      <c r="BZ23" s="1325"/>
      <c r="CA23" s="1325"/>
      <c r="CB23" s="1325"/>
      <c r="CC23" s="1325"/>
      <c r="CD23" s="1325"/>
      <c r="CE23" s="1325"/>
      <c r="CF23" s="1325"/>
      <c r="CG23" s="1325"/>
      <c r="CH23" s="1325"/>
      <c r="CI23" s="1325"/>
      <c r="CJ23" s="1325"/>
      <c r="CK23" s="1325"/>
      <c r="CL23" s="1325"/>
      <c r="CM23" s="1325"/>
      <c r="CN23" s="1325"/>
      <c r="CO23" s="1325"/>
      <c r="CP23" s="1325"/>
      <c r="CQ23" s="1325"/>
      <c r="CR23" s="1325"/>
      <c r="CS23" s="1325"/>
      <c r="CT23" s="1325"/>
      <c r="CU23" s="1325"/>
      <c r="CV23" s="1325"/>
      <c r="CW23" s="1325"/>
      <c r="CX23" s="1325"/>
      <c r="CY23" s="1325"/>
      <c r="CZ23" s="1325"/>
      <c r="DA23" s="1325"/>
      <c r="DB23" s="1325"/>
      <c r="DC23" s="1325"/>
      <c r="DD23" s="1325"/>
      <c r="DE23" s="1325"/>
      <c r="DF23" s="1325"/>
      <c r="DG23" s="1325"/>
      <c r="DH23" s="1325"/>
      <c r="DI23" s="1325"/>
      <c r="DJ23" s="1325"/>
      <c r="DK23" s="1325"/>
      <c r="DL23" s="1325"/>
      <c r="DM23" s="1325"/>
      <c r="DN23" s="1325"/>
      <c r="DO23" s="1325"/>
      <c r="DP23" s="1325"/>
      <c r="DQ23" s="1325"/>
      <c r="DR23" s="1325"/>
      <c r="DS23" s="1325"/>
      <c r="DT23" s="1325"/>
      <c r="DU23" s="1325"/>
      <c r="DV23" s="1325"/>
      <c r="DW23" s="1325"/>
      <c r="DX23" s="1325"/>
      <c r="FX23" s="1322"/>
      <c r="FY23" s="1322"/>
      <c r="FZ23" s="1322"/>
      <c r="GA23" s="1322"/>
      <c r="GB23" s="1322"/>
    </row>
    <row customHeight="1" ht="12">
      <c r="S24" s="1193"/>
      <c r="T24" s="1193"/>
      <c r="U24" s="1193"/>
      <c r="V24" s="1193"/>
      <c r="W24" s="1193"/>
      <c r="X24" s="1193"/>
      <c r="Y24" s="1193"/>
      <c r="Z24" s="1193"/>
      <c r="AA24" s="1193"/>
      <c r="AB24" s="1193"/>
      <c r="FX24" s="1193"/>
      <c r="FY24" s="1193"/>
      <c r="FZ24" s="1193"/>
      <c r="GA24" s="1193"/>
      <c r="GB24" s="1193"/>
    </row>
  </sheetData>
  <sheetProtection formatColumns="0" formatRows="0" autoFilter="0" sort="0" insertRows="0" insertColumns="1" deleteRows="0" deleteColumns="0"/>
  <mergeCells count="198">
    <mergeCell ref="CJ14:CK15"/>
    <mergeCell ref="CJ16:CK16"/>
    <mergeCell ref="CY13:CZ15"/>
    <mergeCell ref="CY16:CZ16"/>
    <mergeCell ref="DA13:DB15"/>
    <mergeCell ref="DA16:DB16"/>
    <mergeCell ref="CV11:CV17"/>
    <mergeCell ref="CW11:CW17"/>
    <mergeCell ref="CX11:CX17"/>
    <mergeCell ref="CY11:DJ11"/>
    <mergeCell ref="CY12:DD12"/>
    <mergeCell ref="DG12:DJ12"/>
    <mergeCell ref="CP11:CP17"/>
    <mergeCell ref="CQ11:CQ17"/>
    <mergeCell ref="CR11:CR17"/>
    <mergeCell ref="CS11:CS17"/>
    <mergeCell ref="CT11:CT17"/>
    <mergeCell ref="CU11:CU17"/>
    <mergeCell ref="DC13:DD15"/>
    <mergeCell ref="DC16:DD16"/>
    <mergeCell ref="DE12:DF12"/>
    <mergeCell ref="DE13:DF15"/>
    <mergeCell ref="DE16:DF16"/>
    <mergeCell ref="DG14:DH15"/>
    <mergeCell ref="AA14:AB15"/>
    <mergeCell ref="AA16:AB16"/>
    <mergeCell ref="BT13:BU15"/>
    <mergeCell ref="BT16:BU16"/>
    <mergeCell ref="O14:P15"/>
    <mergeCell ref="O16:P16"/>
    <mergeCell ref="Q14:R15"/>
    <mergeCell ref="Q16:R16"/>
    <mergeCell ref="S13:T15"/>
    <mergeCell ref="S16:T16"/>
    <mergeCell ref="U14:V15"/>
    <mergeCell ref="W14:X15"/>
    <mergeCell ref="U16:V16"/>
    <mergeCell ref="W16:X16"/>
    <mergeCell ref="BR11:BR17"/>
    <mergeCell ref="BS11:BS17"/>
    <mergeCell ref="BT11:CK11"/>
    <mergeCell ref="BT12:BW12"/>
    <mergeCell ref="BX12:CA12"/>
    <mergeCell ref="CD12:CK12"/>
    <mergeCell ref="BV16:BW16"/>
    <mergeCell ref="BX13:BY15"/>
    <mergeCell ref="CH14:CI15"/>
    <mergeCell ref="CH16:CI16"/>
    <mergeCell ref="DY8:FV8"/>
    <mergeCell ref="FW8:FW17"/>
    <mergeCell ref="AE11:AE17"/>
    <mergeCell ref="AF11:AF17"/>
    <mergeCell ref="EI11:EI17"/>
    <mergeCell ref="EJ11:EJ17"/>
    <mergeCell ref="EK11:EK17"/>
    <mergeCell ref="EL11:EL17"/>
    <mergeCell ref="CL11:CL17"/>
    <mergeCell ref="CM11:CM17"/>
    <mergeCell ref="CN11:CN17"/>
    <mergeCell ref="CO11:CO17"/>
    <mergeCell ref="AG11:AG17"/>
    <mergeCell ref="AH11:AH17"/>
    <mergeCell ref="AI11:AI17"/>
    <mergeCell ref="AJ11:AJ17"/>
    <mergeCell ref="AK11:AK17"/>
    <mergeCell ref="AL11:AL17"/>
    <mergeCell ref="AY11:AY17"/>
    <mergeCell ref="AZ11:AZ17"/>
    <mergeCell ref="BA11:BA17"/>
    <mergeCell ref="BB11:BB17"/>
    <mergeCell ref="BV13:BW15"/>
    <mergeCell ref="O8:BS8"/>
    <mergeCell ref="BT8:CX8"/>
    <mergeCell ref="CY8:DX8"/>
    <mergeCell ref="L11:L17"/>
    <mergeCell ref="M11:M17"/>
    <mergeCell ref="N11:N17"/>
    <mergeCell ref="O11:AB11"/>
    <mergeCell ref="AC11:AC17"/>
    <mergeCell ref="AD11:AD17"/>
    <mergeCell ref="O12:R12"/>
    <mergeCell ref="S12:AB12"/>
    <mergeCell ref="AM11:AM17"/>
    <mergeCell ref="AN11:AN17"/>
    <mergeCell ref="AO11:AO17"/>
    <mergeCell ref="AP11:AP17"/>
    <mergeCell ref="AQ11:AQ17"/>
    <mergeCell ref="AR11:AR17"/>
    <mergeCell ref="AS11:AS17"/>
    <mergeCell ref="AT11:AT17"/>
    <mergeCell ref="AU11:AU17"/>
    <mergeCell ref="AV11:AV17"/>
    <mergeCell ref="AW11:AW17"/>
    <mergeCell ref="AX11:AX17"/>
    <mergeCell ref="BK11:BK17"/>
    <mergeCell ref="BQ11:BQ17"/>
    <mergeCell ref="F11:F17"/>
    <mergeCell ref="G11:G17"/>
    <mergeCell ref="H11:H17"/>
    <mergeCell ref="I11:I17"/>
    <mergeCell ref="J11:J17"/>
    <mergeCell ref="K11:K17"/>
    <mergeCell ref="BP11:BP17"/>
    <mergeCell ref="BE11:BE17"/>
    <mergeCell ref="BF11:BF17"/>
    <mergeCell ref="BG11:BG17"/>
    <mergeCell ref="BH11:BH17"/>
    <mergeCell ref="BI11:BI17"/>
    <mergeCell ref="BJ11:BJ17"/>
    <mergeCell ref="BC11:BC17"/>
    <mergeCell ref="BD11:BD17"/>
    <mergeCell ref="O13:R13"/>
    <mergeCell ref="U13:X13"/>
    <mergeCell ref="Y13:AB13"/>
    <mergeCell ref="BL11:BL17"/>
    <mergeCell ref="BM11:BM17"/>
    <mergeCell ref="BN11:BN17"/>
    <mergeCell ref="BO11:BO17"/>
    <mergeCell ref="Y14:Z15"/>
    <mergeCell ref="Y16:Z16"/>
    <mergeCell ref="BX16:BY16"/>
    <mergeCell ref="BZ13:CA15"/>
    <mergeCell ref="BZ16:CA16"/>
    <mergeCell ref="CB12:CC12"/>
    <mergeCell ref="CB13:CC15"/>
    <mergeCell ref="CB16:CC16"/>
    <mergeCell ref="CD13:CE15"/>
    <mergeCell ref="CD16:CE16"/>
    <mergeCell ref="CF13:CG15"/>
    <mergeCell ref="CF16:CG16"/>
    <mergeCell ref="DG16:DH16"/>
    <mergeCell ref="DQ11:DQ17"/>
    <mergeCell ref="DR11:DR17"/>
    <mergeCell ref="DS11:DS17"/>
    <mergeCell ref="DT11:DT17"/>
    <mergeCell ref="DI14:DJ15"/>
    <mergeCell ref="DI16:DJ16"/>
    <mergeCell ref="DU11:DU17"/>
    <mergeCell ref="DV11:DV17"/>
    <mergeCell ref="DK11:DK17"/>
    <mergeCell ref="DL11:DL17"/>
    <mergeCell ref="DM11:DM17"/>
    <mergeCell ref="DN11:DN17"/>
    <mergeCell ref="DO11:DO17"/>
    <mergeCell ref="DP11:DP17"/>
    <mergeCell ref="EC11:EC17"/>
    <mergeCell ref="ED11:ED17"/>
    <mergeCell ref="EE11:EE17"/>
    <mergeCell ref="EF11:EF17"/>
    <mergeCell ref="EG11:EG17"/>
    <mergeCell ref="EH11:EH17"/>
    <mergeCell ref="DW11:DW17"/>
    <mergeCell ref="DX11:DX17"/>
    <mergeCell ref="DY11:DY17"/>
    <mergeCell ref="DZ11:DZ17"/>
    <mergeCell ref="EA11:EA17"/>
    <mergeCell ref="EB11:EB17"/>
    <mergeCell ref="FN11:FN17"/>
    <mergeCell ref="FO11:FO17"/>
    <mergeCell ref="FP11:FP17"/>
    <mergeCell ref="FQ11:FQ17"/>
    <mergeCell ref="FR11:FR17"/>
    <mergeCell ref="EV11:EV17"/>
    <mergeCell ref="EW11:EW17"/>
    <mergeCell ref="EX11:EX17"/>
    <mergeCell ref="EM11:EM17"/>
    <mergeCell ref="EN11:EN17"/>
    <mergeCell ref="EO11:EO17"/>
    <mergeCell ref="EP11:EP17"/>
    <mergeCell ref="EQ11:EQ17"/>
    <mergeCell ref="ER11:ER17"/>
    <mergeCell ref="ES11:ES17"/>
    <mergeCell ref="ET11:ET17"/>
    <mergeCell ref="EU11:EU17"/>
    <mergeCell ref="F10:FV10"/>
    <mergeCell ref="F5:BS5"/>
    <mergeCell ref="F6:BS6"/>
    <mergeCell ref="DG13:DJ13"/>
    <mergeCell ref="CH13:CK13"/>
    <mergeCell ref="FE11:FE17"/>
    <mergeCell ref="FF11:FF17"/>
    <mergeCell ref="FG11:FG17"/>
    <mergeCell ref="FH11:FH17"/>
    <mergeCell ref="FI11:FI17"/>
    <mergeCell ref="FJ11:FJ17"/>
    <mergeCell ref="EY11:EY17"/>
    <mergeCell ref="EZ11:EZ17"/>
    <mergeCell ref="FA11:FA17"/>
    <mergeCell ref="FB11:FB17"/>
    <mergeCell ref="FC11:FC17"/>
    <mergeCell ref="FD11:FD17"/>
    <mergeCell ref="FS11:FS17"/>
    <mergeCell ref="FT11:FT17"/>
    <mergeCell ref="FU11:FU17"/>
    <mergeCell ref="FV11:FV17"/>
    <mergeCell ref="FK11:FK17"/>
    <mergeCell ref="FL11:FL17"/>
    <mergeCell ref="FM11:FM17"/>
  </mergeCells>
  <dataValidations count="1">
    <dataValidation allowBlank="1" showInputMessage="1" showErrorMessage="1" sqref="AA14:AB16 U16:Z16"/>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2401289-430B-3706-5465-4EA89145B9F5}" mc:Ignorable="x14ac xr xr2 xr3">
  <sheetPr>
    <tabColor theme="6" tint="0.4"/>
  </sheetPr>
  <dimension ref="A1:AP57"/>
  <sheetViews>
    <sheetView topLeftCell="P23" showGridLines="0" workbookViewId="0">
      <selection activeCell="A1" sqref="A1"/>
    </sheetView>
  </sheetViews>
  <sheetFormatPr defaultColWidth="10.57421875" customHeight="1" defaultRowHeight="14.25"/>
  <cols>
    <col min="1" max="1" style="11074" width="10.57421875" hidden="1"/>
    <col min="2" max="2" style="11074" width="11.00390625" hidden="1" customWidth="1"/>
    <col min="3" max="3" style="11074" width="10.57421875" hidden="1"/>
    <col min="4" max="4" style="11074" width="11.8515625" hidden="1" customWidth="1"/>
    <col min="5" max="5" style="11074" width="10.00390625" hidden="1" customWidth="1"/>
    <col min="6" max="6" style="11074" width="8.7109375" hidden="1" customWidth="1"/>
    <col min="7" max="7" style="11074" width="7.57421875" hidden="1" customWidth="1"/>
    <col min="8" max="8" style="11074" width="11.421875" hidden="1" customWidth="1"/>
    <col min="9" max="9" style="11074" width="14.140625" hidden="1" customWidth="1"/>
    <col min="10" max="10" style="11074" width="9.8515625" hidden="1" customWidth="1"/>
    <col min="11" max="11" style="11074" width="14.7109375" hidden="1" customWidth="1"/>
    <col min="12" max="12" style="11240" width="19.140625" hidden="1" customWidth="1"/>
    <col min="13" max="14" style="9887" width="12.28125" hidden="1" customWidth="1"/>
    <col min="15" max="15" style="9887" width="23.421875" hidden="1" customWidth="1"/>
    <col min="16" max="16" style="11241" width="3.7109375" customWidth="1"/>
    <col min="17" max="18" style="10046" width="3.7109375" customWidth="1"/>
    <col min="19" max="19" style="11124" width="12.7109375" customWidth="1"/>
    <col min="20" max="20" style="11126" width="35.7109375" customWidth="1"/>
    <col min="21" max="21" style="11126" width="0.140625" customWidth="1"/>
    <col min="22" max="24" style="11126" width="24.7109375" hidden="1" customWidth="1"/>
    <col min="25" max="25" style="11126" width="11.7109375" hidden="1" customWidth="1"/>
    <col min="26" max="26" style="11126" width="3.7109375" hidden="1" customWidth="1"/>
    <col min="27" max="27" style="11126" width="11.7109375" hidden="1" customWidth="1"/>
    <col min="28" max="28" style="11126" width="8.57421875" hidden="1" customWidth="1"/>
    <col min="29" max="31" style="11126" width="24.7109375" customWidth="1"/>
    <col min="32" max="32" style="11126" width="11.7109375" customWidth="1"/>
    <col min="33" max="33" style="11126" width="3.7109375" customWidth="1"/>
    <col min="34" max="34" style="11126" width="11.7109375" customWidth="1"/>
    <col min="35" max="35" style="11126" width="8.57421875" hidden="1" customWidth="1"/>
    <col min="36" max="36" style="11126" width="4.7109375" customWidth="1"/>
    <col min="37" max="37" style="11126" width="115.7109375" customWidth="1"/>
    <col min="38" max="39" style="10863" width="10.57421875"/>
    <col min="40" max="40" style="10863" width="11.140625" customWidth="1"/>
    <col min="41" max="42" style="10863" width="10.57421875"/>
  </cols>
  <sheetData>
    <row customHeight="1" ht="14.25" hidden="1">
      <c r="X1" s="548"/>
      <c r="Y1" s="548"/>
      <c r="AE1" s="548"/>
      <c r="AF1" s="548"/>
    </row>
    <row customHeight="1" ht="23.25" hidden="1">
      <c r="A2" s="1659"/>
      <c r="B2" s="1659"/>
      <c r="C2" s="1659"/>
      <c r="D2" s="1659"/>
      <c r="E2" s="2424">
        <v>1</v>
      </c>
      <c r="F2" s="1659"/>
      <c r="G2" s="1659"/>
      <c r="H2" s="1659"/>
      <c r="I2" s="1659"/>
      <c r="J2" s="1659"/>
      <c r="K2" s="1659"/>
      <c r="L2" s="1660"/>
      <c r="M2" s="1661"/>
      <c r="N2" s="1661"/>
      <c r="O2" s="1661"/>
      <c r="P2" s="582"/>
      <c r="Q2" s="581"/>
      <c r="R2" s="576"/>
      <c r="S2" s="1790">
        <f>INDEX(PT_DIFFERENTIATION_NUM_NTAR,MATCH(A2,PT_DIFFERENTIATION_NTAR_ID,0))</f>
      </c>
      <c r="T2" s="508" t="s">
        <v>200</v>
      </c>
      <c r="U2" s="510"/>
      <c r="V2" s="4037"/>
      <c r="W2" s="4038"/>
      <c r="X2" s="4038"/>
      <c r="Y2" s="4038"/>
      <c r="Z2" s="4038"/>
      <c r="AA2" s="4038"/>
      <c r="AB2" s="4039"/>
      <c r="AC2" s="4037">
        <f>INDEX(PT_DIFFERENTIATION_NTAR,MATCH(A2,PT_DIFFERENTIATION_NTAR_ID,0))</f>
      </c>
      <c r="AD2" s="4038"/>
      <c r="AE2" s="4038"/>
      <c r="AF2" s="4038"/>
      <c r="AG2" s="4038"/>
      <c r="AH2" s="4038"/>
      <c r="AI2" s="4038"/>
      <c r="AJ2" s="4039"/>
      <c r="AK2" s="1546"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737"/>
      <c r="AN2" s="737" t="str">
        <f>IF(T2="","",T2)</f>
        <v>Наименование тарифа</v>
      </c>
      <c r="AO2" s="737"/>
      <c r="AP2" s="737"/>
    </row>
    <row customHeight="1" ht="23.25" hidden="1">
      <c r="A3" s="1659"/>
      <c r="B3" s="1659"/>
      <c r="C3" s="1659"/>
      <c r="D3" s="1659"/>
      <c r="E3" s="2425"/>
      <c r="F3" s="2424">
        <v>1</v>
      </c>
      <c r="G3" s="1659"/>
      <c r="H3" s="1659"/>
      <c r="I3" s="1659"/>
      <c r="J3" s="1659"/>
      <c r="K3" s="1659"/>
      <c r="L3" s="1660"/>
      <c r="M3" s="1661"/>
      <c r="N3" s="1661"/>
      <c r="O3" s="1661"/>
      <c r="P3" s="1784"/>
      <c r="Q3" s="573"/>
      <c r="R3" s="574"/>
      <c r="S3" s="1790">
        <f>INDEX(PT_DIFFERENTIATION_NUM_TER,MATCH(B3,PT_DIFFERENTIATION_TER_ID,0))</f>
      </c>
      <c r="T3" s="520" t="s">
        <v>1517</v>
      </c>
      <c r="U3" s="510"/>
      <c r="V3" s="4037"/>
      <c r="W3" s="4038"/>
      <c r="X3" s="4038"/>
      <c r="Y3" s="4038"/>
      <c r="Z3" s="4038"/>
      <c r="AA3" s="4038"/>
      <c r="AB3" s="4039"/>
      <c r="AC3" s="4037">
        <f>INDEX(PT_DIFFERENTIATION_TER,MATCH(B3,PT_DIFFERENTIATION_TER_ID,0))</f>
      </c>
      <c r="AD3" s="4038"/>
      <c r="AE3" s="4038"/>
      <c r="AF3" s="4038"/>
      <c r="AG3" s="4038"/>
      <c r="AH3" s="4038"/>
      <c r="AI3" s="4038"/>
      <c r="AJ3" s="4039"/>
      <c r="AK3" s="1546" t="s">
        <v>1518</v>
      </c>
      <c r="AM3" s="737"/>
      <c r="AN3" s="737" t="str">
        <f>IF(T3="","",T3)</f>
        <v>Территория действия тарифа</v>
      </c>
      <c r="AO3" s="737"/>
      <c r="AP3" s="737"/>
    </row>
    <row customHeight="1" ht="23.25" hidden="1">
      <c r="A4" s="1659"/>
      <c r="B4" s="1659"/>
      <c r="C4" s="1659"/>
      <c r="D4" s="1659"/>
      <c r="E4" s="2425"/>
      <c r="F4" s="2425"/>
      <c r="G4" s="2424">
        <v>1</v>
      </c>
      <c r="H4" s="1659"/>
      <c r="I4" s="1659"/>
      <c r="J4" s="1659"/>
      <c r="K4" s="1659"/>
      <c r="L4" s="1660"/>
      <c r="M4" s="1661"/>
      <c r="N4" s="1661"/>
      <c r="O4" s="1661"/>
      <c r="P4" s="575"/>
      <c r="Q4" s="573"/>
      <c r="R4" s="574"/>
      <c r="S4" s="1790">
        <f>INDEX(PT_DIFFERENTIATION_NUM_CS,MATCH(C4,PT_DIFFERENTIATION_CS_ID,0))</f>
      </c>
      <c r="T4" s="521" t="s">
        <v>2132</v>
      </c>
      <c r="U4" s="510"/>
      <c r="V4" s="4037"/>
      <c r="W4" s="4038"/>
      <c r="X4" s="4038"/>
      <c r="Y4" s="4038"/>
      <c r="Z4" s="4038"/>
      <c r="AA4" s="4038"/>
      <c r="AB4" s="4039"/>
      <c r="AC4" s="4037">
        <f>INDEX(PT_DIFFERENTIATION_CS,MATCH(C4,PT_DIFFERENTIATION_CS_ID,0))</f>
      </c>
      <c r="AD4" s="4038"/>
      <c r="AE4" s="4038"/>
      <c r="AF4" s="4038"/>
      <c r="AG4" s="4038"/>
      <c r="AH4" s="4038"/>
      <c r="AI4" s="4038"/>
      <c r="AJ4" s="4039"/>
      <c r="AK4" s="1546" t="s">
        <v>2133</v>
      </c>
      <c r="AM4" s="737"/>
      <c r="AN4" s="737" t="str">
        <f>IF(T4="","",T4)</f>
        <v>Наименование централизованной системы горячего водоснабжения</v>
      </c>
      <c r="AO4" s="737"/>
      <c r="AP4" s="737"/>
    </row>
    <row customHeight="1" ht="23.25" hidden="1">
      <c r="A5" s="1659"/>
      <c r="B5" s="1659"/>
      <c r="C5" s="1659"/>
      <c r="D5" s="1659"/>
      <c r="E5" s="2425"/>
      <c r="F5" s="2425"/>
      <c r="G5" s="2425"/>
      <c r="H5" s="2425"/>
      <c r="I5" s="2453">
        <f>S4&amp;".1"</f>
      </c>
      <c r="J5" s="1659"/>
      <c r="K5" s="1659"/>
      <c r="L5" s="1660"/>
      <c r="P5" s="2423">
        <v>1</v>
      </c>
      <c r="Q5" s="1778"/>
      <c r="R5" s="577"/>
      <c r="S5" s="1790">
        <f>$I5</f>
      </c>
      <c r="T5" s="495" t="s">
        <v>1734</v>
      </c>
      <c r="U5" s="510"/>
      <c r="V5" s="2574"/>
      <c r="W5" s="2575"/>
      <c r="X5" s="2575"/>
      <c r="Y5" s="2575"/>
      <c r="Z5" s="2575"/>
      <c r="AA5" s="2575"/>
      <c r="AB5" s="2576"/>
      <c r="AC5" s="2577"/>
      <c r="AD5" s="2578"/>
      <c r="AE5" s="2578"/>
      <c r="AF5" s="2578"/>
      <c r="AG5" s="2578"/>
      <c r="AH5" s="2578"/>
      <c r="AI5" s="2578"/>
      <c r="AJ5" s="2579"/>
      <c r="AK5" s="1546" t="s">
        <v>1735</v>
      </c>
      <c r="AM5" s="737"/>
      <c r="AN5" s="737" t="str">
        <f>IF(T5="","",T5)</f>
        <v>Наименование признака дифференциации</v>
      </c>
      <c r="AO5" s="737"/>
      <c r="AP5" s="737"/>
    </row>
    <row customHeight="1" ht="23.25" hidden="1">
      <c r="A6" s="1659"/>
      <c r="B6" s="1659"/>
      <c r="C6" s="1659"/>
      <c r="D6" s="1659"/>
      <c r="E6" s="2425"/>
      <c r="F6" s="2425"/>
      <c r="G6" s="2425"/>
      <c r="H6" s="2425"/>
      <c r="I6" s="2454"/>
      <c r="J6" s="2422">
        <f>I5&amp;".1"</f>
      </c>
      <c r="K6" s="1659"/>
      <c r="L6" s="1660" t="s">
        <v>1526</v>
      </c>
      <c r="P6" s="2423"/>
      <c r="Q6" s="2423">
        <v>1</v>
      </c>
      <c r="R6" s="578"/>
      <c r="S6" s="1790">
        <f>$J6</f>
      </c>
      <c r="T6" s="496" t="s">
        <v>1527</v>
      </c>
      <c r="U6" s="510"/>
      <c r="V6" s="2411"/>
      <c r="W6" s="2412"/>
      <c r="X6" s="2412"/>
      <c r="Y6" s="2412"/>
      <c r="Z6" s="2412"/>
      <c r="AA6" s="2412"/>
      <c r="AB6" s="2413"/>
      <c r="AC6" s="2411"/>
      <c r="AD6" s="2412"/>
      <c r="AE6" s="2412"/>
      <c r="AF6" s="2412"/>
      <c r="AG6" s="2412"/>
      <c r="AH6" s="2412"/>
      <c r="AI6" s="2412"/>
      <c r="AJ6" s="2413"/>
      <c r="AK6" s="1602" t="s">
        <v>1736</v>
      </c>
      <c r="AM6" s="737"/>
      <c r="AN6" s="737" t="str">
        <f>IF(T6="","",T6)</f>
        <v>Группа потребителей</v>
      </c>
      <c r="AO6" s="737"/>
      <c r="AP6" s="737"/>
    </row>
    <row customHeight="1" ht="23.25" hidden="1">
      <c r="A7" s="1659"/>
      <c r="B7" s="1659"/>
      <c r="C7" s="1659"/>
      <c r="D7" s="1659"/>
      <c r="E7" s="2425"/>
      <c r="F7" s="2425"/>
      <c r="G7" s="2425"/>
      <c r="H7" s="2425"/>
      <c r="I7" s="2454"/>
      <c r="J7" s="2455"/>
      <c r="K7" s="2422">
        <f>J6&amp;".1"</f>
      </c>
      <c r="L7" s="1660"/>
      <c r="P7" s="2423"/>
      <c r="Q7" s="2423"/>
      <c r="R7" s="578">
        <v>1</v>
      </c>
      <c r="S7" s="1790">
        <f>$K7</f>
      </c>
      <c r="T7" s="1734"/>
      <c r="U7" s="510"/>
      <c r="V7" s="4065"/>
      <c r="W7" s="4065"/>
      <c r="X7" s="4067"/>
      <c r="Y7" s="2430"/>
      <c r="Z7" s="2142" t="s">
        <v>67</v>
      </c>
      <c r="AA7" s="2430"/>
      <c r="AB7" s="2142" t="s">
        <v>67</v>
      </c>
      <c r="AC7" s="4065"/>
      <c r="AD7" s="4065"/>
      <c r="AE7" s="4067"/>
      <c r="AF7" s="2430"/>
      <c r="AG7" s="2142" t="s">
        <v>67</v>
      </c>
      <c r="AH7" s="2456"/>
      <c r="AI7" s="2142" t="s">
        <v>67</v>
      </c>
      <c r="AJ7" s="4569"/>
      <c r="AK7" s="257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748">
        <f>STRCHECKDATE(V8:AJ8)</f>
      </c>
      <c r="AM7" s="737"/>
      <c r="AN7" s="737" t="str">
        <f>IF(T7="","",T7)</f>
        <v/>
      </c>
      <c r="AO7" s="737"/>
      <c r="AP7" s="737"/>
    </row>
    <row customHeight="1" ht="0.75" hidden="1">
      <c r="A8" s="1659"/>
      <c r="B8" s="1659"/>
      <c r="C8" s="1659"/>
      <c r="D8" s="1659"/>
      <c r="E8" s="2425"/>
      <c r="F8" s="2425"/>
      <c r="G8" s="2425"/>
      <c r="H8" s="2425"/>
      <c r="I8" s="2454"/>
      <c r="J8" s="2455"/>
      <c r="K8" s="2422"/>
      <c r="L8" s="1660"/>
      <c r="P8" s="2423"/>
      <c r="Q8" s="2423"/>
      <c r="R8" s="578"/>
      <c r="S8" s="1787"/>
      <c r="T8" s="510"/>
      <c r="U8" s="510"/>
      <c r="V8" s="4066"/>
      <c r="W8" s="4066"/>
      <c r="X8" s="4071" t="str">
        <f>Y7&amp;"-"&amp;AA7</f>
        <v>-</v>
      </c>
      <c r="Y8" s="2431"/>
      <c r="Z8" s="2142"/>
      <c r="AA8" s="2431"/>
      <c r="AB8" s="2142"/>
      <c r="AC8" s="4066"/>
      <c r="AD8" s="4066"/>
      <c r="AE8" s="4071" t="str">
        <f>AF7&amp;"-"&amp;AH7</f>
        <v>-</v>
      </c>
      <c r="AF8" s="2431"/>
      <c r="AG8" s="2142"/>
      <c r="AH8" s="2457"/>
      <c r="AI8" s="2142"/>
      <c r="AJ8" s="4572"/>
      <c r="AK8" s="2573"/>
      <c r="AM8" s="737"/>
      <c r="AN8" s="737" t="str">
        <f>IF(T8="","",T8)</f>
        <v/>
      </c>
      <c r="AO8" s="737"/>
      <c r="AP8" s="737"/>
    </row>
    <row customHeight="1" ht="21" hidden="1">
      <c r="A9" s="1659"/>
      <c r="B9" s="1659"/>
      <c r="C9" s="1659"/>
      <c r="D9" s="1659"/>
      <c r="E9" s="2425"/>
      <c r="F9" s="2425"/>
      <c r="G9" s="2425"/>
      <c r="H9" s="2425"/>
      <c r="I9" s="2454"/>
      <c r="J9" s="2422"/>
      <c r="K9" s="1659"/>
      <c r="L9" s="1660"/>
      <c r="P9" s="2423"/>
      <c r="Q9" s="2423"/>
      <c r="R9" s="577"/>
      <c r="S9" s="1568"/>
      <c r="T9" s="497" t="s">
        <v>1737</v>
      </c>
      <c r="U9" s="592"/>
      <c r="V9" s="592"/>
      <c r="W9" s="592"/>
      <c r="X9" s="592"/>
      <c r="Y9" s="592"/>
      <c r="Z9" s="592"/>
      <c r="AA9" s="592"/>
      <c r="AB9" s="592"/>
      <c r="AC9" s="592"/>
      <c r="AD9" s="592"/>
      <c r="AE9" s="592"/>
      <c r="AF9" s="592"/>
      <c r="AG9" s="592"/>
      <c r="AH9" s="592"/>
      <c r="AI9" s="592"/>
      <c r="AJ9" s="592"/>
      <c r="AK9" s="1546" t="s">
        <v>1738</v>
      </c>
      <c r="AM9" s="737"/>
      <c r="AN9" s="737" t="str">
        <f>IF(T9="","",T9)</f>
        <v>Добавить значение признака дифференциации</v>
      </c>
      <c r="AO9" s="737"/>
      <c r="AP9" s="737"/>
    </row>
    <row customHeight="1" ht="21" hidden="1">
      <c r="A10" s="1659"/>
      <c r="B10" s="1659"/>
      <c r="C10" s="1659"/>
      <c r="D10" s="1659"/>
      <c r="E10" s="2425"/>
      <c r="F10" s="2425"/>
      <c r="G10" s="2425"/>
      <c r="H10" s="2425"/>
      <c r="I10" s="2453"/>
      <c r="J10" s="1659"/>
      <c r="K10" s="1659"/>
      <c r="L10" s="1660"/>
      <c r="P10" s="2423"/>
      <c r="Q10" s="1778"/>
      <c r="R10" s="577"/>
      <c r="S10" s="1568"/>
      <c r="T10" s="589" t="s">
        <v>1532</v>
      </c>
      <c r="U10" s="592"/>
      <c r="V10" s="592"/>
      <c r="W10" s="592"/>
      <c r="X10" s="592"/>
      <c r="Y10" s="592"/>
      <c r="Z10" s="592"/>
      <c r="AA10" s="592"/>
      <c r="AB10" s="591"/>
      <c r="AC10" s="592"/>
      <c r="AD10" s="592"/>
      <c r="AE10" s="592"/>
      <c r="AF10" s="592"/>
      <c r="AG10" s="592"/>
      <c r="AH10" s="592"/>
      <c r="AI10" s="591"/>
      <c r="AJ10" s="592"/>
      <c r="AK10" s="1737"/>
      <c r="AM10" s="737"/>
      <c r="AN10" s="737" t="str">
        <f>IF(T10="","",T10)</f>
        <v>Добавить группу потребителей</v>
      </c>
      <c r="AO10" s="737"/>
      <c r="AP10" s="737"/>
    </row>
    <row customHeight="1" ht="21" hidden="1">
      <c r="A11" s="1659"/>
      <c r="B11" s="1659"/>
      <c r="C11" s="1659"/>
      <c r="D11" s="1659"/>
      <c r="E11" s="2425"/>
      <c r="F11" s="2425"/>
      <c r="G11" s="2425"/>
      <c r="H11" s="2424"/>
      <c r="I11" s="1659"/>
      <c r="J11" s="1659"/>
      <c r="K11" s="1659"/>
      <c r="L11" s="1660"/>
      <c r="M11" s="1661"/>
      <c r="N11" s="1661"/>
      <c r="O11" s="774"/>
      <c r="P11" s="581"/>
      <c r="Q11" s="601"/>
      <c r="R11" s="576"/>
      <c r="S11" s="1568"/>
      <c r="T11" s="597" t="s">
        <v>1739</v>
      </c>
      <c r="U11" s="592"/>
      <c r="V11" s="592"/>
      <c r="W11" s="592"/>
      <c r="X11" s="592"/>
      <c r="Y11" s="592"/>
      <c r="Z11" s="592"/>
      <c r="AA11" s="592"/>
      <c r="AB11" s="591"/>
      <c r="AC11" s="592"/>
      <c r="AD11" s="592"/>
      <c r="AE11" s="592"/>
      <c r="AF11" s="592"/>
      <c r="AG11" s="592"/>
      <c r="AH11" s="592"/>
      <c r="AI11" s="591"/>
      <c r="AJ11" s="592"/>
      <c r="AK11" s="513"/>
      <c r="AM11" s="737"/>
      <c r="AN11" s="737" t="str">
        <f>IF(T11="","",T11)</f>
        <v>Добавить наименование признака дифференциации</v>
      </c>
      <c r="AO11" s="737"/>
      <c r="AP11" s="737"/>
    </row>
    <row s="10863" customFormat="1" customHeight="1" ht="0.75" hidden="1">
      <c r="A12" s="1638"/>
      <c r="B12" s="1638"/>
      <c r="C12" s="1609"/>
      <c r="D12" s="1609"/>
      <c r="E12" s="2425"/>
      <c r="F12" s="2424"/>
      <c r="G12" s="1609"/>
      <c r="H12" s="1609"/>
      <c r="I12" s="1609"/>
      <c r="J12" s="1609"/>
      <c r="K12" s="1609"/>
      <c r="L12" s="1791"/>
      <c r="M12" s="1616"/>
      <c r="N12" s="1616"/>
      <c r="P12" s="1611"/>
      <c r="Q12" s="1612"/>
      <c r="R12" s="1611"/>
      <c r="S12" s="1617"/>
      <c r="T12" s="1620" t="s">
        <v>1493</v>
      </c>
      <c r="U12" s="1619"/>
      <c r="V12" s="1619"/>
      <c r="W12" s="1619"/>
      <c r="X12" s="1619"/>
      <c r="Y12" s="1619"/>
      <c r="Z12" s="1619"/>
      <c r="AA12" s="1619"/>
      <c r="AB12" s="1619"/>
      <c r="AC12" s="1619"/>
      <c r="AD12" s="1619"/>
      <c r="AE12" s="1619"/>
      <c r="AF12" s="1619"/>
      <c r="AG12" s="1619"/>
      <c r="AH12" s="1619"/>
      <c r="AI12" s="1619"/>
      <c r="AJ12" s="1619"/>
      <c r="AK12" s="1619"/>
      <c r="AM12" s="1029"/>
      <c r="AN12" s="1029" t="str">
        <f>IF(T12="","",T12)</f>
        <v>Добавить централизованную систему для дифференциации</v>
      </c>
      <c r="AO12" s="1029"/>
      <c r="AP12" s="1029"/>
    </row>
    <row s="10863" customFormat="1" customHeight="1" ht="0.75" hidden="1">
      <c r="A13" s="1638"/>
      <c r="B13" s="1638"/>
      <c r="C13" s="1638"/>
      <c r="D13" s="1638"/>
      <c r="E13" s="2424"/>
      <c r="F13" s="1638"/>
      <c r="G13" s="1638"/>
      <c r="H13" s="1638"/>
      <c r="I13" s="1638"/>
      <c r="J13" s="1638"/>
      <c r="K13" s="1638"/>
      <c r="L13" s="1641"/>
      <c r="M13" s="1616"/>
      <c r="N13" s="1616"/>
      <c r="O13" s="755"/>
      <c r="P13" s="610"/>
      <c r="Q13" s="1639"/>
      <c r="R13" s="610"/>
      <c r="S13" s="1617"/>
      <c r="T13" s="1620" t="s">
        <v>1494</v>
      </c>
      <c r="U13" s="1619"/>
      <c r="V13" s="1619"/>
      <c r="W13" s="1619"/>
      <c r="X13" s="1619"/>
      <c r="Y13" s="1619"/>
      <c r="Z13" s="1619"/>
      <c r="AA13" s="1619"/>
      <c r="AB13" s="1619"/>
      <c r="AC13" s="1619"/>
      <c r="AD13" s="1619"/>
      <c r="AE13" s="1619"/>
      <c r="AF13" s="1619"/>
      <c r="AG13" s="1619"/>
      <c r="AH13" s="1619"/>
      <c r="AI13" s="1619"/>
      <c r="AJ13" s="1619"/>
      <c r="AK13" s="1619"/>
      <c r="AM13" s="737"/>
      <c r="AN13" s="737" t="str">
        <f>IF(T13="","",T13)</f>
        <v>Добавить территорию для дифференциации</v>
      </c>
      <c r="AO13" s="737"/>
      <c r="AP13" s="737"/>
    </row>
    <row customHeight="1" ht="14.25" hidden="1">
      <c r="AB14" s="548"/>
      <c r="AI14" s="548"/>
    </row>
    <row customHeight="1" ht="14.25" hidden="1">
      <c r="AC15" s="4098"/>
      <c r="AD15" s="4098"/>
      <c r="AE15" s="4099"/>
      <c r="AF15" s="2432"/>
      <c r="AG15" s="2433" t="s">
        <v>67</v>
      </c>
      <c r="AH15" s="2432"/>
      <c r="AI15" s="2433" t="s">
        <v>67</v>
      </c>
    </row>
    <row customHeight="1" ht="14.25" hidden="1">
      <c r="AC16" s="4098"/>
      <c r="AD16" s="4098"/>
      <c r="AE16" s="4071" t="str">
        <f>AF15&amp;"-"&amp;AH15</f>
        <v>-</v>
      </c>
      <c r="AF16" s="2433"/>
      <c r="AG16" s="2433"/>
      <c r="AH16" s="2433"/>
      <c r="AI16" s="2433"/>
    </row>
    <row customHeight="1" ht="14.25" hidden="1">
      <c r="AI17" s="548"/>
    </row>
    <row s="11074" customFormat="1" customHeight="1" ht="14.25" hidden="1">
      <c r="L18" s="1775"/>
      <c r="M18" s="1658"/>
      <c r="N18" s="1658"/>
      <c r="O18" s="1663" t="s">
        <v>1534</v>
      </c>
      <c r="P18" s="1658"/>
      <c r="Q18" s="1667"/>
      <c r="R18" s="1667"/>
      <c r="S18" s="967"/>
      <c r="Y18" s="1663"/>
      <c r="AA18" s="1663"/>
      <c r="AB18" s="1662"/>
      <c r="AF18" s="1663"/>
      <c r="AH18" s="1663"/>
      <c r="AI18" s="1662"/>
      <c r="AL18" s="748"/>
      <c r="AM18" s="748"/>
      <c r="AN18" s="748"/>
      <c r="AO18" s="748"/>
      <c r="AP18" s="748"/>
    </row>
    <row s="11074" customFormat="1" customHeight="1" ht="14.25" hidden="1">
      <c r="L19" s="1775"/>
      <c r="M19" s="1658"/>
      <c r="N19" s="1658"/>
      <c r="O19" s="1658"/>
      <c r="P19" s="1658"/>
      <c r="Q19" s="1667"/>
      <c r="R19" s="1667"/>
      <c r="S19" s="967"/>
      <c r="AB19" s="1662"/>
      <c r="AI19" s="1662"/>
      <c r="AL19" s="748"/>
      <c r="AM19" s="748"/>
      <c r="AN19" s="748"/>
      <c r="AO19" s="748"/>
      <c r="AP19" s="748"/>
    </row>
    <row s="11074" customFormat="1" customHeight="1" ht="12" hidden="1">
      <c r="L20" s="1775"/>
      <c r="M20" s="1658"/>
      <c r="N20" s="1658"/>
      <c r="O20" s="1660" t="s">
        <v>1535</v>
      </c>
      <c r="P20" s="1658"/>
      <c r="Q20" s="1739"/>
      <c r="R20" s="1739"/>
      <c r="S20" s="967"/>
      <c r="T20" s="1421" t="s">
        <v>1536</v>
      </c>
      <c r="Z20" s="393" t="s">
        <v>1537</v>
      </c>
      <c r="AB20" s="393" t="s">
        <v>1538</v>
      </c>
      <c r="AC20" s="1421" t="s">
        <v>1536</v>
      </c>
      <c r="AG20" s="393" t="s">
        <v>1539</v>
      </c>
      <c r="AI20" s="393" t="s">
        <v>1538</v>
      </c>
    </row>
    <row customHeight="1" ht="14.25" hidden="1">
      <c r="O21" s="1660"/>
    </row>
    <row customHeight="1" ht="14.25" hidden="1">
      <c r="O22" s="1660"/>
    </row>
    <row customHeight="1" ht="14.25">
      <c r="Q23" s="602"/>
      <c r="R23" s="602"/>
      <c r="S23" s="1565"/>
      <c r="T23" s="586"/>
      <c r="U23" s="586"/>
      <c r="V23" s="746"/>
      <c r="W23" s="746"/>
      <c r="X23" s="746"/>
      <c r="Y23" s="746"/>
      <c r="Z23" s="746"/>
      <c r="AA23" s="746"/>
      <c r="AB23" s="746"/>
      <c r="AC23" s="746"/>
      <c r="AD23" s="746"/>
      <c r="AE23" s="746"/>
      <c r="AF23" s="746"/>
      <c r="AG23" s="746"/>
      <c r="AH23" s="746"/>
      <c r="AI23" s="746"/>
    </row>
    <row customHeight="1" ht="32.25">
      <c r="Q24" s="602"/>
      <c r="R24" s="602"/>
      <c r="S24" s="2414" t="str">
        <f>IF(TEMPLATE_GROUP="P",PT_P_FORM_HOTVSNA_4_NAME_FORM,PT_R_FORM_HOTVSNA_16_NAME_FORM)</f>
        <v>Форма 16. Информация о предложении расчетной величины тарифов организации горячего водоснабжения об установлении тарифов в сфере горячего водоснабжения на очередной период регулирования &lt;1&gt;</v>
      </c>
      <c r="T24" s="2414"/>
      <c r="U24" s="2414"/>
      <c r="V24" s="2414"/>
      <c r="W24" s="2414"/>
      <c r="X24" s="2414"/>
      <c r="Y24" s="2414"/>
      <c r="Z24" s="2414"/>
      <c r="AA24" s="2414"/>
      <c r="AB24" s="2414"/>
      <c r="AC24" s="2414"/>
      <c r="AD24" s="2414"/>
      <c r="AE24" s="2414"/>
      <c r="AF24" s="2414"/>
      <c r="AG24" s="2414"/>
      <c r="AH24" s="2414"/>
      <c r="AI24" s="1521"/>
    </row>
    <row customHeight="1" ht="14.25">
      <c r="Q25" s="602"/>
      <c r="R25" s="602"/>
      <c r="S25" s="2415" t="str">
        <f>IF(org=0,"Не определено",org)</f>
        <v>ООО "СамРЭК-Тепло Жигулевск"</v>
      </c>
      <c r="T25" s="2415"/>
      <c r="U25" s="2415"/>
      <c r="V25" s="2415"/>
      <c r="W25" s="2415"/>
      <c r="X25" s="2415"/>
      <c r="Y25" s="2415"/>
      <c r="Z25" s="2415"/>
      <c r="AA25" s="2415"/>
      <c r="AB25" s="2415"/>
      <c r="AC25" s="2415"/>
      <c r="AD25" s="2415"/>
      <c r="AE25" s="2415"/>
      <c r="AF25" s="2415"/>
      <c r="AG25" s="2415"/>
      <c r="AH25" s="2415"/>
      <c r="AI25" s="1521"/>
    </row>
    <row customHeight="1" ht="14.25" hidden="1">
      <c r="Q26" s="602"/>
      <c r="R26" s="602"/>
      <c r="S26" s="1565"/>
      <c r="T26" s="586"/>
      <c r="U26" s="586"/>
      <c r="V26" s="541"/>
      <c r="W26" s="541"/>
      <c r="X26" s="541"/>
      <c r="Y26" s="541"/>
      <c r="Z26" s="541"/>
      <c r="AA26" s="541"/>
      <c r="AB26" s="541"/>
      <c r="AC26" s="541"/>
      <c r="AD26" s="541"/>
      <c r="AE26" s="541"/>
      <c r="AF26" s="541"/>
      <c r="AG26" s="541"/>
      <c r="AH26" s="541"/>
      <c r="AI26" s="541"/>
      <c r="AJ26" s="746"/>
    </row>
    <row s="10859" customFormat="1" customHeight="1" ht="25.5" hidden="1">
      <c r="A27" s="1664"/>
      <c r="B27" s="1664"/>
      <c r="C27" s="1664"/>
      <c r="D27" s="1664"/>
      <c r="E27" s="1664"/>
      <c r="F27" s="1664"/>
      <c r="G27" s="1664"/>
      <c r="H27" s="1664"/>
      <c r="I27" s="1664"/>
      <c r="J27" s="1664"/>
      <c r="K27" s="1664"/>
      <c r="L27" s="1665"/>
      <c r="M27" s="1664"/>
      <c r="N27" s="1664"/>
      <c r="O27" s="1664"/>
      <c r="S27" s="2416" t="s">
        <v>39</v>
      </c>
      <c r="T27" s="2416"/>
      <c r="U27" s="1668"/>
      <c r="V27" s="2417" t="str">
        <f>IF(TITLE_NAME_OR_PR_CHANGE="",IF(TITLE_NAME_OR_PR="","",TITLE_NAME_OR_PR),TITLE_NAME_OR_PR_CHANGE)</f>
        <v/>
      </c>
      <c r="W27" s="2417"/>
      <c r="X27" s="2417"/>
      <c r="Y27" s="2417"/>
      <c r="Z27" s="2417"/>
      <c r="AA27" s="2417"/>
      <c r="AB27" s="547"/>
      <c r="AC27" s="2417" t="str">
        <f>IF(TITLE_NAME_OR_PR_CHANGE="",IF(TITLE_NAME_OR_PR="","",TITLE_NAME_OR_PR),TITLE_NAME_OR_PR_CHANGE)</f>
        <v/>
      </c>
      <c r="AD27" s="2417"/>
      <c r="AE27" s="2417"/>
      <c r="AF27" s="2417"/>
      <c r="AG27" s="2417"/>
      <c r="AH27" s="2417"/>
      <c r="AI27" s="547"/>
      <c r="AJ27" s="547"/>
      <c r="AK27" s="490"/>
      <c r="AL27" s="593"/>
      <c r="AM27" s="593"/>
      <c r="AN27" s="593"/>
      <c r="AO27" s="593"/>
      <c r="AP27" s="593"/>
    </row>
    <row s="10859" customFormat="1" customHeight="1" ht="18.75" hidden="1">
      <c r="A28" s="1664"/>
      <c r="B28" s="1664"/>
      <c r="C28" s="1664"/>
      <c r="D28" s="1664"/>
      <c r="E28" s="1664"/>
      <c r="F28" s="1664"/>
      <c r="G28" s="1664"/>
      <c r="H28" s="1664"/>
      <c r="I28" s="1664"/>
      <c r="J28" s="1664"/>
      <c r="K28" s="1664"/>
      <c r="L28" s="1665"/>
      <c r="M28" s="1664"/>
      <c r="N28" s="1664"/>
      <c r="O28" s="1664"/>
      <c r="S28" s="2416" t="s">
        <v>1540</v>
      </c>
      <c r="T28" s="2416"/>
      <c r="U28" s="1668"/>
      <c r="V28" s="2417" t="str">
        <f>IF(TITLE_DATE_CHANGE_PERIOD="",IF(TITLE_DATE_PR="","",TITLE_DATE_PR),TITLE_DATE_CHANGE_PERIOD)</f>
        <v/>
      </c>
      <c r="W28" s="2417"/>
      <c r="X28" s="2417"/>
      <c r="Y28" s="2417"/>
      <c r="Z28" s="2417"/>
      <c r="AA28" s="2417"/>
      <c r="AB28" s="547"/>
      <c r="AC28" s="2417" t="str">
        <f>IF(TITLE_DATE_CHANGE_PERIOD="",IF(TITLE_DATE_PR="","",TITLE_DATE_PR),TITLE_DATE_CHANGE_PERIOD)</f>
        <v/>
      </c>
      <c r="AD28" s="2417"/>
      <c r="AE28" s="2417"/>
      <c r="AF28" s="2417"/>
      <c r="AG28" s="2417"/>
      <c r="AH28" s="2417"/>
      <c r="AI28" s="547"/>
      <c r="AJ28" s="547"/>
      <c r="AK28" s="490"/>
      <c r="AL28" s="593"/>
      <c r="AM28" s="593"/>
      <c r="AN28" s="593"/>
      <c r="AO28" s="593"/>
      <c r="AP28" s="593"/>
    </row>
    <row s="10859" customFormat="1" customHeight="1" ht="18.75" hidden="1">
      <c r="A29" s="1664"/>
      <c r="B29" s="1664"/>
      <c r="C29" s="1664"/>
      <c r="D29" s="1664"/>
      <c r="E29" s="1664"/>
      <c r="F29" s="1664"/>
      <c r="G29" s="1664"/>
      <c r="H29" s="1664"/>
      <c r="I29" s="1664"/>
      <c r="J29" s="1664"/>
      <c r="K29" s="1664"/>
      <c r="L29" s="1665"/>
      <c r="M29" s="1664"/>
      <c r="N29" s="1664"/>
      <c r="O29" s="1664"/>
      <c r="S29" s="2416" t="s">
        <v>1541</v>
      </c>
      <c r="T29" s="2416"/>
      <c r="U29" s="1668"/>
      <c r="V29" s="2417" t="str">
        <f>IF(TITLE_NUMBER_PR_CHANGE="",IF(TITLE_NUMBER_PR="","",TITLE_NUMBER_PR),TITLE_NUMBER_PR_CHANGE)</f>
        <v/>
      </c>
      <c r="W29" s="2417"/>
      <c r="X29" s="2417"/>
      <c r="Y29" s="2417"/>
      <c r="Z29" s="2417"/>
      <c r="AA29" s="2417"/>
      <c r="AB29" s="547"/>
      <c r="AC29" s="2417" t="str">
        <f>IF(TITLE_NUMBER_PR_CHANGE="",IF(TITLE_NUMBER_PR="","",TITLE_NUMBER_PR),TITLE_NUMBER_PR_CHANGE)</f>
        <v/>
      </c>
      <c r="AD29" s="2417"/>
      <c r="AE29" s="2417"/>
      <c r="AF29" s="2417"/>
      <c r="AG29" s="2417"/>
      <c r="AH29" s="2417"/>
      <c r="AI29" s="547"/>
      <c r="AJ29" s="547"/>
      <c r="AK29" s="490"/>
      <c r="AL29" s="593"/>
      <c r="AM29" s="593"/>
      <c r="AN29" s="593"/>
      <c r="AO29" s="593"/>
      <c r="AP29" s="593"/>
    </row>
    <row s="10859" customFormat="1" customHeight="1" ht="18.75" hidden="1">
      <c r="A30" s="1664"/>
      <c r="B30" s="1664"/>
      <c r="C30" s="1664"/>
      <c r="D30" s="1664"/>
      <c r="E30" s="1664"/>
      <c r="F30" s="1664"/>
      <c r="G30" s="1664"/>
      <c r="H30" s="1664"/>
      <c r="I30" s="1664"/>
      <c r="J30" s="1664"/>
      <c r="K30" s="1664"/>
      <c r="L30" s="1665"/>
      <c r="M30" s="1664"/>
      <c r="N30" s="1664"/>
      <c r="O30" s="1664"/>
      <c r="S30" s="2416" t="s">
        <v>40</v>
      </c>
      <c r="T30" s="2416"/>
      <c r="U30" s="1668"/>
      <c r="V30" s="2417" t="str">
        <f>IF(TITLE_IST_PUB_CHANGE="",IF(TITLE_IST_PUB="","",TITLE_IST_PUB),TITLE_IST_PUB_CHANGE)</f>
        <v/>
      </c>
      <c r="W30" s="2417"/>
      <c r="X30" s="2417"/>
      <c r="Y30" s="2417"/>
      <c r="Z30" s="2417"/>
      <c r="AA30" s="2417"/>
      <c r="AB30" s="547"/>
      <c r="AC30" s="2417" t="str">
        <f>IF(TITLE_IST_PUB_CHANGE="",IF(TITLE_IST_PUB="","",TITLE_IST_PUB),TITLE_IST_PUB_CHANGE)</f>
        <v/>
      </c>
      <c r="AD30" s="2417"/>
      <c r="AE30" s="2417"/>
      <c r="AF30" s="2417"/>
      <c r="AG30" s="2417"/>
      <c r="AH30" s="2417"/>
      <c r="AI30" s="547"/>
      <c r="AJ30" s="547"/>
      <c r="AK30" s="490"/>
      <c r="AL30" s="593"/>
      <c r="AM30" s="593"/>
      <c r="AN30" s="593"/>
      <c r="AO30" s="593"/>
      <c r="AP30" s="593"/>
    </row>
    <row customHeight="1" ht="14.25" hidden="1">
      <c r="Q31" s="602"/>
      <c r="R31" s="602"/>
      <c r="S31" s="1565"/>
      <c r="T31" s="586"/>
      <c r="U31" s="586"/>
      <c r="V31" s="541"/>
      <c r="W31" s="541"/>
      <c r="X31" s="541"/>
      <c r="Y31" s="541"/>
      <c r="Z31" s="541"/>
      <c r="AA31" s="541"/>
      <c r="AB31" s="541"/>
      <c r="AC31" s="541"/>
      <c r="AD31" s="541"/>
      <c r="AE31" s="541"/>
      <c r="AF31" s="541"/>
      <c r="AG31" s="541"/>
      <c r="AH31" s="541"/>
      <c r="AI31" s="541"/>
      <c r="AJ31" s="746"/>
    </row>
    <row s="10859" customFormat="1" customHeight="1" ht="18.75" hidden="1">
      <c r="A32" s="1664"/>
      <c r="B32" s="1664"/>
      <c r="C32" s="1664"/>
      <c r="D32" s="1664"/>
      <c r="E32" s="1664"/>
      <c r="F32" s="1664"/>
      <c r="G32" s="1664"/>
      <c r="H32" s="1664"/>
      <c r="I32" s="1664"/>
      <c r="J32" s="1664"/>
      <c r="K32" s="1664"/>
      <c r="L32" s="1665"/>
      <c r="M32" s="1664"/>
      <c r="N32" s="1664"/>
      <c r="O32" s="1664"/>
      <c r="S32" s="2416" t="s">
        <v>1542</v>
      </c>
      <c r="T32" s="2416"/>
      <c r="U32" s="1668"/>
      <c r="V32" s="2417" t="str">
        <f>IF(TITLE_DATE_CHANGE_PERIOD="",IF(TITLE_DATE_PR="","",TITLE_DATE_PR),TITLE_DATE_CHANGE_PERIOD)</f>
        <v/>
      </c>
      <c r="W32" s="2417"/>
      <c r="X32" s="2417"/>
      <c r="Y32" s="2417"/>
      <c r="Z32" s="2417"/>
      <c r="AA32" s="2417"/>
      <c r="AB32" s="547"/>
      <c r="AC32" s="2417" t="str">
        <f>IF(TITLE_DATE_CHANGE_PERIOD="",IF(TITLE_DATE_PR="","",TITLE_DATE_PR),TITLE_DATE_CHANGE_PERIOD)</f>
        <v/>
      </c>
      <c r="AD32" s="2417"/>
      <c r="AE32" s="2417"/>
      <c r="AF32" s="2417"/>
      <c r="AG32" s="2417"/>
      <c r="AH32" s="2417"/>
      <c r="AI32" s="547"/>
      <c r="AJ32" s="547"/>
      <c r="AK32" s="490"/>
      <c r="AL32" s="593"/>
      <c r="AM32" s="593"/>
      <c r="AN32" s="593"/>
      <c r="AO32" s="593"/>
      <c r="AP32" s="593"/>
    </row>
    <row s="10859" customFormat="1" customHeight="1" ht="18.75" hidden="1">
      <c r="A33" s="1664"/>
      <c r="B33" s="1664"/>
      <c r="C33" s="1664"/>
      <c r="D33" s="1664"/>
      <c r="E33" s="1664"/>
      <c r="F33" s="1664"/>
      <c r="G33" s="1664"/>
      <c r="H33" s="1664"/>
      <c r="I33" s="1664"/>
      <c r="J33" s="1664"/>
      <c r="K33" s="1664"/>
      <c r="L33" s="1665"/>
      <c r="M33" s="1664"/>
      <c r="N33" s="1664"/>
      <c r="O33" s="1664"/>
      <c r="S33" s="2416" t="s">
        <v>1543</v>
      </c>
      <c r="T33" s="2416"/>
      <c r="U33" s="1668"/>
      <c r="V33" s="2417" t="str">
        <f>IF(TITLE_NUMBER_PR_CHANGE="",IF(TITLE_NUMBER_PR="","",TITLE_NUMBER_PR),TITLE_NUMBER_PR_CHANGE)</f>
        <v/>
      </c>
      <c r="W33" s="2417"/>
      <c r="X33" s="2417"/>
      <c r="Y33" s="2417"/>
      <c r="Z33" s="2417"/>
      <c r="AA33" s="2417"/>
      <c r="AB33" s="547"/>
      <c r="AC33" s="2417" t="str">
        <f>IF(TITLE_NUMBER_PR_CHANGE="",IF(TITLE_NUMBER_PR="","",TITLE_NUMBER_PR),TITLE_NUMBER_PR_CHANGE)</f>
        <v/>
      </c>
      <c r="AD33" s="2417"/>
      <c r="AE33" s="2417"/>
      <c r="AF33" s="2417"/>
      <c r="AG33" s="2417"/>
      <c r="AH33" s="2417"/>
      <c r="AI33" s="547"/>
      <c r="AJ33" s="547"/>
      <c r="AK33" s="490"/>
      <c r="AL33" s="593"/>
      <c r="AM33" s="593"/>
      <c r="AN33" s="593"/>
      <c r="AO33" s="593"/>
      <c r="AP33" s="593"/>
    </row>
    <row s="10859" customFormat="1" customHeight="1" ht="0.75">
      <c r="A34" s="1664"/>
      <c r="B34" s="1664"/>
      <c r="C34" s="1664"/>
      <c r="D34" s="1664"/>
      <c r="E34" s="1664"/>
      <c r="F34" s="1664"/>
      <c r="G34" s="1664"/>
      <c r="H34" s="1664"/>
      <c r="I34" s="1664"/>
      <c r="J34" s="1664"/>
      <c r="K34" s="1664"/>
      <c r="L34" s="1665"/>
      <c r="M34" s="1664"/>
      <c r="N34" s="1664"/>
      <c r="O34" s="1664"/>
      <c r="S34" s="543"/>
      <c r="T34" s="543"/>
      <c r="U34" s="1785"/>
      <c r="V34" s="547"/>
      <c r="W34" s="547"/>
      <c r="X34" s="547"/>
      <c r="Y34" s="547"/>
      <c r="Z34" s="547"/>
      <c r="AA34" s="547"/>
      <c r="AB34" s="488" t="s">
        <v>1544</v>
      </c>
      <c r="AC34" s="547"/>
      <c r="AD34" s="547"/>
      <c r="AE34" s="547"/>
      <c r="AF34" s="547"/>
      <c r="AG34" s="547"/>
      <c r="AH34" s="547"/>
      <c r="AI34" s="488" t="s">
        <v>1544</v>
      </c>
      <c r="AL34" s="593"/>
      <c r="AM34" s="593"/>
      <c r="AN34" s="593"/>
      <c r="AO34" s="593"/>
      <c r="AP34" s="593"/>
    </row>
    <row customHeight="1" ht="14.25">
      <c r="Q35" s="602"/>
      <c r="R35" s="602"/>
      <c r="S35" s="1565"/>
      <c r="T35" s="586"/>
      <c r="U35" s="1522"/>
      <c r="V35" s="2418"/>
      <c r="W35" s="2418"/>
      <c r="X35" s="2418"/>
      <c r="Y35" s="2418"/>
      <c r="Z35" s="2418"/>
      <c r="AA35" s="2418"/>
      <c r="AB35" s="2418"/>
      <c r="AC35" s="2418"/>
      <c r="AD35" s="2418"/>
      <c r="AE35" s="2418"/>
      <c r="AF35" s="2418"/>
      <c r="AG35" s="2418"/>
      <c r="AH35" s="2418"/>
      <c r="AI35" s="2418"/>
    </row>
    <row customHeight="1" ht="14.25">
      <c r="Q36" s="602"/>
      <c r="R36" s="602"/>
      <c r="S36" s="2277" t="s">
        <v>362</v>
      </c>
      <c r="T36" s="2277"/>
      <c r="U36" s="2277"/>
      <c r="V36" s="2277"/>
      <c r="W36" s="2277"/>
      <c r="X36" s="2277"/>
      <c r="Y36" s="2277"/>
      <c r="Z36" s="2277"/>
      <c r="AA36" s="2277"/>
      <c r="AB36" s="2277"/>
      <c r="AC36" s="2277"/>
      <c r="AD36" s="2277"/>
      <c r="AE36" s="2277"/>
      <c r="AF36" s="2277"/>
      <c r="AG36" s="2277"/>
      <c r="AH36" s="2277"/>
      <c r="AI36" s="2277"/>
      <c r="AJ36" s="2277"/>
      <c r="AK36" s="2277" t="s">
        <v>363</v>
      </c>
    </row>
    <row customHeight="1" ht="14.25">
      <c r="Q37" s="602"/>
      <c r="R37" s="602"/>
      <c r="S37" s="2440" t="s">
        <v>88</v>
      </c>
      <c r="T37" s="2301" t="s">
        <v>1545</v>
      </c>
      <c r="U37" s="511"/>
      <c r="V37" s="2441" t="s">
        <v>1546</v>
      </c>
      <c r="W37" s="2442"/>
      <c r="X37" s="2442"/>
      <c r="Y37" s="2442"/>
      <c r="Z37" s="2442"/>
      <c r="AA37" s="2443"/>
      <c r="AB37" s="2444" t="s">
        <v>1547</v>
      </c>
      <c r="AC37" s="2441" t="s">
        <v>1546</v>
      </c>
      <c r="AD37" s="2442"/>
      <c r="AE37" s="2442"/>
      <c r="AF37" s="2442"/>
      <c r="AG37" s="2442"/>
      <c r="AH37" s="2443"/>
      <c r="AI37" s="2444" t="s">
        <v>1548</v>
      </c>
      <c r="AJ37" s="2447" t="s">
        <v>1549</v>
      </c>
      <c r="AK37" s="2277"/>
    </row>
    <row customHeight="1" ht="33.75">
      <c r="Q38" s="602"/>
      <c r="R38" s="602"/>
      <c r="S38" s="2440"/>
      <c r="T38" s="2301"/>
      <c r="U38" s="1289"/>
      <c r="V38" s="1780" t="s">
        <v>2134</v>
      </c>
      <c r="W38" s="2428" t="s">
        <v>2135</v>
      </c>
      <c r="X38" s="2429"/>
      <c r="Y38" s="2434" t="s">
        <v>1553</v>
      </c>
      <c r="Z38" s="2435"/>
      <c r="AA38" s="2436"/>
      <c r="AB38" s="2445"/>
      <c r="AC38" s="1780" t="s">
        <v>2134</v>
      </c>
      <c r="AD38" s="2428" t="s">
        <v>2135</v>
      </c>
      <c r="AE38" s="2429"/>
      <c r="AF38" s="2434" t="s">
        <v>1553</v>
      </c>
      <c r="AG38" s="2435"/>
      <c r="AH38" s="2436"/>
      <c r="AI38" s="2445"/>
      <c r="AJ38" s="2448"/>
      <c r="AK38" s="2277"/>
    </row>
    <row customHeight="1" ht="86.25">
      <c r="A39" s="1666"/>
      <c r="B39" s="1666" t="s">
        <v>212</v>
      </c>
      <c r="C39" s="1666" t="s">
        <v>213</v>
      </c>
      <c r="D39" s="1666" t="s">
        <v>214</v>
      </c>
      <c r="E39" s="1660" t="s">
        <v>1554</v>
      </c>
      <c r="F39" s="1660" t="s">
        <v>1555</v>
      </c>
      <c r="G39" s="1660" t="s">
        <v>1556</v>
      </c>
      <c r="H39" s="1660"/>
      <c r="I39" s="1660" t="s">
        <v>1741</v>
      </c>
      <c r="J39" s="1660" t="s">
        <v>1559</v>
      </c>
      <c r="K39" s="1660" t="s">
        <v>1742</v>
      </c>
      <c r="L39" s="1660" t="s">
        <v>1535</v>
      </c>
      <c r="Q39" s="602"/>
      <c r="R39" s="602"/>
      <c r="S39" s="2440"/>
      <c r="T39" s="2301"/>
      <c r="U39" s="512"/>
      <c r="V39" s="1780" t="s">
        <v>2136</v>
      </c>
      <c r="W39" s="1497" t="s">
        <v>2137</v>
      </c>
      <c r="X39" s="1497" t="s">
        <v>2138</v>
      </c>
      <c r="Y39" s="1786" t="s">
        <v>1563</v>
      </c>
      <c r="Z39" s="2437" t="s">
        <v>1564</v>
      </c>
      <c r="AA39" s="2438"/>
      <c r="AB39" s="2446"/>
      <c r="AC39" s="1780" t="s">
        <v>2136</v>
      </c>
      <c r="AD39" s="1497" t="s">
        <v>2137</v>
      </c>
      <c r="AE39" s="1497" t="s">
        <v>2138</v>
      </c>
      <c r="AF39" s="1786" t="s">
        <v>1563</v>
      </c>
      <c r="AG39" s="2437" t="s">
        <v>1564</v>
      </c>
      <c r="AH39" s="2438"/>
      <c r="AI39" s="2446"/>
      <c r="AJ39" s="2449"/>
      <c r="AK39" s="2277"/>
    </row>
    <row s="10822" customFormat="1" customHeight="1" ht="11.25" hidden="1">
      <c r="A40" s="1666"/>
      <c r="B40" s="1666"/>
      <c r="C40" s="1666"/>
      <c r="D40" s="1666"/>
      <c r="E40" s="1666"/>
      <c r="F40" s="1666"/>
      <c r="G40" s="1666"/>
      <c r="H40" s="1666"/>
      <c r="I40" s="1666"/>
      <c r="J40" s="1666"/>
      <c r="K40" s="1666"/>
      <c r="L40" s="1660"/>
      <c r="M40" s="1658"/>
      <c r="N40" s="1658"/>
      <c r="O40" s="1658"/>
      <c r="P40" s="1524"/>
      <c r="Q40" s="1525"/>
      <c r="R40" s="1540">
        <v>1</v>
      </c>
      <c r="S40" s="1567" t="s">
        <v>109</v>
      </c>
      <c r="T40" s="1541" t="s">
        <v>110</v>
      </c>
      <c r="U40" s="1523" t="str">
        <f>OFFSET(U40,0,-1)</f>
        <v>2</v>
      </c>
      <c r="V40" s="1779">
        <f>OFFSET(V40,0,-1)+1</f>
        <v>3</v>
      </c>
      <c r="W40" s="1779">
        <f>OFFSET(W40,0,-1)+1</f>
        <v>4</v>
      </c>
      <c r="X40" s="1779">
        <f>OFFSET(X40,0,-1)+1</f>
        <v>5</v>
      </c>
      <c r="Y40" s="1779">
        <f>OFFSET(Y40,0,-1)+1</f>
        <v>6</v>
      </c>
      <c r="Z40" s="2439">
        <f>OFFSET(Z40,0,-1)+1</f>
        <v>7</v>
      </c>
      <c r="AA40" s="2439"/>
      <c r="AB40" s="1779">
        <f>OFFSET(AB40,0,-2)+1</f>
        <v>8</v>
      </c>
      <c r="AC40" s="1779">
        <f>OFFSET(AC40,0,-1)+1</f>
        <v>9</v>
      </c>
      <c r="AD40" s="1779">
        <f>OFFSET(AD40,0,-1)+1</f>
        <v>10</v>
      </c>
      <c r="AE40" s="1779">
        <f>OFFSET(AE40,0,-1)+1</f>
        <v>11</v>
      </c>
      <c r="AF40" s="1779">
        <f>OFFSET(AF40,0,-1)+1</f>
        <v>12</v>
      </c>
      <c r="AG40" s="2439">
        <f>OFFSET(AG40,0,-1)+1</f>
        <v>13</v>
      </c>
      <c r="AH40" s="2439"/>
      <c r="AI40" s="1779">
        <f>OFFSET(AI40,0,-2)+1</f>
        <v>14</v>
      </c>
      <c r="AJ40" s="1523">
        <f>OFFSET(AJ40,0,-1)</f>
        <v>14</v>
      </c>
      <c r="AK40" s="1779">
        <f>OFFSET(AK40,0,-1)+1</f>
        <v>15</v>
      </c>
      <c r="AL40" s="748"/>
      <c r="AM40" s="748"/>
      <c r="AN40" s="748"/>
      <c r="AO40" s="748"/>
      <c r="AP40" s="748"/>
    </row>
    <row customHeight="1" ht="23.25">
      <c r="A41" s="1659" t="s">
        <v>313</v>
      </c>
      <c r="B41" s="1659"/>
      <c r="C41" s="1659"/>
      <c r="D41" s="1659"/>
      <c r="E41" s="2424">
        <v>1</v>
      </c>
      <c r="F41" s="1659"/>
      <c r="G41" s="1659"/>
      <c r="H41" s="1659"/>
      <c r="I41" s="1659"/>
      <c r="J41" s="1659"/>
      <c r="K41" s="1659"/>
      <c r="L41" s="1660"/>
      <c r="M41" s="1661"/>
      <c r="N41" s="1661"/>
      <c r="O41" s="1661"/>
      <c r="P41" s="582"/>
      <c r="Q41" s="581"/>
      <c r="R41" s="576"/>
      <c r="S41" s="1790">
        <f>INDEX(PT_DIFFERENTIATION_NUM_NTAR,MATCH(A41,PT_DIFFERENTIATION_NTAR_ID,0))</f>
        <v>0</v>
      </c>
      <c r="T41" s="508" t="s">
        <v>200</v>
      </c>
      <c r="U41" s="510"/>
      <c r="V41" s="4037"/>
      <c r="W41" s="4038"/>
      <c r="X41" s="4038"/>
      <c r="Y41" s="4038"/>
      <c r="Z41" s="4038"/>
      <c r="AA41" s="4038"/>
      <c r="AB41" s="4039"/>
      <c r="AC41" s="4037" t="str">
        <f>INDEX(PT_DIFFERENTIATION_NTAR,MATCH(A41,PT_DIFFERENTIATION_NTAR_ID,0))</f>
        <v/>
      </c>
      <c r="AD41" s="4038"/>
      <c r="AE41" s="4038"/>
      <c r="AF41" s="4038"/>
      <c r="AG41" s="4038"/>
      <c r="AH41" s="4038"/>
      <c r="AI41" s="4038"/>
      <c r="AJ41" s="4039"/>
      <c r="AK41" s="1546"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737"/>
      <c r="AN41" s="737" t="str">
        <f>IF(T41="","",T41)</f>
        <v>Наименование тарифа</v>
      </c>
      <c r="AO41" s="737"/>
      <c r="AP41" s="737"/>
    </row>
    <row customHeight="1" ht="23.25">
      <c r="A42" s="1659" t="s">
        <v>313</v>
      </c>
      <c r="B42" s="1659" t="s">
        <v>314</v>
      </c>
      <c r="C42" s="1659"/>
      <c r="D42" s="1659"/>
      <c r="E42" s="2425"/>
      <c r="F42" s="2424">
        <v>1</v>
      </c>
      <c r="G42" s="1659"/>
      <c r="H42" s="1659"/>
      <c r="I42" s="1659"/>
      <c r="J42" s="1659"/>
      <c r="K42" s="1659"/>
      <c r="L42" s="1660"/>
      <c r="M42" s="1661"/>
      <c r="N42" s="1661"/>
      <c r="O42" s="1661"/>
      <c r="P42" s="1784"/>
      <c r="Q42" s="573"/>
      <c r="R42" s="574"/>
      <c r="S42" s="1790" t="str">
        <f>INDEX(PT_DIFFERENTIATION_NUM_TER,MATCH(B42,PT_DIFFERENTIATION_TER_ID,0))</f>
        <v>.</v>
      </c>
      <c r="T42" s="520" t="s">
        <v>1517</v>
      </c>
      <c r="U42" s="510"/>
      <c r="V42" s="4037"/>
      <c r="W42" s="4038"/>
      <c r="X42" s="4038"/>
      <c r="Y42" s="4038"/>
      <c r="Z42" s="4038"/>
      <c r="AA42" s="4038"/>
      <c r="AB42" s="4039"/>
      <c r="AC42" s="4037" t="str">
        <f>INDEX(PT_DIFFERENTIATION_TER,MATCH(B42,PT_DIFFERENTIATION_TER_ID,0))</f>
        <v/>
      </c>
      <c r="AD42" s="4038"/>
      <c r="AE42" s="4038"/>
      <c r="AF42" s="4038"/>
      <c r="AG42" s="4038"/>
      <c r="AH42" s="4038"/>
      <c r="AI42" s="4038"/>
      <c r="AJ42" s="4039"/>
      <c r="AK42" s="1546" t="s">
        <v>1518</v>
      </c>
      <c r="AM42" s="737"/>
      <c r="AN42" s="737" t="str">
        <f>IF(T42="","",T42)</f>
        <v>Территория действия тарифа</v>
      </c>
      <c r="AO42" s="737"/>
      <c r="AP42" s="737"/>
    </row>
    <row customHeight="1" ht="23.25">
      <c r="A43" s="1659" t="s">
        <v>313</v>
      </c>
      <c r="B43" s="1659" t="s">
        <v>314</v>
      </c>
      <c r="C43" s="1659" t="s">
        <v>315</v>
      </c>
      <c r="D43" s="1659"/>
      <c r="E43" s="2425"/>
      <c r="F43" s="2425"/>
      <c r="G43" s="2424">
        <v>1</v>
      </c>
      <c r="H43" s="1659"/>
      <c r="I43" s="1659"/>
      <c r="J43" s="1659"/>
      <c r="K43" s="1659"/>
      <c r="L43" s="1660"/>
      <c r="M43" s="1661"/>
      <c r="N43" s="1661"/>
      <c r="O43" s="1661"/>
      <c r="P43" s="575"/>
      <c r="Q43" s="573"/>
      <c r="R43" s="574"/>
      <c r="S43" s="1790" t="str">
        <f>INDEX(PT_DIFFERENTIATION_NUM_CS,MATCH(C43,PT_DIFFERENTIATION_CS_ID,0))</f>
        <v>..</v>
      </c>
      <c r="T43" s="521" t="s">
        <v>2132</v>
      </c>
      <c r="U43" s="510"/>
      <c r="V43" s="4037"/>
      <c r="W43" s="4038"/>
      <c r="X43" s="4038"/>
      <c r="Y43" s="4038"/>
      <c r="Z43" s="4038"/>
      <c r="AA43" s="4038"/>
      <c r="AB43" s="4039"/>
      <c r="AC43" s="4037" t="str">
        <f>INDEX(PT_DIFFERENTIATION_CS,MATCH(C43,PT_DIFFERENTIATION_CS_ID,0))</f>
        <v/>
      </c>
      <c r="AD43" s="4038"/>
      <c r="AE43" s="4038"/>
      <c r="AF43" s="4038"/>
      <c r="AG43" s="4038"/>
      <c r="AH43" s="4038"/>
      <c r="AI43" s="4038"/>
      <c r="AJ43" s="4039"/>
      <c r="AK43" s="1546" t="s">
        <v>2133</v>
      </c>
      <c r="AM43" s="737"/>
      <c r="AN43" s="737" t="str">
        <f>IF(T43="","",T43)</f>
        <v>Наименование централизованной системы горячего водоснабжения</v>
      </c>
      <c r="AO43" s="737"/>
      <c r="AP43" s="737"/>
    </row>
    <row customHeight="1" ht="23.25">
      <c r="A44" s="1659" t="s">
        <v>313</v>
      </c>
      <c r="B44" s="1659" t="s">
        <v>314</v>
      </c>
      <c r="C44" s="1659" t="s">
        <v>315</v>
      </c>
      <c r="D44" s="1659" t="s">
        <v>2139</v>
      </c>
      <c r="E44" s="2425"/>
      <c r="F44" s="2425"/>
      <c r="G44" s="2425"/>
      <c r="H44" s="2425"/>
      <c r="I44" s="2453" t="str">
        <f>S43&amp;".1"</f>
        <v>...1</v>
      </c>
      <c r="J44" s="1659"/>
      <c r="K44" s="1659"/>
      <c r="L44" s="1660"/>
      <c r="P44" s="2423">
        <v>1</v>
      </c>
      <c r="Q44" s="1778"/>
      <c r="R44" s="577"/>
      <c r="S44" s="1790" t="str">
        <f>$I44</f>
        <v>...1</v>
      </c>
      <c r="T44" s="495" t="s">
        <v>1734</v>
      </c>
      <c r="U44" s="510"/>
      <c r="V44" s="2574"/>
      <c r="W44" s="2575"/>
      <c r="X44" s="2575"/>
      <c r="Y44" s="2575"/>
      <c r="Z44" s="2575"/>
      <c r="AA44" s="2575"/>
      <c r="AB44" s="2576"/>
      <c r="AC44" s="2577"/>
      <c r="AD44" s="2578"/>
      <c r="AE44" s="2578"/>
      <c r="AF44" s="2578"/>
      <c r="AG44" s="2578"/>
      <c r="AH44" s="2578"/>
      <c r="AI44" s="2578"/>
      <c r="AJ44" s="2579"/>
      <c r="AK44" s="1546" t="s">
        <v>1735</v>
      </c>
      <c r="AM44" s="737"/>
      <c r="AN44" s="737" t="str">
        <f>IF(T44="","",T44)</f>
        <v>Наименование признака дифференциации</v>
      </c>
      <c r="AO44" s="737"/>
      <c r="AP44" s="737"/>
    </row>
    <row customHeight="1" ht="23.25">
      <c r="A45" s="1659" t="s">
        <v>313</v>
      </c>
      <c r="B45" s="1659" t="s">
        <v>314</v>
      </c>
      <c r="C45" s="1659" t="s">
        <v>315</v>
      </c>
      <c r="D45" s="1659" t="s">
        <v>2139</v>
      </c>
      <c r="E45" s="2425"/>
      <c r="F45" s="2425"/>
      <c r="G45" s="2425"/>
      <c r="H45" s="2425"/>
      <c r="I45" s="2454"/>
      <c r="J45" s="2422" t="str">
        <f>I44&amp;".1"</f>
        <v>...1.1</v>
      </c>
      <c r="K45" s="1659"/>
      <c r="L45" s="1660" t="s">
        <v>1526</v>
      </c>
      <c r="P45" s="2423"/>
      <c r="Q45" s="2423">
        <v>1</v>
      </c>
      <c r="R45" s="578"/>
      <c r="S45" s="1790" t="str">
        <f>$J45</f>
        <v>...1.1</v>
      </c>
      <c r="T45" s="496" t="s">
        <v>1527</v>
      </c>
      <c r="U45" s="510"/>
      <c r="V45" s="2411"/>
      <c r="W45" s="2412"/>
      <c r="X45" s="2412"/>
      <c r="Y45" s="2412"/>
      <c r="Z45" s="2412"/>
      <c r="AA45" s="2412"/>
      <c r="AB45" s="2413"/>
      <c r="AC45" s="2411"/>
      <c r="AD45" s="2412"/>
      <c r="AE45" s="2412"/>
      <c r="AF45" s="2412"/>
      <c r="AG45" s="2412"/>
      <c r="AH45" s="2412"/>
      <c r="AI45" s="2412"/>
      <c r="AJ45" s="2413"/>
      <c r="AK45" s="1602" t="s">
        <v>1736</v>
      </c>
      <c r="AM45" s="737"/>
      <c r="AN45" s="737" t="str">
        <f>IF(T45="","",T45)</f>
        <v>Группа потребителей</v>
      </c>
      <c r="AO45" s="737"/>
      <c r="AP45" s="737"/>
    </row>
    <row customHeight="1" ht="23.25">
      <c r="A46" s="1659" t="s">
        <v>313</v>
      </c>
      <c r="B46" s="1659" t="s">
        <v>314</v>
      </c>
      <c r="C46" s="1659" t="s">
        <v>315</v>
      </c>
      <c r="D46" s="1659" t="s">
        <v>2139</v>
      </c>
      <c r="E46" s="2425"/>
      <c r="F46" s="2425"/>
      <c r="G46" s="2425"/>
      <c r="H46" s="2425"/>
      <c r="I46" s="2454"/>
      <c r="J46" s="2455"/>
      <c r="K46" s="2422" t="str">
        <f>J45&amp;".1"</f>
        <v>...1.1.1</v>
      </c>
      <c r="L46" s="1660"/>
      <c r="P46" s="2423"/>
      <c r="Q46" s="2423"/>
      <c r="R46" s="578">
        <v>1</v>
      </c>
      <c r="S46" s="1790" t="str">
        <f>$K46</f>
        <v>...1.1.1</v>
      </c>
      <c r="T46" s="1734"/>
      <c r="U46" s="510"/>
      <c r="V46" s="4098"/>
      <c r="W46" s="4098"/>
      <c r="X46" s="4099"/>
      <c r="Y46" s="2432"/>
      <c r="Z46" s="2433" t="s">
        <v>67</v>
      </c>
      <c r="AA46" s="2432"/>
      <c r="AB46" s="2433" t="s">
        <v>67</v>
      </c>
      <c r="AC46" s="4065"/>
      <c r="AD46" s="4065"/>
      <c r="AE46" s="4067"/>
      <c r="AF46" s="2430"/>
      <c r="AG46" s="2142" t="s">
        <v>67</v>
      </c>
      <c r="AH46" s="2456"/>
      <c r="AI46" s="2142" t="s">
        <v>57</v>
      </c>
      <c r="AJ46" s="4569"/>
      <c r="AK46" s="257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748">
        <f>STRCHECKDATE(V47:AJ47)</f>
      </c>
      <c r="AM46" s="737"/>
      <c r="AN46" s="737" t="str">
        <f>IF(T46="","",T46)</f>
        <v/>
      </c>
      <c r="AO46" s="737"/>
      <c r="AP46" s="737"/>
    </row>
    <row customHeight="1" ht="0">
      <c r="A47" s="1659" t="s">
        <v>313</v>
      </c>
      <c r="B47" s="1659" t="s">
        <v>314</v>
      </c>
      <c r="C47" s="1659" t="s">
        <v>315</v>
      </c>
      <c r="D47" s="1659" t="s">
        <v>2139</v>
      </c>
      <c r="E47" s="2425"/>
      <c r="F47" s="2425"/>
      <c r="G47" s="2425"/>
      <c r="H47" s="2425"/>
      <c r="I47" s="2454"/>
      <c r="J47" s="2455"/>
      <c r="K47" s="2422"/>
      <c r="L47" s="1660"/>
      <c r="P47" s="2423"/>
      <c r="Q47" s="2423"/>
      <c r="R47" s="578"/>
      <c r="S47" s="1787"/>
      <c r="T47" s="510"/>
      <c r="U47" s="510"/>
      <c r="V47" s="4098"/>
      <c r="W47" s="4098"/>
      <c r="X47" s="4071" t="str">
        <f>Y46&amp;"-"&amp;AA46</f>
        <v>-</v>
      </c>
      <c r="Y47" s="2433"/>
      <c r="Z47" s="2433"/>
      <c r="AA47" s="2433"/>
      <c r="AB47" s="2433"/>
      <c r="AC47" s="4066"/>
      <c r="AD47" s="4066"/>
      <c r="AE47" s="4071" t="str">
        <f>AF46&amp;"-"&amp;AH46</f>
        <v>-</v>
      </c>
      <c r="AF47" s="2431"/>
      <c r="AG47" s="2142"/>
      <c r="AH47" s="2457"/>
      <c r="AI47" s="2142"/>
      <c r="AJ47" s="4572"/>
      <c r="AK47" s="2573"/>
      <c r="AM47" s="737"/>
      <c r="AN47" s="737" t="str">
        <f>IF(T47="","",T47)</f>
        <v/>
      </c>
      <c r="AO47" s="737"/>
      <c r="AP47" s="737"/>
    </row>
    <row customHeight="1" ht="21">
      <c r="A48" s="1659" t="s">
        <v>313</v>
      </c>
      <c r="B48" s="1659" t="s">
        <v>314</v>
      </c>
      <c r="C48" s="1659" t="s">
        <v>315</v>
      </c>
      <c r="D48" s="1659" t="s">
        <v>2139</v>
      </c>
      <c r="E48" s="2425"/>
      <c r="F48" s="2425"/>
      <c r="G48" s="2425"/>
      <c r="H48" s="2425"/>
      <c r="I48" s="2454"/>
      <c r="J48" s="2422"/>
      <c r="K48" s="1659"/>
      <c r="L48" s="1660"/>
      <c r="P48" s="2423"/>
      <c r="Q48" s="2423"/>
      <c r="R48" s="577"/>
      <c r="S48" s="1568"/>
      <c r="T48" s="497" t="s">
        <v>1737</v>
      </c>
      <c r="U48" s="592"/>
      <c r="V48" s="592"/>
      <c r="W48" s="592"/>
      <c r="X48" s="592"/>
      <c r="Y48" s="592"/>
      <c r="Z48" s="592"/>
      <c r="AA48" s="592"/>
      <c r="AB48" s="592"/>
      <c r="AC48" s="592"/>
      <c r="AD48" s="592"/>
      <c r="AE48" s="592"/>
      <c r="AF48" s="592"/>
      <c r="AG48" s="592"/>
      <c r="AH48" s="592"/>
      <c r="AI48" s="592"/>
      <c r="AJ48" s="592"/>
      <c r="AK48" s="1546" t="s">
        <v>1738</v>
      </c>
      <c r="AM48" s="737"/>
      <c r="AN48" s="737" t="str">
        <f>IF(T48="","",T48)</f>
        <v>Добавить значение признака дифференциации</v>
      </c>
      <c r="AO48" s="737"/>
      <c r="AP48" s="737"/>
    </row>
    <row customHeight="1" ht="21">
      <c r="A49" s="1659" t="s">
        <v>313</v>
      </c>
      <c r="B49" s="1659" t="s">
        <v>314</v>
      </c>
      <c r="C49" s="1659" t="s">
        <v>315</v>
      </c>
      <c r="D49" s="1659" t="s">
        <v>2139</v>
      </c>
      <c r="E49" s="2425"/>
      <c r="F49" s="2425"/>
      <c r="G49" s="2425"/>
      <c r="H49" s="2425"/>
      <c r="I49" s="2453"/>
      <c r="J49" s="1659"/>
      <c r="K49" s="1659"/>
      <c r="L49" s="1660"/>
      <c r="P49" s="2423"/>
      <c r="Q49" s="1778"/>
      <c r="R49" s="577"/>
      <c r="S49" s="1568"/>
      <c r="T49" s="589" t="s">
        <v>1532</v>
      </c>
      <c r="U49" s="592"/>
      <c r="V49" s="592"/>
      <c r="W49" s="592"/>
      <c r="X49" s="592"/>
      <c r="Y49" s="592"/>
      <c r="Z49" s="592"/>
      <c r="AA49" s="592"/>
      <c r="AB49" s="591"/>
      <c r="AC49" s="592"/>
      <c r="AD49" s="592"/>
      <c r="AE49" s="592"/>
      <c r="AF49" s="592"/>
      <c r="AG49" s="592"/>
      <c r="AH49" s="592"/>
      <c r="AI49" s="591"/>
      <c r="AJ49" s="592"/>
      <c r="AK49" s="1737"/>
      <c r="AM49" s="737"/>
      <c r="AN49" s="737" t="str">
        <f>IF(T49="","",T49)</f>
        <v>Добавить группу потребителей</v>
      </c>
      <c r="AO49" s="737"/>
      <c r="AP49" s="737"/>
    </row>
    <row customHeight="1" ht="21">
      <c r="A50" s="1659" t="s">
        <v>313</v>
      </c>
      <c r="B50" s="1659" t="s">
        <v>314</v>
      </c>
      <c r="C50" s="1659" t="s">
        <v>315</v>
      </c>
      <c r="D50" s="1659" t="s">
        <v>2139</v>
      </c>
      <c r="E50" s="2425"/>
      <c r="F50" s="2425"/>
      <c r="G50" s="2425"/>
      <c r="H50" s="2424"/>
      <c r="I50" s="1659"/>
      <c r="J50" s="1659"/>
      <c r="K50" s="1659"/>
      <c r="L50" s="1660"/>
      <c r="M50" s="1661"/>
      <c r="N50" s="1661"/>
      <c r="O50" s="774"/>
      <c r="P50" s="581"/>
      <c r="Q50" s="601"/>
      <c r="R50" s="576"/>
      <c r="S50" s="1568"/>
      <c r="T50" s="597" t="s">
        <v>1739</v>
      </c>
      <c r="U50" s="592"/>
      <c r="V50" s="592"/>
      <c r="W50" s="592"/>
      <c r="X50" s="592"/>
      <c r="Y50" s="592"/>
      <c r="Z50" s="592"/>
      <c r="AA50" s="592"/>
      <c r="AB50" s="591"/>
      <c r="AC50" s="592"/>
      <c r="AD50" s="592"/>
      <c r="AE50" s="592"/>
      <c r="AF50" s="592"/>
      <c r="AG50" s="592"/>
      <c r="AH50" s="592"/>
      <c r="AI50" s="591"/>
      <c r="AJ50" s="592"/>
      <c r="AK50" s="513"/>
      <c r="AM50" s="737"/>
      <c r="AN50" s="737" t="str">
        <f>IF(T50="","",T50)</f>
        <v>Добавить наименование признака дифференциации</v>
      </c>
      <c r="AO50" s="737"/>
      <c r="AP50" s="737"/>
    </row>
    <row s="10863" customFormat="1" customHeight="1" ht="0.75">
      <c r="A51" s="1638" t="s">
        <v>313</v>
      </c>
      <c r="B51" s="1638" t="s">
        <v>314</v>
      </c>
      <c r="C51" s="1609"/>
      <c r="D51" s="1609"/>
      <c r="E51" s="2425"/>
      <c r="F51" s="2424"/>
      <c r="G51" s="1609"/>
      <c r="H51" s="1609"/>
      <c r="I51" s="1609"/>
      <c r="J51" s="1609"/>
      <c r="K51" s="1609"/>
      <c r="L51" s="1791"/>
      <c r="M51" s="1616"/>
      <c r="N51" s="1616"/>
      <c r="P51" s="1611"/>
      <c r="Q51" s="1612"/>
      <c r="R51" s="1611"/>
      <c r="S51" s="1617"/>
      <c r="T51" s="1620" t="s">
        <v>1493</v>
      </c>
      <c r="U51" s="1619"/>
      <c r="V51" s="1619"/>
      <c r="W51" s="1619"/>
      <c r="X51" s="1619"/>
      <c r="Y51" s="1619"/>
      <c r="Z51" s="1619"/>
      <c r="AA51" s="1619"/>
      <c r="AB51" s="1619"/>
      <c r="AC51" s="1619"/>
      <c r="AD51" s="1619"/>
      <c r="AE51" s="1619"/>
      <c r="AF51" s="1619"/>
      <c r="AG51" s="1619"/>
      <c r="AH51" s="1619"/>
      <c r="AI51" s="1619"/>
      <c r="AJ51" s="1619"/>
      <c r="AK51" s="1619"/>
      <c r="AM51" s="1029"/>
      <c r="AN51" s="1029" t="str">
        <f>IF(T51="","",T51)</f>
        <v>Добавить централизованную систему для дифференциации</v>
      </c>
      <c r="AO51" s="1029"/>
      <c r="AP51" s="1029"/>
    </row>
    <row s="10863" customFormat="1" customHeight="1" ht="0.75">
      <c r="A52" s="1638" t="s">
        <v>313</v>
      </c>
      <c r="B52" s="1638"/>
      <c r="C52" s="1638"/>
      <c r="D52" s="1638"/>
      <c r="E52" s="2424"/>
      <c r="F52" s="1638"/>
      <c r="G52" s="1638"/>
      <c r="H52" s="1638"/>
      <c r="I52" s="1638"/>
      <c r="J52" s="1638"/>
      <c r="K52" s="1638"/>
      <c r="L52" s="1641"/>
      <c r="M52" s="1616"/>
      <c r="N52" s="1616"/>
      <c r="O52" s="755"/>
      <c r="P52" s="610"/>
      <c r="Q52" s="1639"/>
      <c r="R52" s="610"/>
      <c r="S52" s="1617"/>
      <c r="T52" s="1620" t="s">
        <v>1494</v>
      </c>
      <c r="U52" s="1619"/>
      <c r="V52" s="1619"/>
      <c r="W52" s="1619"/>
      <c r="X52" s="1619"/>
      <c r="Y52" s="1619"/>
      <c r="Z52" s="1619"/>
      <c r="AA52" s="1619"/>
      <c r="AB52" s="1619"/>
      <c r="AC52" s="1619"/>
      <c r="AD52" s="1619"/>
      <c r="AE52" s="1619"/>
      <c r="AF52" s="1619"/>
      <c r="AG52" s="1619"/>
      <c r="AH52" s="1619"/>
      <c r="AI52" s="1619"/>
      <c r="AJ52" s="1619"/>
      <c r="AK52" s="1619"/>
      <c r="AM52" s="737"/>
      <c r="AN52" s="737" t="str">
        <f>IF(T52="","",T52)</f>
        <v>Добавить территорию для дифференциации</v>
      </c>
      <c r="AO52" s="737"/>
      <c r="AP52" s="737"/>
    </row>
    <row s="10863" customFormat="1" customHeight="1" ht="0.75">
      <c r="A53" s="1609"/>
      <c r="B53" s="1609"/>
      <c r="C53" s="1609"/>
      <c r="D53" s="1609"/>
      <c r="E53" s="1638"/>
      <c r="F53" s="1609"/>
      <c r="G53" s="1609"/>
      <c r="H53" s="1609"/>
      <c r="I53" s="1609"/>
      <c r="J53" s="1609"/>
      <c r="K53" s="1609"/>
      <c r="L53" s="1791"/>
      <c r="M53" s="1616"/>
      <c r="N53" s="1616"/>
      <c r="P53" s="1611"/>
      <c r="Q53" s="1612"/>
      <c r="R53" s="1611"/>
      <c r="S53" s="1617"/>
      <c r="T53" s="1620" t="s">
        <v>1495</v>
      </c>
      <c r="U53" s="1619"/>
      <c r="V53" s="1619"/>
      <c r="W53" s="1619"/>
      <c r="X53" s="1619"/>
      <c r="Y53" s="1619"/>
      <c r="Z53" s="1619"/>
      <c r="AA53" s="1619"/>
      <c r="AB53" s="1619"/>
      <c r="AC53" s="1619"/>
      <c r="AD53" s="1619"/>
      <c r="AE53" s="1619"/>
      <c r="AF53" s="1619"/>
      <c r="AG53" s="1619"/>
      <c r="AH53" s="1619"/>
      <c r="AI53" s="1619"/>
      <c r="AJ53" s="1619"/>
      <c r="AK53" s="1619"/>
      <c r="AM53" s="1029"/>
      <c r="AN53" s="1029" t="str">
        <f>IF(T53="","",T53)</f>
        <v>Добавить наименование тарифа</v>
      </c>
      <c r="AO53" s="1029"/>
      <c r="AP53" s="1029"/>
    </row>
    <row customHeight="1" ht="11.25">
      <c r="M54" s="1421"/>
      <c r="N54" s="1421"/>
      <c r="O54" s="774"/>
      <c r="P54" s="1416"/>
      <c r="Q54" s="1416"/>
      <c r="R54" s="1416"/>
      <c r="S54" s="1416"/>
      <c r="AL54" s="1416"/>
      <c r="AM54" s="1416"/>
      <c r="AN54" s="1416"/>
      <c r="AO54" s="1416"/>
      <c r="AP54" s="1416"/>
    </row>
    <row customHeight="1" ht="14.25">
      <c r="O55" s="774"/>
      <c r="S55" s="1533" t="s">
        <v>1565</v>
      </c>
      <c r="T55" s="2452" t="s">
        <v>2140</v>
      </c>
      <c r="U55" s="2452"/>
      <c r="V55" s="2452"/>
      <c r="W55" s="2452"/>
      <c r="X55" s="2452"/>
      <c r="Y55" s="2452"/>
      <c r="Z55" s="2452"/>
      <c r="AA55" s="2452"/>
      <c r="AB55" s="2452"/>
      <c r="AC55" s="2452"/>
      <c r="AD55" s="2452"/>
      <c r="AE55" s="2452"/>
      <c r="AF55" s="2452"/>
      <c r="AG55" s="2452"/>
      <c r="AH55" s="2452"/>
      <c r="AI55" s="2452"/>
      <c r="AJ55" s="2452"/>
      <c r="AK55" s="2452"/>
    </row>
    <row customHeight="1" ht="14.25">
      <c r="O56" s="774"/>
    </row>
    <row customHeight="1" ht="14.25">
      <c r="O57" s="774"/>
      <c r="S57" s="1533" t="s">
        <v>1565</v>
      </c>
      <c r="T57" s="2452" t="s">
        <v>2141</v>
      </c>
      <c r="U57" s="2452"/>
      <c r="V57" s="2452"/>
      <c r="W57" s="2452"/>
      <c r="X57" s="2452"/>
      <c r="Y57" s="2452"/>
      <c r="Z57" s="2452"/>
      <c r="AA57" s="2452"/>
      <c r="AB57" s="2452"/>
      <c r="AC57" s="2452"/>
      <c r="AD57" s="2452"/>
      <c r="AE57" s="2452"/>
      <c r="AF57" s="2452"/>
      <c r="AG57" s="2452"/>
      <c r="AH57" s="2452"/>
      <c r="AI57" s="2452"/>
      <c r="AJ57" s="2452"/>
      <c r="AK57" s="2452"/>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CB89AA7-2B37-2476-8659-0A1403A61CE4}" mc:Ignorable="x14ac xr xr2 xr3">
  <sheetPr>
    <tabColor theme="6" tint="0.4"/>
  </sheetPr>
  <dimension ref="A1:AP57"/>
  <sheetViews>
    <sheetView topLeftCell="P23" showGridLines="0" workbookViewId="0">
      <selection activeCell="A1" sqref="A1"/>
    </sheetView>
  </sheetViews>
  <sheetFormatPr defaultColWidth="10.57421875" customHeight="1" defaultRowHeight="14.25"/>
  <cols>
    <col min="1" max="1" style="11074" width="10.57421875" hidden="1"/>
    <col min="2" max="2" style="11074" width="11.00390625" hidden="1" customWidth="1"/>
    <col min="3" max="3" style="11074" width="10.57421875" hidden="1"/>
    <col min="4" max="4" style="11074" width="11.8515625" hidden="1" customWidth="1"/>
    <col min="5" max="5" style="11074" width="10.00390625" hidden="1" customWidth="1"/>
    <col min="6" max="6" style="11074" width="8.7109375" hidden="1" customWidth="1"/>
    <col min="7" max="7" style="11074" width="7.57421875" hidden="1" customWidth="1"/>
    <col min="8" max="8" style="11074" width="11.421875" hidden="1" customWidth="1"/>
    <col min="9" max="9" style="11074" width="14.140625" hidden="1" customWidth="1"/>
    <col min="10" max="10" style="11074" width="9.8515625" hidden="1" customWidth="1"/>
    <col min="11" max="11" style="11074" width="14.7109375" hidden="1" customWidth="1"/>
    <col min="12" max="12" style="11240" width="19.140625" hidden="1" customWidth="1"/>
    <col min="13" max="14" style="9887" width="12.28125" hidden="1" customWidth="1"/>
    <col min="15" max="15" style="9887" width="23.421875" hidden="1" customWidth="1"/>
    <col min="16" max="16" style="11241" width="3.7109375" customWidth="1"/>
    <col min="17" max="18" style="10046" width="3.7109375" customWidth="1"/>
    <col min="19" max="19" style="11124" width="12.7109375" customWidth="1"/>
    <col min="20" max="20" style="11126" width="35.7109375" customWidth="1"/>
    <col min="21" max="21" style="11126" width="0.140625" customWidth="1"/>
    <col min="22" max="24" style="11126" width="24.7109375" hidden="1" customWidth="1"/>
    <col min="25" max="25" style="11126" width="11.7109375" hidden="1" customWidth="1"/>
    <col min="26" max="26" style="11126" width="3.7109375" hidden="1" customWidth="1"/>
    <col min="27" max="27" style="11126" width="11.7109375" hidden="1" customWidth="1"/>
    <col min="28" max="28" style="11126" width="8.57421875" hidden="1" customWidth="1"/>
    <col min="29" max="31" style="11126" width="24.7109375" customWidth="1"/>
    <col min="32" max="32" style="11126" width="11.7109375" customWidth="1"/>
    <col min="33" max="33" style="11126" width="3.7109375" customWidth="1"/>
    <col min="34" max="34" style="11126" width="11.7109375" customWidth="1"/>
    <col min="35" max="35" style="11126" width="8.57421875" hidden="1" customWidth="1"/>
    <col min="36" max="36" style="11126" width="4.7109375" customWidth="1"/>
    <col min="37" max="37" style="11126" width="115.7109375" customWidth="1"/>
    <col min="38" max="39" style="10863" width="10.57421875"/>
    <col min="40" max="40" style="10863" width="11.140625" customWidth="1"/>
    <col min="41" max="42" style="10863" width="10.57421875"/>
  </cols>
  <sheetData>
    <row customHeight="1" ht="14.25" hidden="1">
      <c r="X1" s="548"/>
      <c r="Y1" s="548"/>
      <c r="AE1" s="548"/>
      <c r="AF1" s="548"/>
    </row>
    <row customHeight="1" ht="23.25" hidden="1">
      <c r="A2" s="1659"/>
      <c r="B2" s="1659"/>
      <c r="C2" s="1659"/>
      <c r="D2" s="1659"/>
      <c r="E2" s="2424">
        <v>1</v>
      </c>
      <c r="F2" s="1659"/>
      <c r="G2" s="1659"/>
      <c r="H2" s="1659"/>
      <c r="I2" s="1659"/>
      <c r="J2" s="1659"/>
      <c r="K2" s="1659"/>
      <c r="L2" s="1660"/>
      <c r="M2" s="1661"/>
      <c r="N2" s="1661"/>
      <c r="O2" s="1661"/>
      <c r="P2" s="582"/>
      <c r="Q2" s="581"/>
      <c r="R2" s="576"/>
      <c r="S2" s="1790">
        <f>INDEX(PT_DIFFERENTIATION_NUM_NTAR,MATCH(A2,PT_DIFFERENTIATION_NTAR_ID,0))</f>
      </c>
      <c r="T2" s="508" t="s">
        <v>200</v>
      </c>
      <c r="U2" s="510"/>
      <c r="V2" s="4037"/>
      <c r="W2" s="4038"/>
      <c r="X2" s="4038"/>
      <c r="Y2" s="4038"/>
      <c r="Z2" s="4038"/>
      <c r="AA2" s="4038"/>
      <c r="AB2" s="4039"/>
      <c r="AC2" s="4037">
        <f>INDEX(PT_DIFFERENTIATION_NTAR,MATCH(A2,PT_DIFFERENTIATION_NTAR_ID,0))</f>
      </c>
      <c r="AD2" s="4038"/>
      <c r="AE2" s="4038"/>
      <c r="AF2" s="4038"/>
      <c r="AG2" s="4038"/>
      <c r="AH2" s="4038"/>
      <c r="AI2" s="4038"/>
      <c r="AJ2" s="4039"/>
      <c r="AK2" s="1546"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737"/>
      <c r="AN2" s="737" t="str">
        <f>IF(T2="","",T2)</f>
        <v>Наименование тарифа</v>
      </c>
      <c r="AO2" s="737"/>
      <c r="AP2" s="737"/>
    </row>
    <row customHeight="1" ht="23.25" hidden="1">
      <c r="A3" s="1659"/>
      <c r="B3" s="1659"/>
      <c r="C3" s="1659"/>
      <c r="D3" s="1659"/>
      <c r="E3" s="2425"/>
      <c r="F3" s="2424">
        <v>1</v>
      </c>
      <c r="G3" s="1659"/>
      <c r="H3" s="1659"/>
      <c r="I3" s="1659"/>
      <c r="J3" s="1659"/>
      <c r="K3" s="1659"/>
      <c r="L3" s="1660"/>
      <c r="M3" s="1661"/>
      <c r="N3" s="1661"/>
      <c r="O3" s="1661"/>
      <c r="P3" s="1784"/>
      <c r="Q3" s="573"/>
      <c r="R3" s="574"/>
      <c r="S3" s="1790">
        <f>INDEX(PT_DIFFERENTIATION_NUM_TER,MATCH(B3,PT_DIFFERENTIATION_TER_ID,0))</f>
      </c>
      <c r="T3" s="520" t="s">
        <v>1517</v>
      </c>
      <c r="U3" s="510"/>
      <c r="V3" s="4037"/>
      <c r="W3" s="4038"/>
      <c r="X3" s="4038"/>
      <c r="Y3" s="4038"/>
      <c r="Z3" s="4038"/>
      <c r="AA3" s="4038"/>
      <c r="AB3" s="4039"/>
      <c r="AC3" s="4037">
        <f>INDEX(PT_DIFFERENTIATION_TER,MATCH(B3,PT_DIFFERENTIATION_TER_ID,0))</f>
      </c>
      <c r="AD3" s="4038"/>
      <c r="AE3" s="4038"/>
      <c r="AF3" s="4038"/>
      <c r="AG3" s="4038"/>
      <c r="AH3" s="4038"/>
      <c r="AI3" s="4038"/>
      <c r="AJ3" s="4039"/>
      <c r="AK3" s="1546" t="s">
        <v>1518</v>
      </c>
      <c r="AM3" s="737"/>
      <c r="AN3" s="737" t="str">
        <f>IF(T3="","",T3)</f>
        <v>Территория действия тарифа</v>
      </c>
      <c r="AO3" s="737"/>
      <c r="AP3" s="737"/>
    </row>
    <row customHeight="1" ht="23.25" hidden="1">
      <c r="A4" s="1659"/>
      <c r="B4" s="1659"/>
      <c r="C4" s="1659"/>
      <c r="D4" s="1659"/>
      <c r="E4" s="2425"/>
      <c r="F4" s="2425"/>
      <c r="G4" s="2424">
        <v>1</v>
      </c>
      <c r="H4" s="1659"/>
      <c r="I4" s="1659"/>
      <c r="J4" s="1659"/>
      <c r="K4" s="1659"/>
      <c r="L4" s="1660"/>
      <c r="M4" s="1661"/>
      <c r="N4" s="1661"/>
      <c r="O4" s="1661"/>
      <c r="P4" s="575"/>
      <c r="Q4" s="573"/>
      <c r="R4" s="574"/>
      <c r="S4" s="1790">
        <f>INDEX(PT_DIFFERENTIATION_NUM_CS,MATCH(C4,PT_DIFFERENTIATION_CS_ID,0))</f>
      </c>
      <c r="T4" s="521" t="s">
        <v>2132</v>
      </c>
      <c r="U4" s="510"/>
      <c r="V4" s="4037"/>
      <c r="W4" s="4038"/>
      <c r="X4" s="4038"/>
      <c r="Y4" s="4038"/>
      <c r="Z4" s="4038"/>
      <c r="AA4" s="4038"/>
      <c r="AB4" s="4039"/>
      <c r="AC4" s="4037">
        <f>INDEX(PT_DIFFERENTIATION_CS,MATCH(C4,PT_DIFFERENTIATION_CS_ID,0))</f>
      </c>
      <c r="AD4" s="4038"/>
      <c r="AE4" s="4038"/>
      <c r="AF4" s="4038"/>
      <c r="AG4" s="4038"/>
      <c r="AH4" s="4038"/>
      <c r="AI4" s="4038"/>
      <c r="AJ4" s="4039"/>
      <c r="AK4" s="1546" t="s">
        <v>2133</v>
      </c>
      <c r="AM4" s="737"/>
      <c r="AN4" s="737" t="str">
        <f>IF(T4="","",T4)</f>
        <v>Наименование централизованной системы горячего водоснабжения</v>
      </c>
      <c r="AO4" s="737"/>
      <c r="AP4" s="737"/>
    </row>
    <row customHeight="1" ht="23.25" hidden="1">
      <c r="A5" s="1659"/>
      <c r="B5" s="1659"/>
      <c r="C5" s="1659"/>
      <c r="D5" s="1659"/>
      <c r="E5" s="2425"/>
      <c r="F5" s="2425"/>
      <c r="G5" s="2425"/>
      <c r="H5" s="2425"/>
      <c r="I5" s="2453">
        <f>S4&amp;".1"</f>
      </c>
      <c r="J5" s="1659"/>
      <c r="K5" s="1659"/>
      <c r="L5" s="1660"/>
      <c r="P5" s="2423">
        <v>1</v>
      </c>
      <c r="Q5" s="1778"/>
      <c r="R5" s="577"/>
      <c r="S5" s="1790">
        <f>$I5</f>
      </c>
      <c r="T5" s="495" t="s">
        <v>1734</v>
      </c>
      <c r="U5" s="510"/>
      <c r="V5" s="2574"/>
      <c r="W5" s="2575"/>
      <c r="X5" s="2575"/>
      <c r="Y5" s="2575"/>
      <c r="Z5" s="2575"/>
      <c r="AA5" s="2575"/>
      <c r="AB5" s="2576"/>
      <c r="AC5" s="2577"/>
      <c r="AD5" s="2578"/>
      <c r="AE5" s="2578"/>
      <c r="AF5" s="2578"/>
      <c r="AG5" s="2578"/>
      <c r="AH5" s="2578"/>
      <c r="AI5" s="2578"/>
      <c r="AJ5" s="2579"/>
      <c r="AK5" s="1546" t="s">
        <v>1735</v>
      </c>
      <c r="AM5" s="737"/>
      <c r="AN5" s="737" t="str">
        <f>IF(T5="","",T5)</f>
        <v>Наименование признака дифференциации</v>
      </c>
      <c r="AO5" s="737"/>
      <c r="AP5" s="737"/>
    </row>
    <row customHeight="1" ht="23.25" hidden="1">
      <c r="A6" s="1659"/>
      <c r="B6" s="1659"/>
      <c r="C6" s="1659"/>
      <c r="D6" s="1659"/>
      <c r="E6" s="2425"/>
      <c r="F6" s="2425"/>
      <c r="G6" s="2425"/>
      <c r="H6" s="2425"/>
      <c r="I6" s="2454"/>
      <c r="J6" s="2422">
        <f>I5&amp;".1"</f>
      </c>
      <c r="K6" s="1659"/>
      <c r="L6" s="1660" t="s">
        <v>1526</v>
      </c>
      <c r="P6" s="2423"/>
      <c r="Q6" s="2423">
        <v>1</v>
      </c>
      <c r="R6" s="578"/>
      <c r="S6" s="1790">
        <f>$J6</f>
      </c>
      <c r="T6" s="496" t="s">
        <v>1527</v>
      </c>
      <c r="U6" s="510"/>
      <c r="V6" s="2411"/>
      <c r="W6" s="2412"/>
      <c r="X6" s="2412"/>
      <c r="Y6" s="2412"/>
      <c r="Z6" s="2412"/>
      <c r="AA6" s="2412"/>
      <c r="AB6" s="2413"/>
      <c r="AC6" s="2411"/>
      <c r="AD6" s="2412"/>
      <c r="AE6" s="2412"/>
      <c r="AF6" s="2412"/>
      <c r="AG6" s="2412"/>
      <c r="AH6" s="2412"/>
      <c r="AI6" s="2412"/>
      <c r="AJ6" s="2413"/>
      <c r="AK6" s="1602" t="s">
        <v>1736</v>
      </c>
      <c r="AM6" s="737"/>
      <c r="AN6" s="737" t="str">
        <f>IF(T6="","",T6)</f>
        <v>Группа потребителей</v>
      </c>
      <c r="AO6" s="737"/>
      <c r="AP6" s="737"/>
    </row>
    <row customHeight="1" ht="23.25" hidden="1">
      <c r="A7" s="1659"/>
      <c r="B7" s="1659"/>
      <c r="C7" s="1659"/>
      <c r="D7" s="1659"/>
      <c r="E7" s="2425"/>
      <c r="F7" s="2425"/>
      <c r="G7" s="2425"/>
      <c r="H7" s="2425"/>
      <c r="I7" s="2454"/>
      <c r="J7" s="2455"/>
      <c r="K7" s="2422">
        <f>J6&amp;".1"</f>
      </c>
      <c r="L7" s="1660"/>
      <c r="P7" s="2423"/>
      <c r="Q7" s="2423"/>
      <c r="R7" s="578">
        <v>1</v>
      </c>
      <c r="S7" s="1790">
        <f>$K7</f>
      </c>
      <c r="T7" s="1734"/>
      <c r="U7" s="510"/>
      <c r="V7" s="4065"/>
      <c r="W7" s="4065"/>
      <c r="X7" s="4067"/>
      <c r="Y7" s="2430"/>
      <c r="Z7" s="2142" t="s">
        <v>67</v>
      </c>
      <c r="AA7" s="2430"/>
      <c r="AB7" s="2142" t="s">
        <v>67</v>
      </c>
      <c r="AC7" s="4065"/>
      <c r="AD7" s="4065"/>
      <c r="AE7" s="4067"/>
      <c r="AF7" s="2430"/>
      <c r="AG7" s="2142" t="s">
        <v>67</v>
      </c>
      <c r="AH7" s="2456"/>
      <c r="AI7" s="2142" t="s">
        <v>67</v>
      </c>
      <c r="AJ7" s="4569"/>
      <c r="AK7" s="257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748">
        <f>STRCHECKDATE(V8:AJ8)</f>
      </c>
      <c r="AM7" s="737"/>
      <c r="AN7" s="737" t="str">
        <f>IF(T7="","",T7)</f>
        <v/>
      </c>
      <c r="AO7" s="737"/>
      <c r="AP7" s="737"/>
    </row>
    <row customHeight="1" ht="0.75" hidden="1">
      <c r="A8" s="1659"/>
      <c r="B8" s="1659"/>
      <c r="C8" s="1659"/>
      <c r="D8" s="1659"/>
      <c r="E8" s="2425"/>
      <c r="F8" s="2425"/>
      <c r="G8" s="2425"/>
      <c r="H8" s="2425"/>
      <c r="I8" s="2454"/>
      <c r="J8" s="2455"/>
      <c r="K8" s="2422"/>
      <c r="L8" s="1660"/>
      <c r="P8" s="2423"/>
      <c r="Q8" s="2423"/>
      <c r="R8" s="578"/>
      <c r="S8" s="1787"/>
      <c r="T8" s="510"/>
      <c r="U8" s="510"/>
      <c r="V8" s="4066"/>
      <c r="W8" s="4066"/>
      <c r="X8" s="4071" t="str">
        <f>Y7&amp;"-"&amp;AA7</f>
        <v>-</v>
      </c>
      <c r="Y8" s="2431"/>
      <c r="Z8" s="2142"/>
      <c r="AA8" s="2431"/>
      <c r="AB8" s="2142"/>
      <c r="AC8" s="4066"/>
      <c r="AD8" s="4066"/>
      <c r="AE8" s="4071" t="str">
        <f>AF7&amp;"-"&amp;AH7</f>
        <v>-</v>
      </c>
      <c r="AF8" s="2431"/>
      <c r="AG8" s="2142"/>
      <c r="AH8" s="2457"/>
      <c r="AI8" s="2142"/>
      <c r="AJ8" s="4572"/>
      <c r="AK8" s="2573"/>
      <c r="AM8" s="737"/>
      <c r="AN8" s="737" t="str">
        <f>IF(T8="","",T8)</f>
        <v/>
      </c>
      <c r="AO8" s="737"/>
      <c r="AP8" s="737"/>
    </row>
    <row customHeight="1" ht="21" hidden="1">
      <c r="A9" s="1659"/>
      <c r="B9" s="1659"/>
      <c r="C9" s="1659"/>
      <c r="D9" s="1659"/>
      <c r="E9" s="2425"/>
      <c r="F9" s="2425"/>
      <c r="G9" s="2425"/>
      <c r="H9" s="2425"/>
      <c r="I9" s="2454"/>
      <c r="J9" s="2422"/>
      <c r="K9" s="1659"/>
      <c r="L9" s="1660"/>
      <c r="P9" s="2423"/>
      <c r="Q9" s="2423"/>
      <c r="R9" s="577"/>
      <c r="S9" s="1568"/>
      <c r="T9" s="497" t="s">
        <v>1737</v>
      </c>
      <c r="U9" s="592"/>
      <c r="V9" s="592"/>
      <c r="W9" s="592"/>
      <c r="X9" s="592"/>
      <c r="Y9" s="592"/>
      <c r="Z9" s="592"/>
      <c r="AA9" s="592"/>
      <c r="AB9" s="592"/>
      <c r="AC9" s="592"/>
      <c r="AD9" s="592"/>
      <c r="AE9" s="592"/>
      <c r="AF9" s="592"/>
      <c r="AG9" s="592"/>
      <c r="AH9" s="592"/>
      <c r="AI9" s="592"/>
      <c r="AJ9" s="592"/>
      <c r="AK9" s="1546" t="s">
        <v>1738</v>
      </c>
      <c r="AM9" s="737"/>
      <c r="AN9" s="737" t="str">
        <f>IF(T9="","",T9)</f>
        <v>Добавить значение признака дифференциации</v>
      </c>
      <c r="AO9" s="737"/>
      <c r="AP9" s="737"/>
    </row>
    <row customHeight="1" ht="21" hidden="1">
      <c r="A10" s="1659"/>
      <c r="B10" s="1659"/>
      <c r="C10" s="1659"/>
      <c r="D10" s="1659"/>
      <c r="E10" s="2425"/>
      <c r="F10" s="2425"/>
      <c r="G10" s="2425"/>
      <c r="H10" s="2425"/>
      <c r="I10" s="2453"/>
      <c r="J10" s="1659"/>
      <c r="K10" s="1659"/>
      <c r="L10" s="1660"/>
      <c r="P10" s="2423"/>
      <c r="Q10" s="1778"/>
      <c r="R10" s="577"/>
      <c r="S10" s="1568"/>
      <c r="T10" s="589" t="s">
        <v>1532</v>
      </c>
      <c r="U10" s="592"/>
      <c r="V10" s="592"/>
      <c r="W10" s="592"/>
      <c r="X10" s="592"/>
      <c r="Y10" s="592"/>
      <c r="Z10" s="592"/>
      <c r="AA10" s="592"/>
      <c r="AB10" s="591"/>
      <c r="AC10" s="592"/>
      <c r="AD10" s="592"/>
      <c r="AE10" s="592"/>
      <c r="AF10" s="592"/>
      <c r="AG10" s="592"/>
      <c r="AH10" s="592"/>
      <c r="AI10" s="591"/>
      <c r="AJ10" s="592"/>
      <c r="AK10" s="1737"/>
      <c r="AM10" s="737"/>
      <c r="AN10" s="737" t="str">
        <f>IF(T10="","",T10)</f>
        <v>Добавить группу потребителей</v>
      </c>
      <c r="AO10" s="737"/>
      <c r="AP10" s="737"/>
    </row>
    <row customHeight="1" ht="21" hidden="1">
      <c r="A11" s="1659"/>
      <c r="B11" s="1659"/>
      <c r="C11" s="1659"/>
      <c r="D11" s="1659"/>
      <c r="E11" s="2425"/>
      <c r="F11" s="2425"/>
      <c r="G11" s="2425"/>
      <c r="H11" s="2424"/>
      <c r="I11" s="1659"/>
      <c r="J11" s="1659"/>
      <c r="K11" s="1659"/>
      <c r="L11" s="1660"/>
      <c r="M11" s="1661"/>
      <c r="N11" s="1661"/>
      <c r="O11" s="774"/>
      <c r="P11" s="581"/>
      <c r="Q11" s="601"/>
      <c r="R11" s="576"/>
      <c r="S11" s="1568"/>
      <c r="T11" s="597" t="s">
        <v>1739</v>
      </c>
      <c r="U11" s="592"/>
      <c r="V11" s="592"/>
      <c r="W11" s="592"/>
      <c r="X11" s="592"/>
      <c r="Y11" s="592"/>
      <c r="Z11" s="592"/>
      <c r="AA11" s="592"/>
      <c r="AB11" s="591"/>
      <c r="AC11" s="592"/>
      <c r="AD11" s="592"/>
      <c r="AE11" s="592"/>
      <c r="AF11" s="592"/>
      <c r="AG11" s="592"/>
      <c r="AH11" s="592"/>
      <c r="AI11" s="591"/>
      <c r="AJ11" s="592"/>
      <c r="AK11" s="513"/>
      <c r="AM11" s="737"/>
      <c r="AN11" s="737" t="str">
        <f>IF(T11="","",T11)</f>
        <v>Добавить наименование признака дифференциации</v>
      </c>
      <c r="AO11" s="737"/>
      <c r="AP11" s="737"/>
    </row>
    <row s="10863" customFormat="1" customHeight="1" ht="0.75" hidden="1">
      <c r="A12" s="1638"/>
      <c r="B12" s="1638"/>
      <c r="C12" s="1609"/>
      <c r="D12" s="1609"/>
      <c r="E12" s="2425"/>
      <c r="F12" s="2424"/>
      <c r="G12" s="1609"/>
      <c r="H12" s="1609"/>
      <c r="I12" s="1609"/>
      <c r="J12" s="1609"/>
      <c r="K12" s="1609"/>
      <c r="L12" s="1791"/>
      <c r="M12" s="1616"/>
      <c r="N12" s="1616"/>
      <c r="P12" s="1611"/>
      <c r="Q12" s="1612"/>
      <c r="R12" s="1611"/>
      <c r="S12" s="1617"/>
      <c r="T12" s="1620" t="s">
        <v>1493</v>
      </c>
      <c r="U12" s="1619"/>
      <c r="V12" s="1619"/>
      <c r="W12" s="1619"/>
      <c r="X12" s="1619"/>
      <c r="Y12" s="1619"/>
      <c r="Z12" s="1619"/>
      <c r="AA12" s="1619"/>
      <c r="AB12" s="1619"/>
      <c r="AC12" s="1619"/>
      <c r="AD12" s="1619"/>
      <c r="AE12" s="1619"/>
      <c r="AF12" s="1619"/>
      <c r="AG12" s="1619"/>
      <c r="AH12" s="1619"/>
      <c r="AI12" s="1619"/>
      <c r="AJ12" s="1619"/>
      <c r="AK12" s="1619"/>
      <c r="AM12" s="1029"/>
      <c r="AN12" s="1029" t="str">
        <f>IF(T12="","",T12)</f>
        <v>Добавить централизованную систему для дифференциации</v>
      </c>
      <c r="AO12" s="1029"/>
      <c r="AP12" s="1029"/>
    </row>
    <row s="10863" customFormat="1" customHeight="1" ht="0.75" hidden="1">
      <c r="A13" s="1638"/>
      <c r="B13" s="1638"/>
      <c r="C13" s="1638"/>
      <c r="D13" s="1638"/>
      <c r="E13" s="2424"/>
      <c r="F13" s="1638"/>
      <c r="G13" s="1638"/>
      <c r="H13" s="1638"/>
      <c r="I13" s="1638"/>
      <c r="J13" s="1638"/>
      <c r="K13" s="1638"/>
      <c r="L13" s="1641"/>
      <c r="M13" s="1616"/>
      <c r="N13" s="1616"/>
      <c r="O13" s="755"/>
      <c r="P13" s="610"/>
      <c r="Q13" s="1639"/>
      <c r="R13" s="610"/>
      <c r="S13" s="1617"/>
      <c r="T13" s="1620" t="s">
        <v>1494</v>
      </c>
      <c r="U13" s="1619"/>
      <c r="V13" s="1619"/>
      <c r="W13" s="1619"/>
      <c r="X13" s="1619"/>
      <c r="Y13" s="1619"/>
      <c r="Z13" s="1619"/>
      <c r="AA13" s="1619"/>
      <c r="AB13" s="1619"/>
      <c r="AC13" s="1619"/>
      <c r="AD13" s="1619"/>
      <c r="AE13" s="1619"/>
      <c r="AF13" s="1619"/>
      <c r="AG13" s="1619"/>
      <c r="AH13" s="1619"/>
      <c r="AI13" s="1619"/>
      <c r="AJ13" s="1619"/>
      <c r="AK13" s="1619"/>
      <c r="AM13" s="737"/>
      <c r="AN13" s="737" t="str">
        <f>IF(T13="","",T13)</f>
        <v>Добавить территорию для дифференциации</v>
      </c>
      <c r="AO13" s="737"/>
      <c r="AP13" s="737"/>
    </row>
    <row customHeight="1" ht="14.25" hidden="1">
      <c r="AB14" s="548"/>
      <c r="AI14" s="548"/>
    </row>
    <row customHeight="1" ht="14.25" hidden="1">
      <c r="AC15" s="4098"/>
      <c r="AD15" s="4098"/>
      <c r="AE15" s="4099"/>
      <c r="AF15" s="2432"/>
      <c r="AG15" s="2433" t="s">
        <v>67</v>
      </c>
      <c r="AH15" s="2432"/>
      <c r="AI15" s="2433" t="s">
        <v>67</v>
      </c>
    </row>
    <row customHeight="1" ht="14.25" hidden="1">
      <c r="AC16" s="4098"/>
      <c r="AD16" s="4098"/>
      <c r="AE16" s="4071" t="str">
        <f>AF15&amp;"-"&amp;AH15</f>
        <v>-</v>
      </c>
      <c r="AF16" s="2433"/>
      <c r="AG16" s="2433"/>
      <c r="AH16" s="2433"/>
      <c r="AI16" s="2433"/>
    </row>
    <row customHeight="1" ht="14.25" hidden="1">
      <c r="AI17" s="548"/>
    </row>
    <row s="11074" customFormat="1" customHeight="1" ht="14.25" hidden="1">
      <c r="L18" s="1775"/>
      <c r="M18" s="1658"/>
      <c r="N18" s="1658"/>
      <c r="O18" s="1663" t="s">
        <v>1534</v>
      </c>
      <c r="P18" s="1658"/>
      <c r="Q18" s="1667"/>
      <c r="R18" s="1667"/>
      <c r="S18" s="967"/>
      <c r="Y18" s="1663"/>
      <c r="AA18" s="1663"/>
      <c r="AB18" s="1662"/>
      <c r="AF18" s="1663"/>
      <c r="AH18" s="1663"/>
      <c r="AI18" s="1662"/>
      <c r="AL18" s="748"/>
      <c r="AM18" s="748"/>
      <c r="AN18" s="748"/>
      <c r="AO18" s="748"/>
      <c r="AP18" s="748"/>
    </row>
    <row s="11074" customFormat="1" customHeight="1" ht="14.25" hidden="1">
      <c r="L19" s="1775"/>
      <c r="M19" s="1658"/>
      <c r="N19" s="1658"/>
      <c r="O19" s="1658"/>
      <c r="P19" s="1658"/>
      <c r="Q19" s="1667"/>
      <c r="R19" s="1667"/>
      <c r="S19" s="967"/>
      <c r="AB19" s="1662"/>
      <c r="AI19" s="1662"/>
      <c r="AL19" s="748"/>
      <c r="AM19" s="748"/>
      <c r="AN19" s="748"/>
      <c r="AO19" s="748"/>
      <c r="AP19" s="748"/>
    </row>
    <row s="11074" customFormat="1" customHeight="1" ht="12" hidden="1">
      <c r="L20" s="1775"/>
      <c r="M20" s="1658"/>
      <c r="N20" s="1658"/>
      <c r="O20" s="1660" t="s">
        <v>1535</v>
      </c>
      <c r="P20" s="1658"/>
      <c r="Q20" s="1739"/>
      <c r="R20" s="1739"/>
      <c r="S20" s="967"/>
      <c r="T20" s="1421" t="s">
        <v>1536</v>
      </c>
      <c r="Z20" s="393" t="s">
        <v>1537</v>
      </c>
      <c r="AB20" s="393" t="s">
        <v>1538</v>
      </c>
      <c r="AC20" s="1421" t="s">
        <v>1536</v>
      </c>
      <c r="AG20" s="393" t="s">
        <v>1539</v>
      </c>
      <c r="AI20" s="393" t="s">
        <v>1538</v>
      </c>
    </row>
    <row customHeight="1" ht="14.25" hidden="1">
      <c r="O21" s="1660"/>
    </row>
    <row customHeight="1" ht="14.25" hidden="1">
      <c r="O22" s="1660"/>
    </row>
    <row customHeight="1" ht="14.25">
      <c r="Q23" s="602"/>
      <c r="R23" s="602"/>
      <c r="S23" s="1565"/>
      <c r="T23" s="586"/>
      <c r="U23" s="586"/>
      <c r="V23" s="746"/>
      <c r="W23" s="746"/>
      <c r="X23" s="746"/>
      <c r="Y23" s="746"/>
      <c r="Z23" s="746"/>
      <c r="AA23" s="746"/>
      <c r="AB23" s="746"/>
      <c r="AC23" s="746"/>
      <c r="AD23" s="746"/>
      <c r="AE23" s="746"/>
      <c r="AF23" s="746"/>
      <c r="AG23" s="746"/>
      <c r="AH23" s="746"/>
      <c r="AI23" s="746"/>
    </row>
    <row customHeight="1" ht="32.25">
      <c r="Q24" s="602"/>
      <c r="R24" s="602"/>
      <c r="S24" s="2414" t="str">
        <f>IF(TEMPLATE_GROUP="P",PT_P_FORM_HOTVSNA_4_NAME_FORM,PT_R_FORM_HOTVSNA_16_NAME_FORM)</f>
        <v>Форма 16. Информация о предложении расчетной величины тарифов организации горячего водоснабжения об установлении тарифов в сфере горячего водоснабжения на очередной период регулирования &lt;1&gt;</v>
      </c>
      <c r="T24" s="2414"/>
      <c r="U24" s="2414"/>
      <c r="V24" s="2414"/>
      <c r="W24" s="2414"/>
      <c r="X24" s="2414"/>
      <c r="Y24" s="2414"/>
      <c r="Z24" s="2414"/>
      <c r="AA24" s="2414"/>
      <c r="AB24" s="2414"/>
      <c r="AC24" s="2414"/>
      <c r="AD24" s="2414"/>
      <c r="AE24" s="2414"/>
      <c r="AF24" s="2414"/>
      <c r="AG24" s="2414"/>
      <c r="AH24" s="2414"/>
      <c r="AI24" s="1521"/>
    </row>
    <row customHeight="1" ht="14.25">
      <c r="Q25" s="602"/>
      <c r="R25" s="602"/>
      <c r="S25" s="2415" t="str">
        <f>IF(org=0,"Не определено",org)</f>
        <v>ООО "СамРЭК-Тепло Жигулевск"</v>
      </c>
      <c r="T25" s="2415"/>
      <c r="U25" s="2415"/>
      <c r="V25" s="2415"/>
      <c r="W25" s="2415"/>
      <c r="X25" s="2415"/>
      <c r="Y25" s="2415"/>
      <c r="Z25" s="2415"/>
      <c r="AA25" s="2415"/>
      <c r="AB25" s="2415"/>
      <c r="AC25" s="2415"/>
      <c r="AD25" s="2415"/>
      <c r="AE25" s="2415"/>
      <c r="AF25" s="2415"/>
      <c r="AG25" s="2415"/>
      <c r="AH25" s="2415"/>
      <c r="AI25" s="1521"/>
    </row>
    <row customHeight="1" ht="14.25" hidden="1">
      <c r="Q26" s="602"/>
      <c r="R26" s="602"/>
      <c r="S26" s="1565"/>
      <c r="T26" s="586"/>
      <c r="U26" s="586"/>
      <c r="V26" s="541"/>
      <c r="W26" s="541"/>
      <c r="X26" s="541"/>
      <c r="Y26" s="541"/>
      <c r="Z26" s="541"/>
      <c r="AA26" s="541"/>
      <c r="AB26" s="541"/>
      <c r="AC26" s="541"/>
      <c r="AD26" s="541"/>
      <c r="AE26" s="541"/>
      <c r="AF26" s="541"/>
      <c r="AG26" s="541"/>
      <c r="AH26" s="541"/>
      <c r="AI26" s="541"/>
      <c r="AJ26" s="746"/>
    </row>
    <row s="10859" customFormat="1" customHeight="1" ht="25.5" hidden="1">
      <c r="A27" s="1664"/>
      <c r="B27" s="1664"/>
      <c r="C27" s="1664"/>
      <c r="D27" s="1664"/>
      <c r="E27" s="1664"/>
      <c r="F27" s="1664"/>
      <c r="G27" s="1664"/>
      <c r="H27" s="1664"/>
      <c r="I27" s="1664"/>
      <c r="J27" s="1664"/>
      <c r="K27" s="1664"/>
      <c r="L27" s="1665"/>
      <c r="M27" s="1664"/>
      <c r="N27" s="1664"/>
      <c r="O27" s="1664"/>
      <c r="S27" s="2416" t="s">
        <v>39</v>
      </c>
      <c r="T27" s="2416"/>
      <c r="U27" s="1668"/>
      <c r="V27" s="2417" t="str">
        <f>IF(TITLE_NAME_OR_PR_CHANGE="",IF(TITLE_NAME_OR_PR="","",TITLE_NAME_OR_PR),TITLE_NAME_OR_PR_CHANGE)</f>
        <v/>
      </c>
      <c r="W27" s="2417"/>
      <c r="X27" s="2417"/>
      <c r="Y27" s="2417"/>
      <c r="Z27" s="2417"/>
      <c r="AA27" s="2417"/>
      <c r="AB27" s="547"/>
      <c r="AC27" s="2417" t="str">
        <f>IF(TITLE_NAME_OR_PR_CHANGE="",IF(TITLE_NAME_OR_PR="","",TITLE_NAME_OR_PR),TITLE_NAME_OR_PR_CHANGE)</f>
        <v/>
      </c>
      <c r="AD27" s="2417"/>
      <c r="AE27" s="2417"/>
      <c r="AF27" s="2417"/>
      <c r="AG27" s="2417"/>
      <c r="AH27" s="2417"/>
      <c r="AI27" s="547"/>
      <c r="AJ27" s="547"/>
      <c r="AK27" s="490"/>
      <c r="AL27" s="593"/>
      <c r="AM27" s="593"/>
      <c r="AN27" s="593"/>
      <c r="AO27" s="593"/>
      <c r="AP27" s="593"/>
    </row>
    <row s="10859" customFormat="1" customHeight="1" ht="18.75" hidden="1">
      <c r="A28" s="1664"/>
      <c r="B28" s="1664"/>
      <c r="C28" s="1664"/>
      <c r="D28" s="1664"/>
      <c r="E28" s="1664"/>
      <c r="F28" s="1664"/>
      <c r="G28" s="1664"/>
      <c r="H28" s="1664"/>
      <c r="I28" s="1664"/>
      <c r="J28" s="1664"/>
      <c r="K28" s="1664"/>
      <c r="L28" s="1665"/>
      <c r="M28" s="1664"/>
      <c r="N28" s="1664"/>
      <c r="O28" s="1664"/>
      <c r="S28" s="2416" t="s">
        <v>1540</v>
      </c>
      <c r="T28" s="2416"/>
      <c r="U28" s="1668"/>
      <c r="V28" s="2417" t="str">
        <f>IF(TITLE_DATE_CHANGE_PERIOD="",IF(TITLE_DATE_PR="","",TITLE_DATE_PR),TITLE_DATE_CHANGE_PERIOD)</f>
        <v/>
      </c>
      <c r="W28" s="2417"/>
      <c r="X28" s="2417"/>
      <c r="Y28" s="2417"/>
      <c r="Z28" s="2417"/>
      <c r="AA28" s="2417"/>
      <c r="AB28" s="547"/>
      <c r="AC28" s="2417" t="str">
        <f>IF(TITLE_DATE_CHANGE_PERIOD="",IF(TITLE_DATE_PR="","",TITLE_DATE_PR),TITLE_DATE_CHANGE_PERIOD)</f>
        <v/>
      </c>
      <c r="AD28" s="2417"/>
      <c r="AE28" s="2417"/>
      <c r="AF28" s="2417"/>
      <c r="AG28" s="2417"/>
      <c r="AH28" s="2417"/>
      <c r="AI28" s="547"/>
      <c r="AJ28" s="547"/>
      <c r="AK28" s="490"/>
      <c r="AL28" s="593"/>
      <c r="AM28" s="593"/>
      <c r="AN28" s="593"/>
      <c r="AO28" s="593"/>
      <c r="AP28" s="593"/>
    </row>
    <row s="10859" customFormat="1" customHeight="1" ht="18.75" hidden="1">
      <c r="A29" s="1664"/>
      <c r="B29" s="1664"/>
      <c r="C29" s="1664"/>
      <c r="D29" s="1664"/>
      <c r="E29" s="1664"/>
      <c r="F29" s="1664"/>
      <c r="G29" s="1664"/>
      <c r="H29" s="1664"/>
      <c r="I29" s="1664"/>
      <c r="J29" s="1664"/>
      <c r="K29" s="1664"/>
      <c r="L29" s="1665"/>
      <c r="M29" s="1664"/>
      <c r="N29" s="1664"/>
      <c r="O29" s="1664"/>
      <c r="S29" s="2416" t="s">
        <v>1541</v>
      </c>
      <c r="T29" s="2416"/>
      <c r="U29" s="1668"/>
      <c r="V29" s="2417" t="str">
        <f>IF(TITLE_NUMBER_PR_CHANGE="",IF(TITLE_NUMBER_PR="","",TITLE_NUMBER_PR),TITLE_NUMBER_PR_CHANGE)</f>
        <v/>
      </c>
      <c r="W29" s="2417"/>
      <c r="X29" s="2417"/>
      <c r="Y29" s="2417"/>
      <c r="Z29" s="2417"/>
      <c r="AA29" s="2417"/>
      <c r="AB29" s="547"/>
      <c r="AC29" s="2417" t="str">
        <f>IF(TITLE_NUMBER_PR_CHANGE="",IF(TITLE_NUMBER_PR="","",TITLE_NUMBER_PR),TITLE_NUMBER_PR_CHANGE)</f>
        <v/>
      </c>
      <c r="AD29" s="2417"/>
      <c r="AE29" s="2417"/>
      <c r="AF29" s="2417"/>
      <c r="AG29" s="2417"/>
      <c r="AH29" s="2417"/>
      <c r="AI29" s="547"/>
      <c r="AJ29" s="547"/>
      <c r="AK29" s="490"/>
      <c r="AL29" s="593"/>
      <c r="AM29" s="593"/>
      <c r="AN29" s="593"/>
      <c r="AO29" s="593"/>
      <c r="AP29" s="593"/>
    </row>
    <row s="10859" customFormat="1" customHeight="1" ht="18.75" hidden="1">
      <c r="A30" s="1664"/>
      <c r="B30" s="1664"/>
      <c r="C30" s="1664"/>
      <c r="D30" s="1664"/>
      <c r="E30" s="1664"/>
      <c r="F30" s="1664"/>
      <c r="G30" s="1664"/>
      <c r="H30" s="1664"/>
      <c r="I30" s="1664"/>
      <c r="J30" s="1664"/>
      <c r="K30" s="1664"/>
      <c r="L30" s="1665"/>
      <c r="M30" s="1664"/>
      <c r="N30" s="1664"/>
      <c r="O30" s="1664"/>
      <c r="S30" s="2416" t="s">
        <v>40</v>
      </c>
      <c r="T30" s="2416"/>
      <c r="U30" s="1668"/>
      <c r="V30" s="2417" t="str">
        <f>IF(TITLE_IST_PUB_CHANGE="",IF(TITLE_IST_PUB="","",TITLE_IST_PUB),TITLE_IST_PUB_CHANGE)</f>
        <v/>
      </c>
      <c r="W30" s="2417"/>
      <c r="X30" s="2417"/>
      <c r="Y30" s="2417"/>
      <c r="Z30" s="2417"/>
      <c r="AA30" s="2417"/>
      <c r="AB30" s="547"/>
      <c r="AC30" s="2417" t="str">
        <f>IF(TITLE_IST_PUB_CHANGE="",IF(TITLE_IST_PUB="","",TITLE_IST_PUB),TITLE_IST_PUB_CHANGE)</f>
        <v/>
      </c>
      <c r="AD30" s="2417"/>
      <c r="AE30" s="2417"/>
      <c r="AF30" s="2417"/>
      <c r="AG30" s="2417"/>
      <c r="AH30" s="2417"/>
      <c r="AI30" s="547"/>
      <c r="AJ30" s="547"/>
      <c r="AK30" s="490"/>
      <c r="AL30" s="593"/>
      <c r="AM30" s="593"/>
      <c r="AN30" s="593"/>
      <c r="AO30" s="593"/>
      <c r="AP30" s="593"/>
    </row>
    <row customHeight="1" ht="14.25" hidden="1">
      <c r="Q31" s="602"/>
      <c r="R31" s="602"/>
      <c r="S31" s="1565"/>
      <c r="T31" s="586"/>
      <c r="U31" s="586"/>
      <c r="V31" s="541"/>
      <c r="W31" s="541"/>
      <c r="X31" s="541"/>
      <c r="Y31" s="541"/>
      <c r="Z31" s="541"/>
      <c r="AA31" s="541"/>
      <c r="AB31" s="541"/>
      <c r="AC31" s="541"/>
      <c r="AD31" s="541"/>
      <c r="AE31" s="541"/>
      <c r="AF31" s="541"/>
      <c r="AG31" s="541"/>
      <c r="AH31" s="541"/>
      <c r="AI31" s="541"/>
      <c r="AJ31" s="746"/>
    </row>
    <row s="10859" customFormat="1" customHeight="1" ht="18.75" hidden="1">
      <c r="A32" s="1664"/>
      <c r="B32" s="1664"/>
      <c r="C32" s="1664"/>
      <c r="D32" s="1664"/>
      <c r="E32" s="1664"/>
      <c r="F32" s="1664"/>
      <c r="G32" s="1664"/>
      <c r="H32" s="1664"/>
      <c r="I32" s="1664"/>
      <c r="J32" s="1664"/>
      <c r="K32" s="1664"/>
      <c r="L32" s="1665"/>
      <c r="M32" s="1664"/>
      <c r="N32" s="1664"/>
      <c r="O32" s="1664"/>
      <c r="S32" s="2416" t="s">
        <v>1542</v>
      </c>
      <c r="T32" s="2416"/>
      <c r="U32" s="1668"/>
      <c r="V32" s="2417" t="str">
        <f>IF(TITLE_DATE_CHANGE_PERIOD="",IF(TITLE_DATE_PR="","",TITLE_DATE_PR),TITLE_DATE_CHANGE_PERIOD)</f>
        <v/>
      </c>
      <c r="W32" s="2417"/>
      <c r="X32" s="2417"/>
      <c r="Y32" s="2417"/>
      <c r="Z32" s="2417"/>
      <c r="AA32" s="2417"/>
      <c r="AB32" s="547"/>
      <c r="AC32" s="2417" t="str">
        <f>IF(TITLE_DATE_CHANGE_PERIOD="",IF(TITLE_DATE_PR="","",TITLE_DATE_PR),TITLE_DATE_CHANGE_PERIOD)</f>
        <v/>
      </c>
      <c r="AD32" s="2417"/>
      <c r="AE32" s="2417"/>
      <c r="AF32" s="2417"/>
      <c r="AG32" s="2417"/>
      <c r="AH32" s="2417"/>
      <c r="AI32" s="547"/>
      <c r="AJ32" s="547"/>
      <c r="AK32" s="490"/>
      <c r="AL32" s="593"/>
      <c r="AM32" s="593"/>
      <c r="AN32" s="593"/>
      <c r="AO32" s="593"/>
      <c r="AP32" s="593"/>
    </row>
    <row s="10859" customFormat="1" customHeight="1" ht="18.75" hidden="1">
      <c r="A33" s="1664"/>
      <c r="B33" s="1664"/>
      <c r="C33" s="1664"/>
      <c r="D33" s="1664"/>
      <c r="E33" s="1664"/>
      <c r="F33" s="1664"/>
      <c r="G33" s="1664"/>
      <c r="H33" s="1664"/>
      <c r="I33" s="1664"/>
      <c r="J33" s="1664"/>
      <c r="K33" s="1664"/>
      <c r="L33" s="1665"/>
      <c r="M33" s="1664"/>
      <c r="N33" s="1664"/>
      <c r="O33" s="1664"/>
      <c r="S33" s="2416" t="s">
        <v>1543</v>
      </c>
      <c r="T33" s="2416"/>
      <c r="U33" s="1668"/>
      <c r="V33" s="2417" t="str">
        <f>IF(TITLE_NUMBER_PR_CHANGE="",IF(TITLE_NUMBER_PR="","",TITLE_NUMBER_PR),TITLE_NUMBER_PR_CHANGE)</f>
        <v/>
      </c>
      <c r="W33" s="2417"/>
      <c r="X33" s="2417"/>
      <c r="Y33" s="2417"/>
      <c r="Z33" s="2417"/>
      <c r="AA33" s="2417"/>
      <c r="AB33" s="547"/>
      <c r="AC33" s="2417" t="str">
        <f>IF(TITLE_NUMBER_PR_CHANGE="",IF(TITLE_NUMBER_PR="","",TITLE_NUMBER_PR),TITLE_NUMBER_PR_CHANGE)</f>
        <v/>
      </c>
      <c r="AD33" s="2417"/>
      <c r="AE33" s="2417"/>
      <c r="AF33" s="2417"/>
      <c r="AG33" s="2417"/>
      <c r="AH33" s="2417"/>
      <c r="AI33" s="547"/>
      <c r="AJ33" s="547"/>
      <c r="AK33" s="490"/>
      <c r="AL33" s="593"/>
      <c r="AM33" s="593"/>
      <c r="AN33" s="593"/>
      <c r="AO33" s="593"/>
      <c r="AP33" s="593"/>
    </row>
    <row s="10859" customFormat="1" customHeight="1" ht="0.75">
      <c r="A34" s="1664"/>
      <c r="B34" s="1664"/>
      <c r="C34" s="1664"/>
      <c r="D34" s="1664"/>
      <c r="E34" s="1664"/>
      <c r="F34" s="1664"/>
      <c r="G34" s="1664"/>
      <c r="H34" s="1664"/>
      <c r="I34" s="1664"/>
      <c r="J34" s="1664"/>
      <c r="K34" s="1664"/>
      <c r="L34" s="1665"/>
      <c r="M34" s="1664"/>
      <c r="N34" s="1664"/>
      <c r="O34" s="1664"/>
      <c r="S34" s="543"/>
      <c r="T34" s="543"/>
      <c r="U34" s="1785"/>
      <c r="V34" s="547"/>
      <c r="W34" s="547"/>
      <c r="X34" s="547"/>
      <c r="Y34" s="547"/>
      <c r="Z34" s="547"/>
      <c r="AA34" s="547"/>
      <c r="AB34" s="488" t="s">
        <v>1544</v>
      </c>
      <c r="AC34" s="547"/>
      <c r="AD34" s="547"/>
      <c r="AE34" s="547"/>
      <c r="AF34" s="547"/>
      <c r="AG34" s="547"/>
      <c r="AH34" s="547"/>
      <c r="AI34" s="488" t="s">
        <v>1544</v>
      </c>
      <c r="AL34" s="593"/>
      <c r="AM34" s="593"/>
      <c r="AN34" s="593"/>
      <c r="AO34" s="593"/>
      <c r="AP34" s="593"/>
    </row>
    <row customHeight="1" ht="14.25">
      <c r="Q35" s="602"/>
      <c r="R35" s="602"/>
      <c r="S35" s="1565"/>
      <c r="T35" s="586"/>
      <c r="U35" s="1522"/>
      <c r="V35" s="2418"/>
      <c r="W35" s="2418"/>
      <c r="X35" s="2418"/>
      <c r="Y35" s="2418"/>
      <c r="Z35" s="2418"/>
      <c r="AA35" s="2418"/>
      <c r="AB35" s="2418"/>
      <c r="AC35" s="2418"/>
      <c r="AD35" s="2418"/>
      <c r="AE35" s="2418"/>
      <c r="AF35" s="2418"/>
      <c r="AG35" s="2418"/>
      <c r="AH35" s="2418"/>
      <c r="AI35" s="2418"/>
    </row>
    <row customHeight="1" ht="14.25">
      <c r="Q36" s="602"/>
      <c r="R36" s="602"/>
      <c r="S36" s="2277" t="s">
        <v>362</v>
      </c>
      <c r="T36" s="2277"/>
      <c r="U36" s="2277"/>
      <c r="V36" s="2277"/>
      <c r="W36" s="2277"/>
      <c r="X36" s="2277"/>
      <c r="Y36" s="2277"/>
      <c r="Z36" s="2277"/>
      <c r="AA36" s="2277"/>
      <c r="AB36" s="2277"/>
      <c r="AC36" s="2277"/>
      <c r="AD36" s="2277"/>
      <c r="AE36" s="2277"/>
      <c r="AF36" s="2277"/>
      <c r="AG36" s="2277"/>
      <c r="AH36" s="2277"/>
      <c r="AI36" s="2277"/>
      <c r="AJ36" s="2277"/>
      <c r="AK36" s="2277" t="s">
        <v>363</v>
      </c>
    </row>
    <row customHeight="1" ht="14.25">
      <c r="Q37" s="602"/>
      <c r="R37" s="602"/>
      <c r="S37" s="2440" t="s">
        <v>88</v>
      </c>
      <c r="T37" s="2301" t="s">
        <v>1545</v>
      </c>
      <c r="U37" s="511"/>
      <c r="V37" s="2441" t="s">
        <v>1546</v>
      </c>
      <c r="W37" s="2442"/>
      <c r="X37" s="2442"/>
      <c r="Y37" s="2442"/>
      <c r="Z37" s="2442"/>
      <c r="AA37" s="2443"/>
      <c r="AB37" s="2444" t="s">
        <v>1547</v>
      </c>
      <c r="AC37" s="2441" t="s">
        <v>1546</v>
      </c>
      <c r="AD37" s="2442"/>
      <c r="AE37" s="2442"/>
      <c r="AF37" s="2442"/>
      <c r="AG37" s="2442"/>
      <c r="AH37" s="2443"/>
      <c r="AI37" s="2444" t="s">
        <v>1548</v>
      </c>
      <c r="AJ37" s="2447" t="s">
        <v>1549</v>
      </c>
      <c r="AK37" s="2277"/>
    </row>
    <row customHeight="1" ht="33.75">
      <c r="Q38" s="602"/>
      <c r="R38" s="602"/>
      <c r="S38" s="2440"/>
      <c r="T38" s="2301"/>
      <c r="U38" s="1289"/>
      <c r="V38" s="1780" t="s">
        <v>2134</v>
      </c>
      <c r="W38" s="2428" t="s">
        <v>2135</v>
      </c>
      <c r="X38" s="2429"/>
      <c r="Y38" s="2434" t="s">
        <v>1553</v>
      </c>
      <c r="Z38" s="2435"/>
      <c r="AA38" s="2436"/>
      <c r="AB38" s="2445"/>
      <c r="AC38" s="1780" t="s">
        <v>2134</v>
      </c>
      <c r="AD38" s="2428" t="s">
        <v>2135</v>
      </c>
      <c r="AE38" s="2429"/>
      <c r="AF38" s="2434" t="s">
        <v>1553</v>
      </c>
      <c r="AG38" s="2435"/>
      <c r="AH38" s="2436"/>
      <c r="AI38" s="2445"/>
      <c r="AJ38" s="2448"/>
      <c r="AK38" s="2277"/>
    </row>
    <row customHeight="1" ht="86.25">
      <c r="A39" s="1666"/>
      <c r="B39" s="1666" t="s">
        <v>212</v>
      </c>
      <c r="C39" s="1666" t="s">
        <v>213</v>
      </c>
      <c r="D39" s="1666" t="s">
        <v>214</v>
      </c>
      <c r="E39" s="1660" t="s">
        <v>1554</v>
      </c>
      <c r="F39" s="1660" t="s">
        <v>1555</v>
      </c>
      <c r="G39" s="1660" t="s">
        <v>1556</v>
      </c>
      <c r="H39" s="1660"/>
      <c r="I39" s="1660" t="s">
        <v>1741</v>
      </c>
      <c r="J39" s="1660" t="s">
        <v>1559</v>
      </c>
      <c r="K39" s="1660" t="s">
        <v>1742</v>
      </c>
      <c r="L39" s="1660" t="s">
        <v>1535</v>
      </c>
      <c r="Q39" s="602"/>
      <c r="R39" s="602"/>
      <c r="S39" s="2440"/>
      <c r="T39" s="2301"/>
      <c r="U39" s="512"/>
      <c r="V39" s="1780" t="s">
        <v>2136</v>
      </c>
      <c r="W39" s="1497" t="s">
        <v>2137</v>
      </c>
      <c r="X39" s="1497" t="s">
        <v>2138</v>
      </c>
      <c r="Y39" s="1786" t="s">
        <v>1563</v>
      </c>
      <c r="Z39" s="2437" t="s">
        <v>1564</v>
      </c>
      <c r="AA39" s="2438"/>
      <c r="AB39" s="2446"/>
      <c r="AC39" s="1780" t="s">
        <v>2136</v>
      </c>
      <c r="AD39" s="1497" t="s">
        <v>2137</v>
      </c>
      <c r="AE39" s="1497" t="s">
        <v>2138</v>
      </c>
      <c r="AF39" s="1786" t="s">
        <v>1563</v>
      </c>
      <c r="AG39" s="2437" t="s">
        <v>1564</v>
      </c>
      <c r="AH39" s="2438"/>
      <c r="AI39" s="2446"/>
      <c r="AJ39" s="2449"/>
      <c r="AK39" s="2277"/>
    </row>
    <row s="10822" customFormat="1" customHeight="1" ht="11.25" hidden="1">
      <c r="A40" s="1666"/>
      <c r="B40" s="1666"/>
      <c r="C40" s="1666"/>
      <c r="D40" s="1666"/>
      <c r="E40" s="1666"/>
      <c r="F40" s="1666"/>
      <c r="G40" s="1666"/>
      <c r="H40" s="1666"/>
      <c r="I40" s="1666"/>
      <c r="J40" s="1666"/>
      <c r="K40" s="1666"/>
      <c r="L40" s="1660"/>
      <c r="M40" s="1658"/>
      <c r="N40" s="1658"/>
      <c r="O40" s="1658"/>
      <c r="P40" s="1524"/>
      <c r="Q40" s="1525"/>
      <c r="R40" s="1540">
        <v>1</v>
      </c>
      <c r="S40" s="1567" t="s">
        <v>109</v>
      </c>
      <c r="T40" s="1541" t="s">
        <v>110</v>
      </c>
      <c r="U40" s="1523" t="str">
        <f>OFFSET(U40,0,-1)</f>
        <v>2</v>
      </c>
      <c r="V40" s="1779">
        <f>OFFSET(V40,0,-1)+1</f>
        <v>3</v>
      </c>
      <c r="W40" s="1779">
        <f>OFFSET(W40,0,-1)+1</f>
        <v>4</v>
      </c>
      <c r="X40" s="1779">
        <f>OFFSET(X40,0,-1)+1</f>
        <v>5</v>
      </c>
      <c r="Y40" s="1779">
        <f>OFFSET(Y40,0,-1)+1</f>
        <v>6</v>
      </c>
      <c r="Z40" s="2439">
        <f>OFFSET(Z40,0,-1)+1</f>
        <v>7</v>
      </c>
      <c r="AA40" s="2439"/>
      <c r="AB40" s="1779">
        <f>OFFSET(AB40,0,-2)+1</f>
        <v>8</v>
      </c>
      <c r="AC40" s="1779">
        <f>OFFSET(AC40,0,-1)+1</f>
        <v>9</v>
      </c>
      <c r="AD40" s="1779">
        <f>OFFSET(AD40,0,-1)+1</f>
        <v>10</v>
      </c>
      <c r="AE40" s="1779">
        <f>OFFSET(AE40,0,-1)+1</f>
        <v>11</v>
      </c>
      <c r="AF40" s="1779">
        <f>OFFSET(AF40,0,-1)+1</f>
        <v>12</v>
      </c>
      <c r="AG40" s="2439">
        <f>OFFSET(AG40,0,-1)+1</f>
        <v>13</v>
      </c>
      <c r="AH40" s="2439"/>
      <c r="AI40" s="1779">
        <f>OFFSET(AI40,0,-2)+1</f>
        <v>14</v>
      </c>
      <c r="AJ40" s="1523">
        <f>OFFSET(AJ40,0,-1)</f>
        <v>14</v>
      </c>
      <c r="AK40" s="1779">
        <f>OFFSET(AK40,0,-1)+1</f>
        <v>15</v>
      </c>
      <c r="AL40" s="748"/>
      <c r="AM40" s="748"/>
      <c r="AN40" s="748"/>
      <c r="AO40" s="748"/>
      <c r="AP40" s="748"/>
    </row>
    <row customHeight="1" ht="23.25">
      <c r="A41" s="1659" t="s">
        <v>313</v>
      </c>
      <c r="B41" s="1659"/>
      <c r="C41" s="1659"/>
      <c r="D41" s="1659"/>
      <c r="E41" s="2424">
        <v>1</v>
      </c>
      <c r="F41" s="1659"/>
      <c r="G41" s="1659"/>
      <c r="H41" s="1659"/>
      <c r="I41" s="1659"/>
      <c r="J41" s="1659"/>
      <c r="K41" s="1659"/>
      <c r="L41" s="1660"/>
      <c r="M41" s="1661"/>
      <c r="N41" s="1661"/>
      <c r="O41" s="1661"/>
      <c r="P41" s="582"/>
      <c r="Q41" s="581"/>
      <c r="R41" s="576"/>
      <c r="S41" s="1790">
        <f>INDEX(PT_DIFFERENTIATION_NUM_NTAR,MATCH(A41,PT_DIFFERENTIATION_NTAR_ID,0))</f>
        <v>0</v>
      </c>
      <c r="T41" s="508" t="s">
        <v>200</v>
      </c>
      <c r="U41" s="510"/>
      <c r="V41" s="4037"/>
      <c r="W41" s="4038"/>
      <c r="X41" s="4038"/>
      <c r="Y41" s="4038"/>
      <c r="Z41" s="4038"/>
      <c r="AA41" s="4038"/>
      <c r="AB41" s="4039"/>
      <c r="AC41" s="4037" t="str">
        <f>INDEX(PT_DIFFERENTIATION_NTAR,MATCH(A41,PT_DIFFERENTIATION_NTAR_ID,0))</f>
        <v/>
      </c>
      <c r="AD41" s="4038"/>
      <c r="AE41" s="4038"/>
      <c r="AF41" s="4038"/>
      <c r="AG41" s="4038"/>
      <c r="AH41" s="4038"/>
      <c r="AI41" s="4038"/>
      <c r="AJ41" s="4039"/>
      <c r="AK41" s="1546"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737"/>
      <c r="AN41" s="737" t="str">
        <f>IF(T41="","",T41)</f>
        <v>Наименование тарифа</v>
      </c>
      <c r="AO41" s="737"/>
      <c r="AP41" s="737"/>
    </row>
    <row customHeight="1" ht="23.25">
      <c r="A42" s="1659" t="s">
        <v>313</v>
      </c>
      <c r="B42" s="1659" t="s">
        <v>314</v>
      </c>
      <c r="C42" s="1659"/>
      <c r="D42" s="1659"/>
      <c r="E42" s="2425"/>
      <c r="F42" s="2424">
        <v>1</v>
      </c>
      <c r="G42" s="1659"/>
      <c r="H42" s="1659"/>
      <c r="I42" s="1659"/>
      <c r="J42" s="1659"/>
      <c r="K42" s="1659"/>
      <c r="L42" s="1660"/>
      <c r="M42" s="1661"/>
      <c r="N42" s="1661"/>
      <c r="O42" s="1661"/>
      <c r="P42" s="1784"/>
      <c r="Q42" s="573"/>
      <c r="R42" s="574"/>
      <c r="S42" s="1790" t="str">
        <f>INDEX(PT_DIFFERENTIATION_NUM_TER,MATCH(B42,PT_DIFFERENTIATION_TER_ID,0))</f>
        <v>.</v>
      </c>
      <c r="T42" s="520" t="s">
        <v>1517</v>
      </c>
      <c r="U42" s="510"/>
      <c r="V42" s="4037"/>
      <c r="W42" s="4038"/>
      <c r="X42" s="4038"/>
      <c r="Y42" s="4038"/>
      <c r="Z42" s="4038"/>
      <c r="AA42" s="4038"/>
      <c r="AB42" s="4039"/>
      <c r="AC42" s="4037" t="str">
        <f>INDEX(PT_DIFFERENTIATION_TER,MATCH(B42,PT_DIFFERENTIATION_TER_ID,0))</f>
        <v/>
      </c>
      <c r="AD42" s="4038"/>
      <c r="AE42" s="4038"/>
      <c r="AF42" s="4038"/>
      <c r="AG42" s="4038"/>
      <c r="AH42" s="4038"/>
      <c r="AI42" s="4038"/>
      <c r="AJ42" s="4039"/>
      <c r="AK42" s="1546" t="s">
        <v>1518</v>
      </c>
      <c r="AM42" s="737"/>
      <c r="AN42" s="737" t="str">
        <f>IF(T42="","",T42)</f>
        <v>Территория действия тарифа</v>
      </c>
      <c r="AO42" s="737"/>
      <c r="AP42" s="737"/>
    </row>
    <row customHeight="1" ht="23.25">
      <c r="A43" s="1659" t="s">
        <v>313</v>
      </c>
      <c r="B43" s="1659" t="s">
        <v>314</v>
      </c>
      <c r="C43" s="1659" t="s">
        <v>315</v>
      </c>
      <c r="D43" s="1659"/>
      <c r="E43" s="2425"/>
      <c r="F43" s="2425"/>
      <c r="G43" s="2424">
        <v>1</v>
      </c>
      <c r="H43" s="1659"/>
      <c r="I43" s="1659"/>
      <c r="J43" s="1659"/>
      <c r="K43" s="1659"/>
      <c r="L43" s="1660"/>
      <c r="M43" s="1661"/>
      <c r="N43" s="1661"/>
      <c r="O43" s="1661"/>
      <c r="P43" s="575"/>
      <c r="Q43" s="573"/>
      <c r="R43" s="574"/>
      <c r="S43" s="1790" t="str">
        <f>INDEX(PT_DIFFERENTIATION_NUM_CS,MATCH(C43,PT_DIFFERENTIATION_CS_ID,0))</f>
        <v>..</v>
      </c>
      <c r="T43" s="521" t="s">
        <v>2132</v>
      </c>
      <c r="U43" s="510"/>
      <c r="V43" s="4037"/>
      <c r="W43" s="4038"/>
      <c r="X43" s="4038"/>
      <c r="Y43" s="4038"/>
      <c r="Z43" s="4038"/>
      <c r="AA43" s="4038"/>
      <c r="AB43" s="4039"/>
      <c r="AC43" s="4037" t="str">
        <f>INDEX(PT_DIFFERENTIATION_CS,MATCH(C43,PT_DIFFERENTIATION_CS_ID,0))</f>
        <v/>
      </c>
      <c r="AD43" s="4038"/>
      <c r="AE43" s="4038"/>
      <c r="AF43" s="4038"/>
      <c r="AG43" s="4038"/>
      <c r="AH43" s="4038"/>
      <c r="AI43" s="4038"/>
      <c r="AJ43" s="4039"/>
      <c r="AK43" s="1546" t="s">
        <v>2133</v>
      </c>
      <c r="AM43" s="737"/>
      <c r="AN43" s="737" t="str">
        <f>IF(T43="","",T43)</f>
        <v>Наименование централизованной системы горячего водоснабжения</v>
      </c>
      <c r="AO43" s="737"/>
      <c r="AP43" s="737"/>
    </row>
    <row customHeight="1" ht="23.25">
      <c r="A44" s="1659" t="s">
        <v>313</v>
      </c>
      <c r="B44" s="1659" t="s">
        <v>314</v>
      </c>
      <c r="C44" s="1659" t="s">
        <v>315</v>
      </c>
      <c r="D44" s="1659" t="s">
        <v>2139</v>
      </c>
      <c r="E44" s="2425"/>
      <c r="F44" s="2425"/>
      <c r="G44" s="2425"/>
      <c r="H44" s="2425"/>
      <c r="I44" s="2453" t="str">
        <f>S43&amp;".1"</f>
        <v>...1</v>
      </c>
      <c r="J44" s="1659"/>
      <c r="K44" s="1659"/>
      <c r="L44" s="1660"/>
      <c r="P44" s="2423">
        <v>1</v>
      </c>
      <c r="Q44" s="1778"/>
      <c r="R44" s="577"/>
      <c r="S44" s="1790" t="str">
        <f>$I44</f>
        <v>...1</v>
      </c>
      <c r="T44" s="495" t="s">
        <v>1734</v>
      </c>
      <c r="U44" s="510"/>
      <c r="V44" s="2574"/>
      <c r="W44" s="2575"/>
      <c r="X44" s="2575"/>
      <c r="Y44" s="2575"/>
      <c r="Z44" s="2575"/>
      <c r="AA44" s="2575"/>
      <c r="AB44" s="2576"/>
      <c r="AC44" s="2577"/>
      <c r="AD44" s="2578"/>
      <c r="AE44" s="2578"/>
      <c r="AF44" s="2578"/>
      <c r="AG44" s="2578"/>
      <c r="AH44" s="2578"/>
      <c r="AI44" s="2578"/>
      <c r="AJ44" s="2579"/>
      <c r="AK44" s="1546" t="s">
        <v>1735</v>
      </c>
      <c r="AM44" s="737"/>
      <c r="AN44" s="737" t="str">
        <f>IF(T44="","",T44)</f>
        <v>Наименование признака дифференциации</v>
      </c>
      <c r="AO44" s="737"/>
      <c r="AP44" s="737"/>
    </row>
    <row customHeight="1" ht="23.25">
      <c r="A45" s="1659" t="s">
        <v>313</v>
      </c>
      <c r="B45" s="1659" t="s">
        <v>314</v>
      </c>
      <c r="C45" s="1659" t="s">
        <v>315</v>
      </c>
      <c r="D45" s="1659" t="s">
        <v>2139</v>
      </c>
      <c r="E45" s="2425"/>
      <c r="F45" s="2425"/>
      <c r="G45" s="2425"/>
      <c r="H45" s="2425"/>
      <c r="I45" s="2454"/>
      <c r="J45" s="2422" t="str">
        <f>I44&amp;".1"</f>
        <v>...1.1</v>
      </c>
      <c r="K45" s="1659"/>
      <c r="L45" s="1660" t="s">
        <v>1526</v>
      </c>
      <c r="P45" s="2423"/>
      <c r="Q45" s="2423">
        <v>1</v>
      </c>
      <c r="R45" s="578"/>
      <c r="S45" s="1790" t="str">
        <f>$J45</f>
        <v>...1.1</v>
      </c>
      <c r="T45" s="496" t="s">
        <v>1527</v>
      </c>
      <c r="U45" s="510"/>
      <c r="V45" s="2411"/>
      <c r="W45" s="2412"/>
      <c r="X45" s="2412"/>
      <c r="Y45" s="2412"/>
      <c r="Z45" s="2412"/>
      <c r="AA45" s="2412"/>
      <c r="AB45" s="2413"/>
      <c r="AC45" s="2411"/>
      <c r="AD45" s="2412"/>
      <c r="AE45" s="2412"/>
      <c r="AF45" s="2412"/>
      <c r="AG45" s="2412"/>
      <c r="AH45" s="2412"/>
      <c r="AI45" s="2412"/>
      <c r="AJ45" s="2413"/>
      <c r="AK45" s="1602" t="s">
        <v>1736</v>
      </c>
      <c r="AM45" s="737"/>
      <c r="AN45" s="737" t="str">
        <f>IF(T45="","",T45)</f>
        <v>Группа потребителей</v>
      </c>
      <c r="AO45" s="737"/>
      <c r="AP45" s="737"/>
    </row>
    <row customHeight="1" ht="23.25">
      <c r="A46" s="1659" t="s">
        <v>313</v>
      </c>
      <c r="B46" s="1659" t="s">
        <v>314</v>
      </c>
      <c r="C46" s="1659" t="s">
        <v>315</v>
      </c>
      <c r="D46" s="1659" t="s">
        <v>2139</v>
      </c>
      <c r="E46" s="2425"/>
      <c r="F46" s="2425"/>
      <c r="G46" s="2425"/>
      <c r="H46" s="2425"/>
      <c r="I46" s="2454"/>
      <c r="J46" s="2455"/>
      <c r="K46" s="2422" t="str">
        <f>J45&amp;".1"</f>
        <v>...1.1.1</v>
      </c>
      <c r="L46" s="1660"/>
      <c r="P46" s="2423"/>
      <c r="Q46" s="2423"/>
      <c r="R46" s="578">
        <v>1</v>
      </c>
      <c r="S46" s="1790" t="str">
        <f>$K46</f>
        <v>...1.1.1</v>
      </c>
      <c r="T46" s="1734"/>
      <c r="U46" s="510"/>
      <c r="V46" s="4098"/>
      <c r="W46" s="4098"/>
      <c r="X46" s="4099"/>
      <c r="Y46" s="2432"/>
      <c r="Z46" s="2433" t="s">
        <v>67</v>
      </c>
      <c r="AA46" s="2432"/>
      <c r="AB46" s="2433" t="s">
        <v>67</v>
      </c>
      <c r="AC46" s="4065"/>
      <c r="AD46" s="4065"/>
      <c r="AE46" s="4067"/>
      <c r="AF46" s="2430"/>
      <c r="AG46" s="2142" t="s">
        <v>67</v>
      </c>
      <c r="AH46" s="2456"/>
      <c r="AI46" s="2142" t="s">
        <v>57</v>
      </c>
      <c r="AJ46" s="4569"/>
      <c r="AK46" s="257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748">
        <f>STRCHECKDATE(V47:AJ47)</f>
      </c>
      <c r="AM46" s="737"/>
      <c r="AN46" s="737" t="str">
        <f>IF(T46="","",T46)</f>
        <v/>
      </c>
      <c r="AO46" s="737"/>
      <c r="AP46" s="737"/>
    </row>
    <row customHeight="1" ht="0">
      <c r="A47" s="1659" t="s">
        <v>313</v>
      </c>
      <c r="B47" s="1659" t="s">
        <v>314</v>
      </c>
      <c r="C47" s="1659" t="s">
        <v>315</v>
      </c>
      <c r="D47" s="1659" t="s">
        <v>2139</v>
      </c>
      <c r="E47" s="2425"/>
      <c r="F47" s="2425"/>
      <c r="G47" s="2425"/>
      <c r="H47" s="2425"/>
      <c r="I47" s="2454"/>
      <c r="J47" s="2455"/>
      <c r="K47" s="2422"/>
      <c r="L47" s="1660"/>
      <c r="P47" s="2423"/>
      <c r="Q47" s="2423"/>
      <c r="R47" s="578"/>
      <c r="S47" s="1787"/>
      <c r="T47" s="510"/>
      <c r="U47" s="510"/>
      <c r="V47" s="4098"/>
      <c r="W47" s="4098"/>
      <c r="X47" s="4071" t="str">
        <f>Y46&amp;"-"&amp;AA46</f>
        <v>-</v>
      </c>
      <c r="Y47" s="2433"/>
      <c r="Z47" s="2433"/>
      <c r="AA47" s="2433"/>
      <c r="AB47" s="2433"/>
      <c r="AC47" s="4066"/>
      <c r="AD47" s="4066"/>
      <c r="AE47" s="4071" t="str">
        <f>AF46&amp;"-"&amp;AH46</f>
        <v>-</v>
      </c>
      <c r="AF47" s="2431"/>
      <c r="AG47" s="2142"/>
      <c r="AH47" s="2457"/>
      <c r="AI47" s="2142"/>
      <c r="AJ47" s="4572"/>
      <c r="AK47" s="2573"/>
      <c r="AM47" s="737"/>
      <c r="AN47" s="737" t="str">
        <f>IF(T47="","",T47)</f>
        <v/>
      </c>
      <c r="AO47" s="737"/>
      <c r="AP47" s="737"/>
    </row>
    <row customHeight="1" ht="21">
      <c r="A48" s="1659" t="s">
        <v>313</v>
      </c>
      <c r="B48" s="1659" t="s">
        <v>314</v>
      </c>
      <c r="C48" s="1659" t="s">
        <v>315</v>
      </c>
      <c r="D48" s="1659" t="s">
        <v>2139</v>
      </c>
      <c r="E48" s="2425"/>
      <c r="F48" s="2425"/>
      <c r="G48" s="2425"/>
      <c r="H48" s="2425"/>
      <c r="I48" s="2454"/>
      <c r="J48" s="2422"/>
      <c r="K48" s="1659"/>
      <c r="L48" s="1660"/>
      <c r="P48" s="2423"/>
      <c r="Q48" s="2423"/>
      <c r="R48" s="577"/>
      <c r="S48" s="1568"/>
      <c r="T48" s="497" t="s">
        <v>1737</v>
      </c>
      <c r="U48" s="592"/>
      <c r="V48" s="592"/>
      <c r="W48" s="592"/>
      <c r="X48" s="592"/>
      <c r="Y48" s="592"/>
      <c r="Z48" s="592"/>
      <c r="AA48" s="592"/>
      <c r="AB48" s="592"/>
      <c r="AC48" s="592"/>
      <c r="AD48" s="592"/>
      <c r="AE48" s="592"/>
      <c r="AF48" s="592"/>
      <c r="AG48" s="592"/>
      <c r="AH48" s="592"/>
      <c r="AI48" s="592"/>
      <c r="AJ48" s="592"/>
      <c r="AK48" s="1546" t="s">
        <v>1738</v>
      </c>
      <c r="AM48" s="737"/>
      <c r="AN48" s="737" t="str">
        <f>IF(T48="","",T48)</f>
        <v>Добавить значение признака дифференциации</v>
      </c>
      <c r="AO48" s="737"/>
      <c r="AP48" s="737"/>
    </row>
    <row customHeight="1" ht="21">
      <c r="A49" s="1659" t="s">
        <v>313</v>
      </c>
      <c r="B49" s="1659" t="s">
        <v>314</v>
      </c>
      <c r="C49" s="1659" t="s">
        <v>315</v>
      </c>
      <c r="D49" s="1659" t="s">
        <v>2139</v>
      </c>
      <c r="E49" s="2425"/>
      <c r="F49" s="2425"/>
      <c r="G49" s="2425"/>
      <c r="H49" s="2425"/>
      <c r="I49" s="2453"/>
      <c r="J49" s="1659"/>
      <c r="K49" s="1659"/>
      <c r="L49" s="1660"/>
      <c r="P49" s="2423"/>
      <c r="Q49" s="1778"/>
      <c r="R49" s="577"/>
      <c r="S49" s="1568"/>
      <c r="T49" s="589" t="s">
        <v>1532</v>
      </c>
      <c r="U49" s="592"/>
      <c r="V49" s="592"/>
      <c r="W49" s="592"/>
      <c r="X49" s="592"/>
      <c r="Y49" s="592"/>
      <c r="Z49" s="592"/>
      <c r="AA49" s="592"/>
      <c r="AB49" s="591"/>
      <c r="AC49" s="592"/>
      <c r="AD49" s="592"/>
      <c r="AE49" s="592"/>
      <c r="AF49" s="592"/>
      <c r="AG49" s="592"/>
      <c r="AH49" s="592"/>
      <c r="AI49" s="591"/>
      <c r="AJ49" s="592"/>
      <c r="AK49" s="1737"/>
      <c r="AM49" s="737"/>
      <c r="AN49" s="737" t="str">
        <f>IF(T49="","",T49)</f>
        <v>Добавить группу потребителей</v>
      </c>
      <c r="AO49" s="737"/>
      <c r="AP49" s="737"/>
    </row>
    <row customHeight="1" ht="21">
      <c r="A50" s="1659" t="s">
        <v>313</v>
      </c>
      <c r="B50" s="1659" t="s">
        <v>314</v>
      </c>
      <c r="C50" s="1659" t="s">
        <v>315</v>
      </c>
      <c r="D50" s="1659" t="s">
        <v>2139</v>
      </c>
      <c r="E50" s="2425"/>
      <c r="F50" s="2425"/>
      <c r="G50" s="2425"/>
      <c r="H50" s="2424"/>
      <c r="I50" s="1659"/>
      <c r="J50" s="1659"/>
      <c r="K50" s="1659"/>
      <c r="L50" s="1660"/>
      <c r="M50" s="1661"/>
      <c r="N50" s="1661"/>
      <c r="O50" s="774"/>
      <c r="P50" s="581"/>
      <c r="Q50" s="601"/>
      <c r="R50" s="576"/>
      <c r="S50" s="1568"/>
      <c r="T50" s="597" t="s">
        <v>1739</v>
      </c>
      <c r="U50" s="592"/>
      <c r="V50" s="592"/>
      <c r="W50" s="592"/>
      <c r="X50" s="592"/>
      <c r="Y50" s="592"/>
      <c r="Z50" s="592"/>
      <c r="AA50" s="592"/>
      <c r="AB50" s="591"/>
      <c r="AC50" s="592"/>
      <c r="AD50" s="592"/>
      <c r="AE50" s="592"/>
      <c r="AF50" s="592"/>
      <c r="AG50" s="592"/>
      <c r="AH50" s="592"/>
      <c r="AI50" s="591"/>
      <c r="AJ50" s="592"/>
      <c r="AK50" s="513"/>
      <c r="AM50" s="737"/>
      <c r="AN50" s="737" t="str">
        <f>IF(T50="","",T50)</f>
        <v>Добавить наименование признака дифференциации</v>
      </c>
      <c r="AO50" s="737"/>
      <c r="AP50" s="737"/>
    </row>
    <row s="10863" customFormat="1" customHeight="1" ht="0.75">
      <c r="A51" s="1638" t="s">
        <v>313</v>
      </c>
      <c r="B51" s="1638" t="s">
        <v>314</v>
      </c>
      <c r="C51" s="1609"/>
      <c r="D51" s="1609"/>
      <c r="E51" s="2425"/>
      <c r="F51" s="2424"/>
      <c r="G51" s="1609"/>
      <c r="H51" s="1609"/>
      <c r="I51" s="1609"/>
      <c r="J51" s="1609"/>
      <c r="K51" s="1609"/>
      <c r="L51" s="1791"/>
      <c r="M51" s="1616"/>
      <c r="N51" s="1616"/>
      <c r="P51" s="1611"/>
      <c r="Q51" s="1612"/>
      <c r="R51" s="1611"/>
      <c r="S51" s="1617"/>
      <c r="T51" s="1620" t="s">
        <v>1493</v>
      </c>
      <c r="U51" s="1619"/>
      <c r="V51" s="1619"/>
      <c r="W51" s="1619"/>
      <c r="X51" s="1619"/>
      <c r="Y51" s="1619"/>
      <c r="Z51" s="1619"/>
      <c r="AA51" s="1619"/>
      <c r="AB51" s="1619"/>
      <c r="AC51" s="1619"/>
      <c r="AD51" s="1619"/>
      <c r="AE51" s="1619"/>
      <c r="AF51" s="1619"/>
      <c r="AG51" s="1619"/>
      <c r="AH51" s="1619"/>
      <c r="AI51" s="1619"/>
      <c r="AJ51" s="1619"/>
      <c r="AK51" s="1619"/>
      <c r="AM51" s="1029"/>
      <c r="AN51" s="1029" t="str">
        <f>IF(T51="","",T51)</f>
        <v>Добавить централизованную систему для дифференциации</v>
      </c>
      <c r="AO51" s="1029"/>
      <c r="AP51" s="1029"/>
    </row>
    <row s="10863" customFormat="1" customHeight="1" ht="0.75">
      <c r="A52" s="1638" t="s">
        <v>313</v>
      </c>
      <c r="B52" s="1638"/>
      <c r="C52" s="1638"/>
      <c r="D52" s="1638"/>
      <c r="E52" s="2424"/>
      <c r="F52" s="1638"/>
      <c r="G52" s="1638"/>
      <c r="H52" s="1638"/>
      <c r="I52" s="1638"/>
      <c r="J52" s="1638"/>
      <c r="K52" s="1638"/>
      <c r="L52" s="1641"/>
      <c r="M52" s="1616"/>
      <c r="N52" s="1616"/>
      <c r="O52" s="755"/>
      <c r="P52" s="610"/>
      <c r="Q52" s="1639"/>
      <c r="R52" s="610"/>
      <c r="S52" s="1617"/>
      <c r="T52" s="1620" t="s">
        <v>1494</v>
      </c>
      <c r="U52" s="1619"/>
      <c r="V52" s="1619"/>
      <c r="W52" s="1619"/>
      <c r="X52" s="1619"/>
      <c r="Y52" s="1619"/>
      <c r="Z52" s="1619"/>
      <c r="AA52" s="1619"/>
      <c r="AB52" s="1619"/>
      <c r="AC52" s="1619"/>
      <c r="AD52" s="1619"/>
      <c r="AE52" s="1619"/>
      <c r="AF52" s="1619"/>
      <c r="AG52" s="1619"/>
      <c r="AH52" s="1619"/>
      <c r="AI52" s="1619"/>
      <c r="AJ52" s="1619"/>
      <c r="AK52" s="1619"/>
      <c r="AM52" s="737"/>
      <c r="AN52" s="737" t="str">
        <f>IF(T52="","",T52)</f>
        <v>Добавить территорию для дифференциации</v>
      </c>
      <c r="AO52" s="737"/>
      <c r="AP52" s="737"/>
    </row>
    <row s="10863" customFormat="1" customHeight="1" ht="0.75">
      <c r="A53" s="1609"/>
      <c r="B53" s="1609"/>
      <c r="C53" s="1609"/>
      <c r="D53" s="1609"/>
      <c r="E53" s="1638"/>
      <c r="F53" s="1609"/>
      <c r="G53" s="1609"/>
      <c r="H53" s="1609"/>
      <c r="I53" s="1609"/>
      <c r="J53" s="1609"/>
      <c r="K53" s="1609"/>
      <c r="L53" s="1791"/>
      <c r="M53" s="1616"/>
      <c r="N53" s="1616"/>
      <c r="P53" s="1611"/>
      <c r="Q53" s="1612"/>
      <c r="R53" s="1611"/>
      <c r="S53" s="1617"/>
      <c r="T53" s="1620" t="s">
        <v>1495</v>
      </c>
      <c r="U53" s="1619"/>
      <c r="V53" s="1619"/>
      <c r="W53" s="1619"/>
      <c r="X53" s="1619"/>
      <c r="Y53" s="1619"/>
      <c r="Z53" s="1619"/>
      <c r="AA53" s="1619"/>
      <c r="AB53" s="1619"/>
      <c r="AC53" s="1619"/>
      <c r="AD53" s="1619"/>
      <c r="AE53" s="1619"/>
      <c r="AF53" s="1619"/>
      <c r="AG53" s="1619"/>
      <c r="AH53" s="1619"/>
      <c r="AI53" s="1619"/>
      <c r="AJ53" s="1619"/>
      <c r="AK53" s="1619"/>
      <c r="AM53" s="1029"/>
      <c r="AN53" s="1029" t="str">
        <f>IF(T53="","",T53)</f>
        <v>Добавить наименование тарифа</v>
      </c>
      <c r="AO53" s="1029"/>
      <c r="AP53" s="1029"/>
    </row>
    <row customHeight="1" ht="11.25">
      <c r="M54" s="1421"/>
      <c r="N54" s="1421"/>
      <c r="O54" s="774"/>
      <c r="P54" s="1416"/>
      <c r="Q54" s="1416"/>
      <c r="R54" s="1416"/>
      <c r="S54" s="1416"/>
      <c r="AL54" s="1416"/>
      <c r="AM54" s="1416"/>
      <c r="AN54" s="1416"/>
      <c r="AO54" s="1416"/>
      <c r="AP54" s="1416"/>
    </row>
    <row customHeight="1" ht="14.25">
      <c r="O55" s="774"/>
      <c r="S55" s="1533" t="s">
        <v>1565</v>
      </c>
      <c r="T55" s="2452" t="s">
        <v>2140</v>
      </c>
      <c r="U55" s="2452"/>
      <c r="V55" s="2452"/>
      <c r="W55" s="2452"/>
      <c r="X55" s="2452"/>
      <c r="Y55" s="2452"/>
      <c r="Z55" s="2452"/>
      <c r="AA55" s="2452"/>
      <c r="AB55" s="2452"/>
      <c r="AC55" s="2452"/>
      <c r="AD55" s="2452"/>
      <c r="AE55" s="2452"/>
      <c r="AF55" s="2452"/>
      <c r="AG55" s="2452"/>
      <c r="AH55" s="2452"/>
      <c r="AI55" s="2452"/>
      <c r="AJ55" s="2452"/>
      <c r="AK55" s="2452"/>
    </row>
    <row customHeight="1" ht="14.25">
      <c r="O56" s="774"/>
    </row>
    <row customHeight="1" ht="14.25">
      <c r="O57" s="774"/>
      <c r="S57" s="1533" t="s">
        <v>1565</v>
      </c>
      <c r="T57" s="2452" t="s">
        <v>2141</v>
      </c>
      <c r="U57" s="2452"/>
      <c r="V57" s="2452"/>
      <c r="W57" s="2452"/>
      <c r="X57" s="2452"/>
      <c r="Y57" s="2452"/>
      <c r="Z57" s="2452"/>
      <c r="AA57" s="2452"/>
      <c r="AB57" s="2452"/>
      <c r="AC57" s="2452"/>
      <c r="AD57" s="2452"/>
      <c r="AE57" s="2452"/>
      <c r="AF57" s="2452"/>
      <c r="AG57" s="2452"/>
      <c r="AH57" s="2452"/>
      <c r="AI57" s="2452"/>
      <c r="AJ57" s="2452"/>
      <c r="AK57" s="2452"/>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A140DDD-C898-5B9E-31EF-8DF8BAD62D7E}" mc:Ignorable="x14ac xr xr2 xr3">
  <sheetPr>
    <tabColor theme="6" tint="0.4"/>
  </sheetPr>
  <dimension ref="A1:BH68"/>
  <sheetViews>
    <sheetView topLeftCell="R27" showGridLines="0" zoomScale="90" workbookViewId="0">
      <selection activeCell="A1" sqref="A1"/>
    </sheetView>
  </sheetViews>
  <sheetFormatPr defaultColWidth="10.57421875" customHeight="1" defaultRowHeight="14.25"/>
  <cols>
    <col min="1" max="1" style="11074" width="11.57421875" hidden="1" customWidth="1"/>
    <col min="2" max="2" style="11074" width="11.00390625" hidden="1" customWidth="1"/>
    <col min="3" max="3" style="11074" width="10.57421875" hidden="1"/>
    <col min="4" max="4" style="11074" width="12.8515625" hidden="1" customWidth="1"/>
    <col min="5" max="5" style="11074" width="10.00390625" hidden="1" customWidth="1"/>
    <col min="6" max="6" style="11074" width="8.7109375" hidden="1" customWidth="1"/>
    <col min="7" max="7" style="11074" width="7.57421875" hidden="1" customWidth="1"/>
    <col min="8" max="8" style="11074" width="11.421875" hidden="1" customWidth="1"/>
    <col min="9" max="9" style="11074" width="12.00390625" hidden="1" customWidth="1"/>
    <col min="10" max="10" style="11074" width="9.8515625" hidden="1" customWidth="1"/>
    <col min="11" max="11" style="11074" width="11.421875" hidden="1" customWidth="1"/>
    <col min="12" max="12" style="11240" width="19.140625" hidden="1" customWidth="1"/>
    <col min="13" max="14" style="9887" width="12.28125" hidden="1" customWidth="1"/>
    <col min="15" max="15" style="9887" width="23.421875" hidden="1" customWidth="1"/>
    <col min="16" max="16" style="9887" width="3.7109375" hidden="1" customWidth="1"/>
    <col min="17" max="17" style="9945" width="3.7109375" hidden="1" customWidth="1"/>
    <col min="18" max="18" style="10046" width="3.7109375" customWidth="1"/>
    <col min="19" max="19" style="11124" width="12.7109375" customWidth="1"/>
    <col min="20" max="20" style="11126" width="32.00390625" customWidth="1"/>
    <col min="21" max="21" style="11126" width="0.140625" customWidth="1"/>
    <col min="22" max="25" style="11126" width="21.7109375" hidden="1" customWidth="1"/>
    <col min="26" max="26" style="11126" width="11.7109375" hidden="1" customWidth="1"/>
    <col min="27" max="27" style="11126" width="3.7109375" hidden="1" customWidth="1"/>
    <col min="28" max="28" style="11126" width="11.7109375" hidden="1" customWidth="1"/>
    <col min="29" max="29" style="11126" width="8.57421875" hidden="1" customWidth="1"/>
    <col min="30" max="32" style="11126" width="3.7109375" customWidth="1"/>
    <col min="33" max="33" style="11126" width="24.7109375" customWidth="1"/>
    <col min="34" max="36" style="11126" width="3.7109375" customWidth="1"/>
    <col min="37" max="37" style="11126" width="24.7109375" customWidth="1"/>
    <col min="38" max="40" style="11126" width="3.7109375" customWidth="1"/>
    <col min="41" max="41" style="11126" width="18.8515625" customWidth="1"/>
    <col min="42" max="44" style="11126" width="3.7109375" customWidth="1"/>
    <col min="45" max="45" style="11126" width="18.8515625" customWidth="1"/>
    <col min="46" max="49" style="11126" width="21.7109375" customWidth="1"/>
    <col min="50" max="50" style="11126" width="11.7109375" customWidth="1"/>
    <col min="51" max="51" style="11126" width="3.7109375" customWidth="1"/>
    <col min="52" max="52" style="11126" width="11.7109375" customWidth="1"/>
    <col min="53" max="53" style="11126" width="8.57421875" hidden="1" customWidth="1"/>
    <col min="54" max="54" style="11126" width="4.7109375" customWidth="1"/>
    <col min="55" max="55" style="11126" width="115.7109375" customWidth="1"/>
    <col min="56" max="57" style="10863" width="10.57421875"/>
    <col min="58" max="58" style="10863" width="11.140625" customWidth="1"/>
    <col min="59" max="60" style="10863" width="10.57421875"/>
  </cols>
  <sheetData>
    <row customHeight="1" ht="14.25" hidden="1">
      <c r="W1" s="548"/>
      <c r="Y1" s="548"/>
      <c r="Z1" s="548"/>
      <c r="AW1" s="548"/>
      <c r="AX1" s="548"/>
    </row>
    <row customHeight="1" ht="21" hidden="1">
      <c r="A2" s="1659"/>
      <c r="B2" s="1659"/>
      <c r="C2" s="1659"/>
      <c r="D2" s="1659"/>
      <c r="E2" s="2424">
        <v>1</v>
      </c>
      <c r="F2" s="1659"/>
      <c r="G2" s="1659"/>
      <c r="H2" s="1659"/>
      <c r="I2" s="1659"/>
      <c r="J2" s="1659"/>
      <c r="K2" s="1659"/>
      <c r="L2" s="1660"/>
      <c r="M2" s="1661"/>
      <c r="N2" s="1661"/>
      <c r="O2" s="1661"/>
      <c r="P2" s="1706"/>
      <c r="Q2" s="1120"/>
      <c r="R2" s="576"/>
      <c r="S2" s="1790">
        <f>INDEX(PT_DIFFERENTIATION_NUM_NTAR,MATCH(A2,PT_DIFFERENTIATION_NTAR_ID,0))</f>
      </c>
      <c r="T2" s="508" t="s">
        <v>200</v>
      </c>
      <c r="U2" s="510"/>
      <c r="V2" s="4038"/>
      <c r="W2" s="4038"/>
      <c r="X2" s="4038"/>
      <c r="Y2" s="4038"/>
      <c r="Z2" s="4038"/>
      <c r="AA2" s="4038"/>
      <c r="AB2" s="4038"/>
      <c r="AC2" s="4039"/>
      <c r="AD2" s="4037">
        <f>INDEX(PT_DIFFERENTIATION_NTAR,MATCH(A2,PT_DIFFERENTIATION_NTAR_ID,0))</f>
      </c>
      <c r="AE2" s="4038"/>
      <c r="AF2" s="4038"/>
      <c r="AG2" s="4038"/>
      <c r="AH2" s="4038"/>
      <c r="AI2" s="4038"/>
      <c r="AJ2" s="4038"/>
      <c r="AK2" s="4038"/>
      <c r="AL2" s="4038"/>
      <c r="AM2" s="4038"/>
      <c r="AN2" s="4038"/>
      <c r="AO2" s="4038"/>
      <c r="AP2" s="4038"/>
      <c r="AQ2" s="4038"/>
      <c r="AR2" s="4038"/>
      <c r="AS2" s="4038"/>
      <c r="AT2" s="4038"/>
      <c r="AU2" s="4038"/>
      <c r="AV2" s="4038"/>
      <c r="AW2" s="4038"/>
      <c r="AX2" s="4038"/>
      <c r="AY2" s="4038"/>
      <c r="AZ2" s="4038"/>
      <c r="BA2" s="4038"/>
      <c r="BB2" s="4039"/>
      <c r="BC2" s="1546"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737"/>
      <c r="BF2" s="737" t="str">
        <f>IF(T2="","",T2)</f>
        <v>Наименование тарифа</v>
      </c>
      <c r="BG2" s="737"/>
      <c r="BH2" s="737"/>
    </row>
    <row customHeight="1" ht="21" hidden="1">
      <c r="A3" s="1659"/>
      <c r="B3" s="1659"/>
      <c r="C3" s="1659"/>
      <c r="D3" s="1659"/>
      <c r="E3" s="2425"/>
      <c r="F3" s="2424">
        <v>1</v>
      </c>
      <c r="G3" s="1659"/>
      <c r="H3" s="1659"/>
      <c r="I3" s="1659"/>
      <c r="J3" s="1659"/>
      <c r="K3" s="1659"/>
      <c r="L3" s="1660"/>
      <c r="M3" s="1661"/>
      <c r="N3" s="1661"/>
      <c r="O3" s="1661"/>
      <c r="P3" s="1707"/>
      <c r="Q3" s="1708"/>
      <c r="R3" s="574"/>
      <c r="S3" s="1790">
        <f>INDEX(PT_DIFFERENTIATION_NUM_TER,MATCH(B3,PT_DIFFERENTIATION_TER_ID,0))</f>
      </c>
      <c r="T3" s="520" t="s">
        <v>1517</v>
      </c>
      <c r="U3" s="510"/>
      <c r="V3" s="4038"/>
      <c r="W3" s="4038"/>
      <c r="X3" s="4038"/>
      <c r="Y3" s="4038"/>
      <c r="Z3" s="4038"/>
      <c r="AA3" s="4038"/>
      <c r="AB3" s="4038"/>
      <c r="AC3" s="4039"/>
      <c r="AD3" s="4037">
        <f>INDEX(PT_DIFFERENTIATION_TER,MATCH(B3,PT_DIFFERENTIATION_TER_ID,0))</f>
      </c>
      <c r="AE3" s="4038"/>
      <c r="AF3" s="4038"/>
      <c r="AG3" s="4038"/>
      <c r="AH3" s="4038"/>
      <c r="AI3" s="4038"/>
      <c r="AJ3" s="4038"/>
      <c r="AK3" s="4038"/>
      <c r="AL3" s="4038"/>
      <c r="AM3" s="4038"/>
      <c r="AN3" s="4038"/>
      <c r="AO3" s="4038"/>
      <c r="AP3" s="4038"/>
      <c r="AQ3" s="4038"/>
      <c r="AR3" s="4038"/>
      <c r="AS3" s="4038"/>
      <c r="AT3" s="4038"/>
      <c r="AU3" s="4038"/>
      <c r="AV3" s="4038"/>
      <c r="AW3" s="4038"/>
      <c r="AX3" s="4038"/>
      <c r="AY3" s="4038"/>
      <c r="AZ3" s="4038"/>
      <c r="BA3" s="4038"/>
      <c r="BB3" s="4039"/>
      <c r="BC3" s="1546" t="s">
        <v>1518</v>
      </c>
      <c r="BE3" s="737"/>
      <c r="BF3" s="737" t="str">
        <f>IF(T3="","",T3)</f>
        <v>Территория действия тарифа</v>
      </c>
      <c r="BG3" s="737"/>
      <c r="BH3" s="737"/>
    </row>
    <row customHeight="1" ht="33.75" hidden="1">
      <c r="A4" s="1659"/>
      <c r="B4" s="1659"/>
      <c r="C4" s="1659"/>
      <c r="D4" s="1659"/>
      <c r="E4" s="2425"/>
      <c r="F4" s="2425"/>
      <c r="G4" s="2424">
        <v>1</v>
      </c>
      <c r="H4" s="1659"/>
      <c r="I4" s="1659"/>
      <c r="J4" s="1659"/>
      <c r="K4" s="1659"/>
      <c r="L4" s="1660"/>
      <c r="M4" s="1661"/>
      <c r="N4" s="1661"/>
      <c r="O4" s="1661"/>
      <c r="P4" s="1709"/>
      <c r="Q4" s="1708"/>
      <c r="R4" s="574"/>
      <c r="S4" s="1790">
        <f>INDEX(PT_DIFFERENTIATION_NUM_CS,MATCH(C4,PT_DIFFERENTIATION_CS_ID,0))</f>
      </c>
      <c r="T4" s="521" t="s">
        <v>2132</v>
      </c>
      <c r="U4" s="510"/>
      <c r="V4" s="4038"/>
      <c r="W4" s="4038"/>
      <c r="X4" s="4038"/>
      <c r="Y4" s="4038"/>
      <c r="Z4" s="4038"/>
      <c r="AA4" s="4038"/>
      <c r="AB4" s="4038"/>
      <c r="AC4" s="4039"/>
      <c r="AD4" s="4037">
        <f>INDEX(PT_DIFFERENTIATION_CS,MATCH(C4,PT_DIFFERENTIATION_CS_ID,0))</f>
      </c>
      <c r="AE4" s="4038"/>
      <c r="AF4" s="4038"/>
      <c r="AG4" s="4038"/>
      <c r="AH4" s="4038"/>
      <c r="AI4" s="4038"/>
      <c r="AJ4" s="4038"/>
      <c r="AK4" s="4038"/>
      <c r="AL4" s="4038"/>
      <c r="AM4" s="4038"/>
      <c r="AN4" s="4038"/>
      <c r="AO4" s="4038"/>
      <c r="AP4" s="4038"/>
      <c r="AQ4" s="4038"/>
      <c r="AR4" s="4038"/>
      <c r="AS4" s="4038"/>
      <c r="AT4" s="4038"/>
      <c r="AU4" s="4038"/>
      <c r="AV4" s="4038"/>
      <c r="AW4" s="4038"/>
      <c r="AX4" s="4038"/>
      <c r="AY4" s="4038"/>
      <c r="AZ4" s="4038"/>
      <c r="BA4" s="4038"/>
      <c r="BB4" s="4039"/>
      <c r="BC4" s="1546" t="s">
        <v>2133</v>
      </c>
      <c r="BE4" s="737"/>
      <c r="BF4" s="737" t="str">
        <f>IF(T4="","",T4)</f>
        <v>Наименование централизованной системы горячего водоснабжения</v>
      </c>
      <c r="BG4" s="737"/>
      <c r="BH4" s="737"/>
    </row>
    <row s="10863" customFormat="1" customHeight="1" ht="14.25" hidden="1">
      <c r="A5" s="1638"/>
      <c r="B5" s="1638"/>
      <c r="C5" s="1638"/>
      <c r="D5" s="1638"/>
      <c r="E5" s="2425"/>
      <c r="F5" s="2425"/>
      <c r="G5" s="2425"/>
      <c r="H5" s="2424">
        <v>1</v>
      </c>
      <c r="I5" s="1638"/>
      <c r="J5" s="1638"/>
      <c r="K5" s="1638"/>
      <c r="L5" s="1641"/>
      <c r="M5" s="1610"/>
      <c r="N5" s="1610"/>
      <c r="O5" s="1610"/>
      <c r="P5" s="1794"/>
      <c r="Q5" s="1795"/>
      <c r="R5" s="578"/>
      <c r="S5" s="1300"/>
      <c r="T5" s="1796"/>
      <c r="U5" s="1680"/>
      <c r="V5" s="2464"/>
      <c r="W5" s="2464"/>
      <c r="X5" s="2464"/>
      <c r="Y5" s="2464"/>
      <c r="Z5" s="2464"/>
      <c r="AA5" s="2464"/>
      <c r="AB5" s="2464"/>
      <c r="AC5" s="2465"/>
      <c r="AD5" s="2463"/>
      <c r="AE5" s="2464"/>
      <c r="AF5" s="2464"/>
      <c r="AG5" s="2464"/>
      <c r="AH5" s="2464"/>
      <c r="AI5" s="2464"/>
      <c r="AJ5" s="2464"/>
      <c r="AK5" s="2464"/>
      <c r="AL5" s="2464"/>
      <c r="AM5" s="2464"/>
      <c r="AN5" s="2464"/>
      <c r="AO5" s="2464"/>
      <c r="AP5" s="2464"/>
      <c r="AQ5" s="2464"/>
      <c r="AR5" s="2464"/>
      <c r="AS5" s="2464"/>
      <c r="AT5" s="2464"/>
      <c r="AU5" s="2464"/>
      <c r="AV5" s="2464"/>
      <c r="AW5" s="2464"/>
      <c r="AX5" s="2464"/>
      <c r="AY5" s="2464"/>
      <c r="AZ5" s="2464"/>
      <c r="BA5" s="2464"/>
      <c r="BB5" s="2465"/>
      <c r="BC5" s="1681" t="s">
        <v>1522</v>
      </c>
      <c r="BE5" s="737"/>
      <c r="BF5" s="737" t="str">
        <f>IF(T5="","",T5)</f>
        <v/>
      </c>
      <c r="BG5" s="737"/>
      <c r="BH5" s="737"/>
    </row>
    <row s="10863" customFormat="1" customHeight="1" ht="14.25" hidden="1">
      <c r="A6" s="1638"/>
      <c r="B6" s="1638"/>
      <c r="C6" s="1638"/>
      <c r="D6" s="1638"/>
      <c r="E6" s="2425"/>
      <c r="F6" s="2425"/>
      <c r="G6" s="2425"/>
      <c r="H6" s="2425"/>
      <c r="I6" s="2453" t="str">
        <f>S5&amp;".1"</f>
        <v>.1</v>
      </c>
      <c r="J6" s="1638"/>
      <c r="K6" s="1638"/>
      <c r="L6" s="1641" t="s">
        <v>1523</v>
      </c>
      <c r="M6" s="747"/>
      <c r="N6" s="747"/>
      <c r="O6" s="747"/>
      <c r="P6" s="2423">
        <v>1</v>
      </c>
      <c r="Q6" s="1778"/>
      <c r="R6" s="577"/>
      <c r="S6" s="1300"/>
      <c r="T6" s="1679"/>
      <c r="U6" s="1680"/>
      <c r="V6" s="2464"/>
      <c r="W6" s="2464"/>
      <c r="X6" s="2464"/>
      <c r="Y6" s="2464"/>
      <c r="Z6" s="2464"/>
      <c r="AA6" s="2464"/>
      <c r="AB6" s="2464"/>
      <c r="AC6" s="2465"/>
      <c r="AD6" s="2463"/>
      <c r="AE6" s="2464"/>
      <c r="AF6" s="2464"/>
      <c r="AG6" s="2464"/>
      <c r="AH6" s="2464"/>
      <c r="AI6" s="2464"/>
      <c r="AJ6" s="2464"/>
      <c r="AK6" s="2464"/>
      <c r="AL6" s="2464"/>
      <c r="AM6" s="2464"/>
      <c r="AN6" s="2464"/>
      <c r="AO6" s="2464"/>
      <c r="AP6" s="2464"/>
      <c r="AQ6" s="2464"/>
      <c r="AR6" s="2464"/>
      <c r="AS6" s="2464"/>
      <c r="AT6" s="2464"/>
      <c r="AU6" s="2464"/>
      <c r="AV6" s="2464"/>
      <c r="AW6" s="2464"/>
      <c r="AX6" s="2464"/>
      <c r="AY6" s="2464"/>
      <c r="AZ6" s="2464"/>
      <c r="BA6" s="2464"/>
      <c r="BB6" s="2465"/>
      <c r="BC6" s="1681"/>
      <c r="BE6" s="737"/>
      <c r="BF6" s="737" t="str">
        <f>IF(T6="","",T6)</f>
        <v/>
      </c>
      <c r="BG6" s="737"/>
      <c r="BH6" s="737"/>
    </row>
    <row s="10863" customFormat="1" customHeight="1" ht="14.25" hidden="1">
      <c r="A7" s="1638"/>
      <c r="B7" s="1638"/>
      <c r="C7" s="1638"/>
      <c r="D7" s="1638"/>
      <c r="E7" s="2425"/>
      <c r="F7" s="2425"/>
      <c r="G7" s="2425"/>
      <c r="H7" s="2425"/>
      <c r="I7" s="2454"/>
      <c r="J7" s="2422" t="str">
        <f>S5&amp;".1"</f>
        <v>.1</v>
      </c>
      <c r="K7" s="1638"/>
      <c r="L7" s="1641"/>
      <c r="M7" s="747"/>
      <c r="N7" s="747"/>
      <c r="O7" s="747"/>
      <c r="P7" s="2423"/>
      <c r="Q7" s="2423">
        <v>1</v>
      </c>
      <c r="R7" s="578"/>
      <c r="S7" s="1300"/>
      <c r="T7" s="1695"/>
      <c r="U7" s="1680"/>
      <c r="V7" s="2464"/>
      <c r="W7" s="2464"/>
      <c r="X7" s="2464"/>
      <c r="Y7" s="2464"/>
      <c r="Z7" s="2464"/>
      <c r="AA7" s="2464"/>
      <c r="AB7" s="2464"/>
      <c r="AC7" s="2465"/>
      <c r="AD7" s="2463"/>
      <c r="AE7" s="2464"/>
      <c r="AF7" s="2464"/>
      <c r="AG7" s="2464"/>
      <c r="AH7" s="2464"/>
      <c r="AI7" s="2464"/>
      <c r="AJ7" s="2464"/>
      <c r="AK7" s="2464"/>
      <c r="AL7" s="2464"/>
      <c r="AM7" s="2464"/>
      <c r="AN7" s="2464"/>
      <c r="AO7" s="2464"/>
      <c r="AP7" s="2464"/>
      <c r="AQ7" s="2464"/>
      <c r="AR7" s="2464"/>
      <c r="AS7" s="2464"/>
      <c r="AT7" s="2464"/>
      <c r="AU7" s="2464"/>
      <c r="AV7" s="2464"/>
      <c r="AW7" s="2464"/>
      <c r="AX7" s="2464"/>
      <c r="AY7" s="2464"/>
      <c r="AZ7" s="2464"/>
      <c r="BA7" s="2464"/>
      <c r="BB7" s="2465"/>
      <c r="BC7" s="1681"/>
      <c r="BE7" s="737"/>
      <c r="BF7" s="737" t="str">
        <f>IF(T7="","",T7)</f>
        <v/>
      </c>
      <c r="BG7" s="737"/>
      <c r="BH7" s="737"/>
    </row>
    <row customHeight="1" ht="11.25" hidden="1">
      <c r="A8" s="1659"/>
      <c r="B8" s="1659"/>
      <c r="C8" s="1659"/>
      <c r="D8" s="1659"/>
      <c r="E8" s="2425"/>
      <c r="F8" s="2425"/>
      <c r="G8" s="2425"/>
      <c r="H8" s="2425"/>
      <c r="I8" s="2454"/>
      <c r="J8" s="2455"/>
      <c r="K8" s="2422">
        <f>S4&amp;".1"</f>
      </c>
      <c r="L8" s="1660"/>
      <c r="P8" s="2423"/>
      <c r="Q8" s="2423"/>
      <c r="R8" s="2513">
        <v>1</v>
      </c>
      <c r="S8" s="2507">
        <f>$K8</f>
      </c>
      <c r="T8" s="2585"/>
      <c r="U8" s="510"/>
      <c r="V8" s="4065"/>
      <c r="W8" s="4067"/>
      <c r="X8" s="4065"/>
      <c r="Y8" s="4067"/>
      <c r="Z8" s="2049"/>
      <c r="AA8" s="1766" t="s">
        <v>67</v>
      </c>
      <c r="AB8" s="2049"/>
      <c r="AC8" s="1766" t="s">
        <v>67</v>
      </c>
      <c r="AD8" s="2232" t="s">
        <v>67</v>
      </c>
      <c r="AE8" s="2496"/>
      <c r="AF8" s="2497">
        <v>1</v>
      </c>
      <c r="AG8" s="2589"/>
      <c r="AH8" s="2142" t="s">
        <v>67</v>
      </c>
      <c r="AI8" s="2496"/>
      <c r="AJ8" s="2497">
        <v>1</v>
      </c>
      <c r="AK8" s="2588" t="s">
        <v>17</v>
      </c>
      <c r="AL8" s="2142" t="s">
        <v>67</v>
      </c>
      <c r="AM8" s="2580"/>
      <c r="AN8" s="2497">
        <v>1</v>
      </c>
      <c r="AO8" s="2582"/>
      <c r="AP8" s="2583" t="s">
        <v>67</v>
      </c>
      <c r="AQ8" s="523"/>
      <c r="AR8" s="1783">
        <v>1</v>
      </c>
      <c r="AS8" s="1789" t="s">
        <v>17</v>
      </c>
      <c r="AT8" s="4065"/>
      <c r="AU8" s="4067"/>
      <c r="AV8" s="4065"/>
      <c r="AW8" s="4067"/>
      <c r="AX8" s="2049"/>
      <c r="AY8" s="1766" t="s">
        <v>67</v>
      </c>
      <c r="AZ8" s="2049"/>
      <c r="BA8" s="1766" t="s">
        <v>67</v>
      </c>
      <c r="BB8" s="4166"/>
      <c r="BC8" s="2419" t="s">
        <v>1752</v>
      </c>
      <c r="BE8" s="737"/>
      <c r="BF8" s="737" t="str">
        <f>IF(T8="","",T8)</f>
        <v/>
      </c>
      <c r="BG8" s="737"/>
      <c r="BH8" s="737"/>
    </row>
    <row customHeight="1" ht="11.25" hidden="1">
      <c r="A9" s="1659"/>
      <c r="B9" s="1659"/>
      <c r="C9" s="1659"/>
      <c r="D9" s="1659"/>
      <c r="E9" s="2425"/>
      <c r="F9" s="2425"/>
      <c r="G9" s="2425"/>
      <c r="H9" s="2425"/>
      <c r="I9" s="2454"/>
      <c r="J9" s="2455"/>
      <c r="K9" s="2422"/>
      <c r="L9" s="1660"/>
      <c r="P9" s="2423"/>
      <c r="Q9" s="2423"/>
      <c r="R9" s="2513"/>
      <c r="S9" s="2508"/>
      <c r="T9" s="2586"/>
      <c r="U9" s="510"/>
      <c r="V9" s="4225"/>
      <c r="W9" s="4281"/>
      <c r="X9" s="4225"/>
      <c r="Y9" s="4281"/>
      <c r="Z9" s="4225"/>
      <c r="AA9" s="4225"/>
      <c r="AB9" s="4225"/>
      <c r="AC9" s="4225"/>
      <c r="AD9" s="2233"/>
      <c r="AE9" s="2496"/>
      <c r="AF9" s="2497"/>
      <c r="AG9" s="2589"/>
      <c r="AH9" s="2142"/>
      <c r="AI9" s="2496"/>
      <c r="AJ9" s="2497"/>
      <c r="AK9" s="2588"/>
      <c r="AL9" s="2142"/>
      <c r="AM9" s="2581"/>
      <c r="AN9" s="2497"/>
      <c r="AO9" s="2582"/>
      <c r="AP9" s="2584"/>
      <c r="AQ9" s="530"/>
      <c r="AR9" s="652"/>
      <c r="AS9" s="652" t="s">
        <v>1753</v>
      </c>
      <c r="AT9" s="4225"/>
      <c r="AU9" s="4281"/>
      <c r="AV9" s="4225"/>
      <c r="AW9" s="4281"/>
      <c r="AX9" s="4225"/>
      <c r="AY9" s="4225"/>
      <c r="AZ9" s="4225"/>
      <c r="BA9" s="4225"/>
      <c r="BB9" s="4279"/>
      <c r="BC9" s="2420"/>
      <c r="BE9" s="737"/>
      <c r="BF9" s="737"/>
      <c r="BG9" s="737"/>
      <c r="BH9" s="737"/>
    </row>
    <row customHeight="1" ht="11.25" hidden="1">
      <c r="A10" s="1659"/>
      <c r="B10" s="1659"/>
      <c r="C10" s="1659"/>
      <c r="D10" s="1659"/>
      <c r="E10" s="2425"/>
      <c r="F10" s="2425"/>
      <c r="G10" s="2425"/>
      <c r="H10" s="2425"/>
      <c r="I10" s="2454"/>
      <c r="J10" s="2455"/>
      <c r="K10" s="2422"/>
      <c r="L10" s="1660"/>
      <c r="P10" s="2423"/>
      <c r="Q10" s="2423"/>
      <c r="R10" s="2513"/>
      <c r="S10" s="2508"/>
      <c r="T10" s="2586"/>
      <c r="U10" s="510"/>
      <c r="V10" s="4225"/>
      <c r="W10" s="4281"/>
      <c r="X10" s="4225"/>
      <c r="Y10" s="4281"/>
      <c r="Z10" s="4225"/>
      <c r="AA10" s="4225"/>
      <c r="AB10" s="4225"/>
      <c r="AC10" s="4225"/>
      <c r="AD10" s="2233"/>
      <c r="AE10" s="2496"/>
      <c r="AF10" s="2497"/>
      <c r="AG10" s="2589"/>
      <c r="AH10" s="2142"/>
      <c r="AI10" s="2496"/>
      <c r="AJ10" s="2497"/>
      <c r="AK10" s="2588"/>
      <c r="AL10" s="2142"/>
      <c r="AM10" s="530"/>
      <c r="AN10" s="1797"/>
      <c r="AO10" s="1797" t="s">
        <v>1754</v>
      </c>
      <c r="AP10" s="652"/>
      <c r="AQ10" s="652"/>
      <c r="AR10" s="652"/>
      <c r="AS10" s="4225"/>
      <c r="AT10" s="4225"/>
      <c r="AU10" s="4281"/>
      <c r="AV10" s="4225"/>
      <c r="AW10" s="4281"/>
      <c r="AX10" s="4225"/>
      <c r="AY10" s="4225"/>
      <c r="AZ10" s="4225"/>
      <c r="BA10" s="4225"/>
      <c r="BB10" s="4279"/>
      <c r="BC10" s="2420"/>
      <c r="BE10" s="737"/>
      <c r="BF10" s="737"/>
      <c r="BG10" s="737"/>
      <c r="BH10" s="737"/>
    </row>
    <row customHeight="1" ht="11.25" hidden="1">
      <c r="A11" s="1659"/>
      <c r="B11" s="1659"/>
      <c r="C11" s="1659"/>
      <c r="D11" s="1659"/>
      <c r="E11" s="2425"/>
      <c r="F11" s="2425"/>
      <c r="G11" s="2425"/>
      <c r="H11" s="2425"/>
      <c r="I11" s="2454"/>
      <c r="J11" s="2455"/>
      <c r="K11" s="2422"/>
      <c r="L11" s="1660"/>
      <c r="P11" s="2423"/>
      <c r="Q11" s="2423"/>
      <c r="R11" s="2513"/>
      <c r="S11" s="2508"/>
      <c r="T11" s="2586"/>
      <c r="U11" s="510"/>
      <c r="V11" s="4225"/>
      <c r="W11" s="4281"/>
      <c r="X11" s="4225"/>
      <c r="Y11" s="4281"/>
      <c r="Z11" s="4225"/>
      <c r="AA11" s="4225"/>
      <c r="AB11" s="4225"/>
      <c r="AC11" s="4225"/>
      <c r="AD11" s="2233"/>
      <c r="AE11" s="2496"/>
      <c r="AF11" s="2497"/>
      <c r="AG11" s="2589"/>
      <c r="AH11" s="2142"/>
      <c r="AI11" s="504"/>
      <c r="AJ11" s="651"/>
      <c r="AK11" s="525" t="s">
        <v>1755</v>
      </c>
      <c r="AL11" s="4225"/>
      <c r="AM11" s="4225"/>
      <c r="AN11" s="4225"/>
      <c r="AO11" s="4225"/>
      <c r="AP11" s="4225"/>
      <c r="AQ11" s="4225"/>
      <c r="AR11" s="4225"/>
      <c r="AS11" s="4225"/>
      <c r="AT11" s="4225"/>
      <c r="AU11" s="4281"/>
      <c r="AV11" s="4225"/>
      <c r="AW11" s="4281"/>
      <c r="AX11" s="4225"/>
      <c r="AY11" s="4225"/>
      <c r="AZ11" s="4225"/>
      <c r="BA11" s="4225"/>
      <c r="BB11" s="4279"/>
      <c r="BC11" s="2420"/>
      <c r="BE11" s="737"/>
      <c r="BF11" s="737"/>
      <c r="BG11" s="737"/>
      <c r="BH11" s="737"/>
    </row>
    <row customHeight="1" ht="11.25" hidden="1">
      <c r="A12" s="1659"/>
      <c r="B12" s="1659"/>
      <c r="C12" s="1659"/>
      <c r="D12" s="1659"/>
      <c r="E12" s="2425"/>
      <c r="F12" s="2425"/>
      <c r="G12" s="2425"/>
      <c r="H12" s="2425"/>
      <c r="I12" s="2454"/>
      <c r="J12" s="2455"/>
      <c r="K12" s="2422"/>
      <c r="L12" s="1660"/>
      <c r="P12" s="2423"/>
      <c r="Q12" s="2423"/>
      <c r="R12" s="2513"/>
      <c r="S12" s="2509"/>
      <c r="T12" s="2587"/>
      <c r="U12" s="510"/>
      <c r="V12" s="4225"/>
      <c r="W12" s="4226" t="str">
        <f>Z8&amp;"-"&amp;AB8</f>
        <v>-</v>
      </c>
      <c r="X12" s="4225"/>
      <c r="Y12" s="4226" t="str">
        <f>AB8&amp;"-"&amp;AD8</f>
        <v>-да</v>
      </c>
      <c r="Z12" s="4225"/>
      <c r="AA12" s="4225"/>
      <c r="AB12" s="4225"/>
      <c r="AC12" s="4225"/>
      <c r="AD12" s="2147"/>
      <c r="AE12" s="524"/>
      <c r="AF12" s="526"/>
      <c r="AG12" s="652" t="s">
        <v>1756</v>
      </c>
      <c r="AH12" s="4225"/>
      <c r="AI12" s="4225"/>
      <c r="AJ12" s="4225"/>
      <c r="AK12" s="4225"/>
      <c r="AL12" s="4225"/>
      <c r="AM12" s="4225"/>
      <c r="AN12" s="4225"/>
      <c r="AO12" s="4225"/>
      <c r="AP12" s="4225"/>
      <c r="AQ12" s="4225"/>
      <c r="AR12" s="4225"/>
      <c r="AS12" s="4225"/>
      <c r="AT12" s="4225"/>
      <c r="AU12" s="4226" t="str">
        <f>AX8&amp;"-"&amp;AZ8</f>
        <v>-</v>
      </c>
      <c r="AV12" s="4225"/>
      <c r="AW12" s="4226" t="str">
        <f>AZ8&amp;"-"&amp;BB8</f>
        <v>-</v>
      </c>
      <c r="AX12" s="4225"/>
      <c r="AY12" s="4225"/>
      <c r="AZ12" s="4225"/>
      <c r="BA12" s="4225"/>
      <c r="BB12" s="4286" t="str">
        <f>BE8&amp;"-"&amp;BG8</f>
        <v>-</v>
      </c>
      <c r="BC12" s="2420"/>
      <c r="BE12" s="737"/>
      <c r="BF12" s="737" t="str">
        <f>IF(T12="","",T12)</f>
        <v/>
      </c>
      <c r="BG12" s="737"/>
      <c r="BH12" s="737"/>
    </row>
    <row customHeight="1" ht="11.25" hidden="1">
      <c r="A13" s="1659"/>
      <c r="B13" s="1659"/>
      <c r="C13" s="1659"/>
      <c r="D13" s="1659"/>
      <c r="E13" s="2425"/>
      <c r="F13" s="2425"/>
      <c r="G13" s="2425"/>
      <c r="H13" s="2425"/>
      <c r="I13" s="2454"/>
      <c r="J13" s="2422"/>
      <c r="K13" s="1659"/>
      <c r="L13" s="1660"/>
      <c r="P13" s="2423"/>
      <c r="Q13" s="2423"/>
      <c r="R13" s="577"/>
      <c r="S13" s="1568"/>
      <c r="T13" s="497" t="s">
        <v>1597</v>
      </c>
      <c r="U13" s="592"/>
      <c r="V13" s="592"/>
      <c r="W13" s="592"/>
      <c r="X13" s="592"/>
      <c r="Y13" s="592"/>
      <c r="Z13" s="592"/>
      <c r="AA13" s="592"/>
      <c r="AB13" s="592"/>
      <c r="AC13" s="592"/>
      <c r="AD13" s="1802"/>
      <c r="AE13" s="592"/>
      <c r="AF13" s="592"/>
      <c r="AG13" s="592"/>
      <c r="AH13" s="592"/>
      <c r="AI13" s="592"/>
      <c r="AJ13" s="592"/>
      <c r="AK13" s="592"/>
      <c r="AL13" s="592"/>
      <c r="AM13" s="592"/>
      <c r="AN13" s="592"/>
      <c r="AO13" s="592"/>
      <c r="AP13" s="592"/>
      <c r="AQ13" s="592"/>
      <c r="AR13" s="592"/>
      <c r="AS13" s="592"/>
      <c r="AT13" s="592"/>
      <c r="AU13" s="592"/>
      <c r="AV13" s="592"/>
      <c r="AW13" s="592"/>
      <c r="AX13" s="592"/>
      <c r="AY13" s="592"/>
      <c r="AZ13" s="592"/>
      <c r="BA13" s="592"/>
      <c r="BB13" s="544"/>
      <c r="BC13" s="2421"/>
      <c r="BE13" s="737"/>
      <c r="BF13" s="737" t="str">
        <f>IF(T13="","",T13)</f>
        <v>Добавить строку</v>
      </c>
      <c r="BG13" s="737"/>
      <c r="BH13" s="737"/>
    </row>
    <row s="10863" customFormat="1" customHeight="1" ht="14.25" hidden="1">
      <c r="A14" s="1638"/>
      <c r="B14" s="1638"/>
      <c r="C14" s="1638"/>
      <c r="D14" s="1638"/>
      <c r="E14" s="2425"/>
      <c r="F14" s="2425"/>
      <c r="G14" s="2425"/>
      <c r="H14" s="2425"/>
      <c r="I14" s="2453"/>
      <c r="J14" s="1638"/>
      <c r="K14" s="1638"/>
      <c r="L14" s="1641"/>
      <c r="M14" s="747"/>
      <c r="N14" s="747"/>
      <c r="O14" s="747"/>
      <c r="P14" s="2423"/>
      <c r="Q14" s="1778"/>
      <c r="R14" s="577"/>
      <c r="S14" s="1682"/>
      <c r="T14" s="1683"/>
      <c r="U14" s="1684"/>
      <c r="V14" s="1684"/>
      <c r="W14" s="1684"/>
      <c r="X14" s="1684"/>
      <c r="Y14" s="1684"/>
      <c r="Z14" s="1684"/>
      <c r="AA14" s="1684"/>
      <c r="AB14" s="1684"/>
      <c r="AC14" s="1684"/>
      <c r="AD14" s="1684"/>
      <c r="AE14" s="1684"/>
      <c r="AF14" s="1684"/>
      <c r="AG14" s="1684"/>
      <c r="AH14" s="1684"/>
      <c r="AI14" s="1684"/>
      <c r="AJ14" s="1684"/>
      <c r="AK14" s="1684"/>
      <c r="AL14" s="1684"/>
      <c r="AM14" s="1684"/>
      <c r="AN14" s="1684"/>
      <c r="AO14" s="1684"/>
      <c r="AP14" s="1684"/>
      <c r="AQ14" s="1684"/>
      <c r="AR14" s="1684"/>
      <c r="AS14" s="1684"/>
      <c r="AT14" s="1684"/>
      <c r="AU14" s="1684"/>
      <c r="AV14" s="1684"/>
      <c r="AW14" s="1684"/>
      <c r="AX14" s="1684"/>
      <c r="AY14" s="1684"/>
      <c r="AZ14" s="1684"/>
      <c r="BA14" s="1684"/>
      <c r="BB14" s="1684"/>
      <c r="BC14" s="1685"/>
      <c r="BE14" s="737"/>
      <c r="BF14" s="737" t="str">
        <f>IF(T14="","",T14)</f>
        <v/>
      </c>
      <c r="BG14" s="737"/>
      <c r="BH14" s="737"/>
    </row>
    <row s="10863" customFormat="1" customHeight="1" ht="14.25" hidden="1">
      <c r="A15" s="1638"/>
      <c r="B15" s="1638"/>
      <c r="C15" s="1638"/>
      <c r="D15" s="1638"/>
      <c r="E15" s="2425"/>
      <c r="F15" s="2425"/>
      <c r="G15" s="2425"/>
      <c r="H15" s="2424"/>
      <c r="I15" s="1638"/>
      <c r="J15" s="1638"/>
      <c r="K15" s="1638"/>
      <c r="L15" s="1641"/>
      <c r="M15" s="1610"/>
      <c r="N15" s="1610"/>
      <c r="O15" s="755"/>
      <c r="P15" s="610"/>
      <c r="Q15" s="1639"/>
      <c r="R15" s="1697"/>
      <c r="S15" s="1682"/>
      <c r="T15" s="1683"/>
      <c r="U15" s="1684"/>
      <c r="V15" s="1684"/>
      <c r="W15" s="1684"/>
      <c r="X15" s="1684"/>
      <c r="Y15" s="1684"/>
      <c r="Z15" s="1684"/>
      <c r="AA15" s="1684"/>
      <c r="AB15" s="1684"/>
      <c r="AC15" s="1684"/>
      <c r="AD15" s="1684"/>
      <c r="AE15" s="1684"/>
      <c r="AF15" s="1684"/>
      <c r="AG15" s="1684"/>
      <c r="AH15" s="1684"/>
      <c r="AI15" s="1684"/>
      <c r="AJ15" s="1684"/>
      <c r="AK15" s="1684"/>
      <c r="AL15" s="1684"/>
      <c r="AM15" s="1684"/>
      <c r="AN15" s="1684"/>
      <c r="AO15" s="1684"/>
      <c r="AP15" s="1684"/>
      <c r="AQ15" s="1684"/>
      <c r="AR15" s="1684"/>
      <c r="AS15" s="1684"/>
      <c r="AT15" s="1684"/>
      <c r="AU15" s="1684"/>
      <c r="AV15" s="1684"/>
      <c r="AW15" s="1684"/>
      <c r="AX15" s="1684"/>
      <c r="AY15" s="1684"/>
      <c r="AZ15" s="1684"/>
      <c r="BA15" s="1684"/>
      <c r="BB15" s="1684"/>
      <c r="BC15" s="1685"/>
      <c r="BE15" s="737"/>
      <c r="BF15" s="737" t="str">
        <f>IF(T15="","",T15)</f>
        <v/>
      </c>
      <c r="BG15" s="737"/>
      <c r="BH15" s="737"/>
    </row>
    <row s="10863" customFormat="1" customHeight="1" ht="14.25" hidden="1">
      <c r="A16" s="1638"/>
      <c r="B16" s="1638"/>
      <c r="C16" s="1638"/>
      <c r="D16" s="1609"/>
      <c r="E16" s="2425"/>
      <c r="F16" s="2425"/>
      <c r="G16" s="2424"/>
      <c r="H16" s="1609"/>
      <c r="I16" s="1609"/>
      <c r="J16" s="1609"/>
      <c r="K16" s="1609"/>
      <c r="L16" s="1791"/>
      <c r="M16" s="1610"/>
      <c r="N16" s="1610"/>
      <c r="P16" s="1611"/>
      <c r="Q16" s="1612"/>
      <c r="R16" s="1611"/>
      <c r="S16" s="1617"/>
      <c r="T16" s="1620"/>
      <c r="U16" s="1619"/>
      <c r="V16" s="1619"/>
      <c r="W16" s="1619"/>
      <c r="X16" s="1619"/>
      <c r="Y16" s="1619"/>
      <c r="Z16" s="1619"/>
      <c r="AA16" s="1619"/>
      <c r="AB16" s="1619"/>
      <c r="AC16" s="1619"/>
      <c r="AD16" s="1619"/>
      <c r="AE16" s="1619"/>
      <c r="AF16" s="1619"/>
      <c r="AG16" s="1619"/>
      <c r="AH16" s="1619"/>
      <c r="AI16" s="1619"/>
      <c r="AJ16" s="1619"/>
      <c r="AK16" s="1619"/>
      <c r="AL16" s="1619"/>
      <c r="AM16" s="1619"/>
      <c r="AN16" s="1619"/>
      <c r="AO16" s="1619"/>
      <c r="AP16" s="1619"/>
      <c r="AQ16" s="1619"/>
      <c r="AR16" s="1619"/>
      <c r="AS16" s="1619"/>
      <c r="AT16" s="1619"/>
      <c r="AU16" s="1619"/>
      <c r="AV16" s="1619"/>
      <c r="AW16" s="1619"/>
      <c r="AX16" s="1619"/>
      <c r="AY16" s="1619"/>
      <c r="AZ16" s="1619"/>
      <c r="BA16" s="1619"/>
      <c r="BB16" s="1619"/>
      <c r="BC16" s="1619"/>
      <c r="BE16" s="1029"/>
      <c r="BF16" s="1029" t="str">
        <f>IF(T16="","",T16)</f>
        <v/>
      </c>
      <c r="BG16" s="1029"/>
      <c r="BH16" s="1029"/>
    </row>
    <row s="10863" customFormat="1" customHeight="1" ht="14.25" hidden="1">
      <c r="A17" s="1638"/>
      <c r="B17" s="1638"/>
      <c r="C17" s="1609"/>
      <c r="D17" s="1609"/>
      <c r="E17" s="2425"/>
      <c r="F17" s="2424"/>
      <c r="G17" s="1609"/>
      <c r="H17" s="1609"/>
      <c r="I17" s="1609"/>
      <c r="J17" s="1609"/>
      <c r="K17" s="1609"/>
      <c r="L17" s="1791"/>
      <c r="M17" s="1616"/>
      <c r="N17" s="1616"/>
      <c r="P17" s="1611"/>
      <c r="Q17" s="1612"/>
      <c r="R17" s="1611"/>
      <c r="S17" s="1617"/>
      <c r="T17" s="1620" t="s">
        <v>1493</v>
      </c>
      <c r="U17" s="1619"/>
      <c r="V17" s="1619"/>
      <c r="W17" s="1619"/>
      <c r="X17" s="1619"/>
      <c r="Y17" s="1619"/>
      <c r="Z17" s="1619"/>
      <c r="AA17" s="1619"/>
      <c r="AB17" s="1619"/>
      <c r="AC17" s="1619"/>
      <c r="AD17" s="1619"/>
      <c r="AE17" s="1619"/>
      <c r="AF17" s="1619"/>
      <c r="AG17" s="1619"/>
      <c r="AH17" s="1619"/>
      <c r="AI17" s="1619"/>
      <c r="AJ17" s="1619"/>
      <c r="AK17" s="1619"/>
      <c r="AL17" s="1619"/>
      <c r="AM17" s="1619"/>
      <c r="AN17" s="1619"/>
      <c r="AO17" s="1619"/>
      <c r="AP17" s="1619"/>
      <c r="AQ17" s="1619"/>
      <c r="AR17" s="1619"/>
      <c r="AS17" s="1619"/>
      <c r="AT17" s="1619"/>
      <c r="AU17" s="1619"/>
      <c r="AV17" s="1619"/>
      <c r="AW17" s="1619"/>
      <c r="AX17" s="1619"/>
      <c r="AY17" s="1619"/>
      <c r="AZ17" s="1619"/>
      <c r="BA17" s="1619"/>
      <c r="BB17" s="1619"/>
      <c r="BC17" s="1619"/>
      <c r="BE17" s="1029"/>
      <c r="BF17" s="1029" t="str">
        <f>IF(T17="","",T17)</f>
        <v>Добавить централизованную систему для дифференциации</v>
      </c>
      <c r="BG17" s="1029"/>
      <c r="BH17" s="1029"/>
    </row>
    <row s="10863" customFormat="1" customHeight="1" ht="14.25" hidden="1">
      <c r="A18" s="1638"/>
      <c r="B18" s="1638"/>
      <c r="C18" s="1638"/>
      <c r="D18" s="1638"/>
      <c r="E18" s="2424"/>
      <c r="F18" s="1638"/>
      <c r="G18" s="1638"/>
      <c r="H18" s="1638"/>
      <c r="I18" s="1638"/>
      <c r="J18" s="1638"/>
      <c r="K18" s="1638"/>
      <c r="L18" s="1641"/>
      <c r="M18" s="1616"/>
      <c r="N18" s="1616"/>
      <c r="O18" s="755"/>
      <c r="P18" s="610"/>
      <c r="Q18" s="1639"/>
      <c r="R18" s="610"/>
      <c r="S18" s="1617"/>
      <c r="T18" s="1620" t="s">
        <v>1494</v>
      </c>
      <c r="U18" s="1619"/>
      <c r="V18" s="1619"/>
      <c r="W18" s="1619"/>
      <c r="X18" s="1619"/>
      <c r="Y18" s="1619"/>
      <c r="Z18" s="1619"/>
      <c r="AA18" s="1619"/>
      <c r="AB18" s="1619"/>
      <c r="AC18" s="1619"/>
      <c r="AD18" s="1619"/>
      <c r="AE18" s="1619"/>
      <c r="AF18" s="1619"/>
      <c r="AG18" s="1619"/>
      <c r="AH18" s="1619"/>
      <c r="AI18" s="1619"/>
      <c r="AJ18" s="1619"/>
      <c r="AK18" s="1619"/>
      <c r="AL18" s="1619"/>
      <c r="AM18" s="1619"/>
      <c r="AN18" s="1619"/>
      <c r="AO18" s="1619"/>
      <c r="AP18" s="1619"/>
      <c r="AQ18" s="1619"/>
      <c r="AR18" s="1619"/>
      <c r="AS18" s="1619"/>
      <c r="AT18" s="1619"/>
      <c r="AU18" s="1619"/>
      <c r="AV18" s="1619"/>
      <c r="AW18" s="1619"/>
      <c r="AX18" s="1619"/>
      <c r="AY18" s="1619"/>
      <c r="AZ18" s="1619"/>
      <c r="BA18" s="1619"/>
      <c r="BB18" s="1619"/>
      <c r="BC18" s="1619"/>
      <c r="BE18" s="737"/>
      <c r="BF18" s="737" t="str">
        <f>IF(T18="","",T18)</f>
        <v>Добавить территорию для дифференциации</v>
      </c>
      <c r="BG18" s="737"/>
      <c r="BH18" s="737"/>
    </row>
    <row customHeight="1" ht="14.25" hidden="1">
      <c r="AC19" s="548"/>
      <c r="BA19" s="548"/>
    </row>
    <row customHeight="1" ht="14.25" hidden="1">
      <c r="AD20" s="1619" t="s">
        <v>57</v>
      </c>
      <c r="AE20" s="1798"/>
      <c r="AF20" s="785">
        <v>1</v>
      </c>
      <c r="AG20" s="1799"/>
      <c r="AH20" s="1619" t="s">
        <v>57</v>
      </c>
      <c r="AI20" s="1798"/>
      <c r="AJ20" s="785">
        <v>1</v>
      </c>
      <c r="AK20" s="1799"/>
      <c r="AL20" s="1619" t="s">
        <v>57</v>
      </c>
      <c r="AM20" s="1800"/>
      <c r="AN20" s="785">
        <v>1</v>
      </c>
      <c r="AO20" s="1801"/>
      <c r="AP20" s="1619" t="s">
        <v>57</v>
      </c>
      <c r="AQ20" s="1800"/>
      <c r="AR20" s="785">
        <v>1</v>
      </c>
      <c r="AS20" s="1801"/>
      <c r="AT20" s="4066"/>
      <c r="AU20" s="4186"/>
      <c r="AV20" s="4066"/>
      <c r="AW20" s="4186"/>
      <c r="AX20" s="2051"/>
      <c r="AY20" s="1782" t="s">
        <v>67</v>
      </c>
      <c r="AZ20" s="2051"/>
      <c r="BA20" s="1782" t="s">
        <v>67</v>
      </c>
    </row>
    <row customHeight="1" ht="14.25" hidden="1">
      <c r="BD21" s="733"/>
      <c r="BE21" s="733"/>
      <c r="BF21" s="733"/>
      <c r="BG21" s="733"/>
      <c r="BH21" s="733"/>
    </row>
    <row customHeight="1" ht="14.25" hidden="1">
      <c r="O22" s="1663" t="s">
        <v>1534</v>
      </c>
      <c r="Z22" s="1640"/>
      <c r="AB22" s="1640"/>
      <c r="AC22" s="548"/>
      <c r="AX22" s="1640"/>
      <c r="AZ22" s="1640"/>
      <c r="BA22" s="548"/>
      <c r="BD22" s="733"/>
      <c r="BE22" s="733"/>
      <c r="BF22" s="733"/>
      <c r="BG22" s="733"/>
      <c r="BH22" s="733"/>
    </row>
    <row customHeight="1" ht="14.25" hidden="1">
      <c r="AC23" s="548"/>
      <c r="BA23" s="548"/>
      <c r="BD23" s="733"/>
      <c r="BE23" s="733"/>
      <c r="BF23" s="733"/>
      <c r="BG23" s="733"/>
      <c r="BH23" s="733"/>
    </row>
    <row s="9928" customFormat="1" customHeight="1" ht="14.25" hidden="1">
      <c r="M24" s="1805"/>
      <c r="N24" s="1805"/>
      <c r="O24" s="1806" t="s">
        <v>1535</v>
      </c>
      <c r="P24" s="1805"/>
      <c r="Q24" s="1807"/>
      <c r="R24" s="1807"/>
      <c r="AA24" s="1804" t="s">
        <v>1537</v>
      </c>
      <c r="AC24" s="1804" t="s">
        <v>1538</v>
      </c>
      <c r="AD24" s="1804" t="s">
        <v>1598</v>
      </c>
      <c r="AH24" s="1804" t="s">
        <v>1598</v>
      </c>
      <c r="AK24" s="1804" t="s">
        <v>1757</v>
      </c>
      <c r="AL24" s="1804" t="s">
        <v>1598</v>
      </c>
      <c r="AP24" s="1804" t="s">
        <v>1598</v>
      </c>
      <c r="AY24" s="1804" t="s">
        <v>1537</v>
      </c>
      <c r="BA24" s="1804" t="s">
        <v>1538</v>
      </c>
      <c r="BD24" s="1808"/>
      <c r="BE24" s="1808"/>
      <c r="BF24" s="1808"/>
      <c r="BG24" s="1808"/>
      <c r="BH24" s="1808"/>
    </row>
    <row customHeight="1" ht="14.25" hidden="1">
      <c r="O25" s="1660"/>
      <c r="BD25" s="733"/>
      <c r="BE25" s="733"/>
      <c r="BF25" s="733"/>
      <c r="BG25" s="733"/>
      <c r="BH25" s="733"/>
    </row>
    <row customHeight="1" ht="14.25" hidden="1">
      <c r="O26" s="1660"/>
      <c r="BD26" s="733"/>
      <c r="BE26" s="733"/>
      <c r="BF26" s="733"/>
      <c r="BG26" s="733"/>
      <c r="BH26" s="733"/>
    </row>
    <row customHeight="1" ht="14.25">
      <c r="Q27" s="501"/>
      <c r="R27" s="602"/>
      <c r="S27" s="1565"/>
      <c r="T27" s="586"/>
      <c r="U27" s="586"/>
      <c r="V27" s="746"/>
      <c r="W27" s="746"/>
      <c r="X27" s="746"/>
      <c r="Y27" s="746"/>
      <c r="Z27" s="746"/>
      <c r="AA27" s="746"/>
      <c r="AB27" s="746"/>
      <c r="AC27" s="746"/>
      <c r="AD27" s="746"/>
      <c r="AE27" s="746"/>
      <c r="AF27" s="746"/>
      <c r="AG27" s="746"/>
      <c r="AH27" s="746"/>
      <c r="AI27" s="746"/>
      <c r="AJ27" s="746"/>
      <c r="AK27" s="746"/>
      <c r="AL27" s="746"/>
      <c r="AM27" s="746"/>
      <c r="AN27" s="746"/>
      <c r="AO27" s="746"/>
      <c r="AP27" s="746"/>
      <c r="AQ27" s="746"/>
      <c r="AR27" s="746"/>
      <c r="AS27" s="746"/>
      <c r="AT27" s="746"/>
      <c r="AU27" s="746"/>
      <c r="AV27" s="746"/>
      <c r="AW27" s="746"/>
      <c r="AX27" s="746"/>
      <c r="AY27" s="746"/>
      <c r="AZ27" s="746"/>
      <c r="BA27" s="746"/>
    </row>
    <row customHeight="1" ht="33.75">
      <c r="Q28" s="501"/>
      <c r="R28" s="602"/>
      <c r="S28" s="2414" t="str">
        <f>IF(TEMPLATE_GROUP="P",PT_P_FORM_HOTVSNA_5_NAME_FORM,PT_R_FORM_HOTVSNA_17_NAME_FORM)</f>
        <v>Форма 17. Информация о предложении расчетной величины тарифов на подключение (технологическое присоединение) к централизованной системе горячего водоснабжения &lt;1&gt;</v>
      </c>
      <c r="T28" s="2414"/>
      <c r="U28" s="2414"/>
      <c r="V28" s="2414"/>
      <c r="W28" s="2414"/>
      <c r="X28" s="2414"/>
      <c r="Y28" s="2414"/>
      <c r="Z28" s="2414"/>
      <c r="AA28" s="2414"/>
      <c r="AB28" s="2414"/>
      <c r="AC28" s="2414"/>
      <c r="AD28" s="2414"/>
      <c r="AE28" s="2414"/>
      <c r="AF28" s="2414"/>
      <c r="AG28" s="2414"/>
      <c r="AH28" s="2414"/>
      <c r="AI28" s="2414"/>
      <c r="AJ28" s="2414"/>
      <c r="AK28" s="2414"/>
      <c r="AL28" s="2414"/>
      <c r="AM28" s="2414"/>
      <c r="AN28" s="2414"/>
      <c r="AO28" s="2414"/>
      <c r="AP28" s="2414"/>
      <c r="AQ28" s="2414"/>
      <c r="AR28" s="2414"/>
      <c r="AS28" s="2414"/>
      <c r="AT28" s="2414"/>
      <c r="AU28" s="2414"/>
      <c r="AV28" s="2414"/>
      <c r="AW28" s="2414"/>
      <c r="AX28" s="2414"/>
      <c r="AY28" s="2414"/>
      <c r="AZ28" s="2414"/>
      <c r="BA28" s="1521"/>
    </row>
    <row customHeight="1" ht="14.25">
      <c r="Q29" s="501"/>
      <c r="R29" s="602"/>
      <c r="S29" s="2415" t="str">
        <f>IF(org=0,"Не определено",org)</f>
        <v>ООО "СамРЭК-Тепло Жигулевск"</v>
      </c>
      <c r="T29" s="2415"/>
      <c r="U29" s="2415"/>
      <c r="V29" s="2415"/>
      <c r="W29" s="2415"/>
      <c r="X29" s="2415"/>
      <c r="Y29" s="2415"/>
      <c r="Z29" s="2415"/>
      <c r="AA29" s="2415"/>
      <c r="AB29" s="2415"/>
      <c r="AC29" s="2415"/>
      <c r="AD29" s="2415"/>
      <c r="AE29" s="2415"/>
      <c r="AF29" s="2415"/>
      <c r="AG29" s="2415"/>
      <c r="AH29" s="2415"/>
      <c r="AI29" s="2415"/>
      <c r="AJ29" s="2415"/>
      <c r="AK29" s="2415"/>
      <c r="AL29" s="2415"/>
      <c r="AM29" s="2415"/>
      <c r="AN29" s="2415"/>
      <c r="AO29" s="2415"/>
      <c r="AP29" s="2415"/>
      <c r="AQ29" s="2415"/>
      <c r="AR29" s="2415"/>
      <c r="AS29" s="2415"/>
      <c r="AT29" s="2415"/>
      <c r="AU29" s="2415"/>
      <c r="AV29" s="2415"/>
      <c r="AW29" s="2415"/>
      <c r="AX29" s="2415"/>
      <c r="AY29" s="2415"/>
      <c r="AZ29" s="2415"/>
      <c r="BA29" s="1521"/>
    </row>
    <row customHeight="1" ht="14.25" hidden="1">
      <c r="Q30" s="501"/>
      <c r="R30" s="602"/>
      <c r="S30" s="1565"/>
      <c r="T30" s="586"/>
      <c r="U30" s="586"/>
      <c r="V30" s="541"/>
      <c r="W30" s="541"/>
      <c r="X30" s="541"/>
      <c r="Y30" s="541"/>
      <c r="Z30" s="541"/>
      <c r="AA30" s="541"/>
      <c r="AB30" s="541"/>
      <c r="AC30" s="541"/>
      <c r="AD30" s="541"/>
      <c r="AE30" s="541"/>
      <c r="AF30" s="541"/>
      <c r="AG30" s="541"/>
      <c r="AH30" s="541"/>
      <c r="AI30" s="541"/>
      <c r="AJ30" s="541"/>
      <c r="AK30" s="541"/>
      <c r="AL30" s="541"/>
      <c r="AM30" s="541"/>
      <c r="AN30" s="541"/>
      <c r="AO30" s="541"/>
      <c r="AP30" s="541"/>
      <c r="AQ30" s="541"/>
      <c r="AR30" s="541"/>
      <c r="AS30" s="541"/>
      <c r="AT30" s="541"/>
      <c r="AU30" s="541"/>
      <c r="AV30" s="541"/>
      <c r="AW30" s="541"/>
      <c r="AX30" s="541"/>
      <c r="AY30" s="541"/>
      <c r="AZ30" s="541"/>
      <c r="BA30" s="541"/>
      <c r="BB30" s="746"/>
    </row>
    <row s="10859" customFormat="1" customHeight="1" ht="25.5" hidden="1">
      <c r="A31" s="1664"/>
      <c r="B31" s="1664"/>
      <c r="C31" s="1664"/>
      <c r="D31" s="1664"/>
      <c r="E31" s="1664"/>
      <c r="F31" s="1664"/>
      <c r="G31" s="1664"/>
      <c r="H31" s="1664"/>
      <c r="I31" s="1664"/>
      <c r="J31" s="1664"/>
      <c r="K31" s="1664"/>
      <c r="L31" s="1665"/>
      <c r="M31" s="1664"/>
      <c r="N31" s="1664"/>
      <c r="O31" s="1664"/>
      <c r="P31" s="1664"/>
      <c r="Q31" s="1664"/>
      <c r="S31" s="2416" t="s">
        <v>39</v>
      </c>
      <c r="T31" s="2416"/>
      <c r="U31" s="1668"/>
      <c r="V31" s="2417"/>
      <c r="W31" s="2417"/>
      <c r="X31" s="2417"/>
      <c r="Y31" s="2417"/>
      <c r="Z31" s="2417"/>
      <c r="AA31" s="2417"/>
      <c r="AB31" s="2417"/>
      <c r="AC31" s="547"/>
      <c r="AD31" s="2417" t="str">
        <f>IF(TITLE_NAME_OR_PR_CHANGE="",IF(TITLE_NAME_OR_PR="","",TITLE_NAME_OR_PR),TITLE_NAME_OR_PR_CHANGE)</f>
        <v/>
      </c>
      <c r="AE31" s="2417"/>
      <c r="AF31" s="2417"/>
      <c r="AG31" s="2417"/>
      <c r="AH31" s="2417"/>
      <c r="AI31" s="2417"/>
      <c r="AJ31" s="2417"/>
      <c r="AK31" s="2417"/>
      <c r="AL31" s="2417"/>
      <c r="AM31" s="2417"/>
      <c r="AN31" s="2417"/>
      <c r="AO31" s="2417"/>
      <c r="AP31" s="2417"/>
      <c r="AQ31" s="2417"/>
      <c r="AR31" s="2417"/>
      <c r="AS31" s="2417"/>
      <c r="AT31" s="2417"/>
      <c r="AU31" s="2417"/>
      <c r="AV31" s="2417"/>
      <c r="AW31" s="2417"/>
      <c r="AX31" s="2417"/>
      <c r="AY31" s="2417"/>
      <c r="AZ31" s="2417"/>
      <c r="BA31" s="547"/>
      <c r="BB31" s="547"/>
      <c r="BC31" s="490"/>
      <c r="BD31" s="593"/>
      <c r="BE31" s="593"/>
      <c r="BF31" s="593"/>
      <c r="BG31" s="593"/>
      <c r="BH31" s="593"/>
    </row>
    <row s="10859" customFormat="1" customHeight="1" ht="18.75" hidden="1">
      <c r="A32" s="1664"/>
      <c r="B32" s="1664"/>
      <c r="C32" s="1664"/>
      <c r="D32" s="1664"/>
      <c r="E32" s="1664"/>
      <c r="F32" s="1664"/>
      <c r="G32" s="1664"/>
      <c r="H32" s="1664"/>
      <c r="I32" s="1664"/>
      <c r="J32" s="1664"/>
      <c r="K32" s="1664"/>
      <c r="L32" s="1665"/>
      <c r="M32" s="1664"/>
      <c r="N32" s="1664"/>
      <c r="O32" s="1664"/>
      <c r="P32" s="1664"/>
      <c r="Q32" s="1664"/>
      <c r="S32" s="2416" t="s">
        <v>1540</v>
      </c>
      <c r="T32" s="2416"/>
      <c r="U32" s="1668"/>
      <c r="V32" s="2417"/>
      <c r="W32" s="2417"/>
      <c r="X32" s="2417"/>
      <c r="Y32" s="2417"/>
      <c r="Z32" s="2417"/>
      <c r="AA32" s="2417"/>
      <c r="AB32" s="2417"/>
      <c r="AC32" s="547"/>
      <c r="AD32" s="2417" t="str">
        <f>IF(TITLE_DATE_CHANGE_PERIOD="",IF(TITLE_DATE_PR="","",TITLE_DATE_PR),TITLE_DATE_CHANGE_PERIOD)</f>
        <v/>
      </c>
      <c r="AE32" s="2417"/>
      <c r="AF32" s="2417"/>
      <c r="AG32" s="2417"/>
      <c r="AH32" s="2417"/>
      <c r="AI32" s="2417"/>
      <c r="AJ32" s="2417"/>
      <c r="AK32" s="2417"/>
      <c r="AL32" s="2417"/>
      <c r="AM32" s="2417"/>
      <c r="AN32" s="2417"/>
      <c r="AO32" s="2417"/>
      <c r="AP32" s="2417"/>
      <c r="AQ32" s="2417"/>
      <c r="AR32" s="2417"/>
      <c r="AS32" s="2417"/>
      <c r="AT32" s="2417"/>
      <c r="AU32" s="2417"/>
      <c r="AV32" s="2417"/>
      <c r="AW32" s="2417"/>
      <c r="AX32" s="2417"/>
      <c r="AY32" s="2417"/>
      <c r="AZ32" s="2417"/>
      <c r="BA32" s="547"/>
      <c r="BB32" s="547"/>
      <c r="BC32" s="490"/>
      <c r="BD32" s="593"/>
      <c r="BE32" s="593"/>
      <c r="BF32" s="593"/>
      <c r="BG32" s="593"/>
      <c r="BH32" s="593"/>
    </row>
    <row s="10859" customFormat="1" customHeight="1" ht="18.75" hidden="1">
      <c r="A33" s="1664"/>
      <c r="B33" s="1664"/>
      <c r="C33" s="1664"/>
      <c r="D33" s="1664"/>
      <c r="E33" s="1664"/>
      <c r="F33" s="1664"/>
      <c r="G33" s="1664"/>
      <c r="H33" s="1664"/>
      <c r="I33" s="1664"/>
      <c r="J33" s="1664"/>
      <c r="K33" s="1664"/>
      <c r="L33" s="1665"/>
      <c r="M33" s="1664"/>
      <c r="N33" s="1664"/>
      <c r="O33" s="1664"/>
      <c r="P33" s="1664"/>
      <c r="Q33" s="1664"/>
      <c r="S33" s="2416" t="s">
        <v>1541</v>
      </c>
      <c r="T33" s="2416"/>
      <c r="U33" s="1668"/>
      <c r="V33" s="2417"/>
      <c r="W33" s="2417"/>
      <c r="X33" s="2417"/>
      <c r="Y33" s="2417"/>
      <c r="Z33" s="2417"/>
      <c r="AA33" s="2417"/>
      <c r="AB33" s="2417"/>
      <c r="AC33" s="547"/>
      <c r="AD33" s="2417" t="str">
        <f>IF(TITLE_NUMBER_PR_CHANGE="",IF(TITLE_NUMBER_PR="","",TITLE_NUMBER_PR),TITLE_NUMBER_PR_CHANGE)</f>
        <v/>
      </c>
      <c r="AE33" s="2417"/>
      <c r="AF33" s="2417"/>
      <c r="AG33" s="2417"/>
      <c r="AH33" s="2417"/>
      <c r="AI33" s="2417"/>
      <c r="AJ33" s="2417"/>
      <c r="AK33" s="2417"/>
      <c r="AL33" s="2417"/>
      <c r="AM33" s="2417"/>
      <c r="AN33" s="2417"/>
      <c r="AO33" s="2417"/>
      <c r="AP33" s="2417"/>
      <c r="AQ33" s="2417"/>
      <c r="AR33" s="2417"/>
      <c r="AS33" s="2417"/>
      <c r="AT33" s="2417"/>
      <c r="AU33" s="2417"/>
      <c r="AV33" s="2417"/>
      <c r="AW33" s="2417"/>
      <c r="AX33" s="2417"/>
      <c r="AY33" s="2417"/>
      <c r="AZ33" s="2417"/>
      <c r="BA33" s="547"/>
      <c r="BB33" s="547"/>
      <c r="BC33" s="490"/>
      <c r="BD33" s="593"/>
      <c r="BE33" s="593"/>
      <c r="BF33" s="593"/>
      <c r="BG33" s="593"/>
      <c r="BH33" s="593"/>
    </row>
    <row s="10859" customFormat="1" customHeight="1" ht="18.75" hidden="1">
      <c r="A34" s="1664"/>
      <c r="B34" s="1664"/>
      <c r="C34" s="1664"/>
      <c r="D34" s="1664"/>
      <c r="E34" s="1664"/>
      <c r="F34" s="1664"/>
      <c r="G34" s="1664"/>
      <c r="H34" s="1664"/>
      <c r="I34" s="1664"/>
      <c r="J34" s="1664"/>
      <c r="K34" s="1664"/>
      <c r="L34" s="1665"/>
      <c r="M34" s="1664"/>
      <c r="N34" s="1664"/>
      <c r="O34" s="1664"/>
      <c r="P34" s="1664"/>
      <c r="Q34" s="1664"/>
      <c r="S34" s="2416" t="s">
        <v>40</v>
      </c>
      <c r="T34" s="2416"/>
      <c r="U34" s="1668"/>
      <c r="V34" s="2417"/>
      <c r="W34" s="2417"/>
      <c r="X34" s="2417"/>
      <c r="Y34" s="2417"/>
      <c r="Z34" s="2417"/>
      <c r="AA34" s="2417"/>
      <c r="AB34" s="2417"/>
      <c r="AC34" s="547"/>
      <c r="AD34" s="2417" t="str">
        <f>IF(TITLE_IST_PUB_CHANGE="",IF(TITLE_IST_PUB="","",TITLE_IST_PUB),TITLE_IST_PUB_CHANGE)</f>
        <v/>
      </c>
      <c r="AE34" s="2417"/>
      <c r="AF34" s="2417"/>
      <c r="AG34" s="2417"/>
      <c r="AH34" s="2417"/>
      <c r="AI34" s="2417"/>
      <c r="AJ34" s="2417"/>
      <c r="AK34" s="2417"/>
      <c r="AL34" s="2417"/>
      <c r="AM34" s="2417"/>
      <c r="AN34" s="2417"/>
      <c r="AO34" s="2417"/>
      <c r="AP34" s="2417"/>
      <c r="AQ34" s="2417"/>
      <c r="AR34" s="2417"/>
      <c r="AS34" s="2417"/>
      <c r="AT34" s="2417"/>
      <c r="AU34" s="2417"/>
      <c r="AV34" s="2417"/>
      <c r="AW34" s="2417"/>
      <c r="AX34" s="2417"/>
      <c r="AY34" s="2417"/>
      <c r="AZ34" s="2417"/>
      <c r="BA34" s="547"/>
      <c r="BB34" s="547"/>
      <c r="BC34" s="490"/>
      <c r="BD34" s="593"/>
      <c r="BE34" s="593"/>
      <c r="BF34" s="593"/>
      <c r="BG34" s="593"/>
      <c r="BH34" s="593"/>
    </row>
    <row customHeight="1" ht="14.25" hidden="1">
      <c r="Q35" s="501"/>
      <c r="R35" s="602"/>
      <c r="S35" s="1565"/>
      <c r="T35" s="586"/>
      <c r="U35" s="586"/>
      <c r="V35" s="541"/>
      <c r="W35" s="541"/>
      <c r="X35" s="541"/>
      <c r="Y35" s="541"/>
      <c r="Z35" s="541"/>
      <c r="AA35" s="541"/>
      <c r="AB35" s="541"/>
      <c r="AC35" s="541"/>
      <c r="AD35" s="541"/>
      <c r="AE35" s="541"/>
      <c r="AF35" s="541"/>
      <c r="AG35" s="541"/>
      <c r="AH35" s="541"/>
      <c r="AI35" s="541"/>
      <c r="AJ35" s="541"/>
      <c r="AK35" s="541"/>
      <c r="AL35" s="541"/>
      <c r="AM35" s="541"/>
      <c r="AN35" s="541"/>
      <c r="AO35" s="541"/>
      <c r="AP35" s="541"/>
      <c r="AQ35" s="541"/>
      <c r="AR35" s="541"/>
      <c r="AS35" s="541"/>
      <c r="AT35" s="541"/>
      <c r="AU35" s="541"/>
      <c r="AV35" s="541"/>
      <c r="AW35" s="541"/>
      <c r="AX35" s="541"/>
      <c r="AY35" s="541"/>
      <c r="AZ35" s="541"/>
      <c r="BA35" s="541"/>
      <c r="BB35" s="746"/>
    </row>
    <row s="10859" customFormat="1" customHeight="1" ht="18.75" hidden="1">
      <c r="A36" s="1664"/>
      <c r="B36" s="1664"/>
      <c r="C36" s="1664"/>
      <c r="D36" s="1664"/>
      <c r="E36" s="1664"/>
      <c r="F36" s="1664"/>
      <c r="G36" s="1664"/>
      <c r="H36" s="1664"/>
      <c r="I36" s="1664"/>
      <c r="J36" s="1664"/>
      <c r="K36" s="1664"/>
      <c r="L36" s="1665"/>
      <c r="M36" s="1664"/>
      <c r="N36" s="1664"/>
      <c r="O36" s="1664"/>
      <c r="P36" s="1664"/>
      <c r="Q36" s="1664"/>
      <c r="S36" s="2416" t="s">
        <v>1540</v>
      </c>
      <c r="T36" s="2416"/>
      <c r="U36" s="1668"/>
      <c r="V36" s="2417"/>
      <c r="W36" s="2417"/>
      <c r="X36" s="2417"/>
      <c r="Y36" s="2417"/>
      <c r="Z36" s="2417"/>
      <c r="AA36" s="2417"/>
      <c r="AB36" s="2417"/>
      <c r="AC36" s="547"/>
      <c r="AD36" s="2417" t="str">
        <f>IF(TITLE_DATE_CHANGE_PERIOD="",IF(TITLE_DATE_PR="","",TITLE_DATE_PR),TITLE_DATE_CHANGE_PERIOD)</f>
        <v/>
      </c>
      <c r="AE36" s="2417"/>
      <c r="AF36" s="2417"/>
      <c r="AG36" s="2417"/>
      <c r="AH36" s="2417"/>
      <c r="AI36" s="2417"/>
      <c r="AJ36" s="2417"/>
      <c r="AK36" s="2417"/>
      <c r="AL36" s="2417"/>
      <c r="AM36" s="2417"/>
      <c r="AN36" s="2417"/>
      <c r="AO36" s="2417"/>
      <c r="AP36" s="2417"/>
      <c r="AQ36" s="2417"/>
      <c r="AR36" s="2417"/>
      <c r="AS36" s="2417"/>
      <c r="AT36" s="2417"/>
      <c r="AU36" s="2417"/>
      <c r="AV36" s="2417"/>
      <c r="AW36" s="2417"/>
      <c r="AX36" s="2417"/>
      <c r="AY36" s="2417"/>
      <c r="AZ36" s="2417"/>
      <c r="BA36" s="547"/>
      <c r="BB36" s="547"/>
      <c r="BC36" s="490"/>
      <c r="BD36" s="593"/>
      <c r="BE36" s="593"/>
      <c r="BF36" s="593"/>
      <c r="BG36" s="593"/>
      <c r="BH36" s="593"/>
    </row>
    <row s="10859" customFormat="1" customHeight="1" ht="18.75" hidden="1">
      <c r="A37" s="1664"/>
      <c r="B37" s="1664"/>
      <c r="C37" s="1664"/>
      <c r="D37" s="1664"/>
      <c r="E37" s="1664"/>
      <c r="F37" s="1664"/>
      <c r="G37" s="1664"/>
      <c r="H37" s="1664"/>
      <c r="I37" s="1664"/>
      <c r="J37" s="1664"/>
      <c r="K37" s="1664"/>
      <c r="L37" s="1665"/>
      <c r="M37" s="1664"/>
      <c r="N37" s="1664"/>
      <c r="O37" s="1664"/>
      <c r="P37" s="1664"/>
      <c r="Q37" s="1664"/>
      <c r="S37" s="2416" t="s">
        <v>1541</v>
      </c>
      <c r="T37" s="2416"/>
      <c r="U37" s="1668"/>
      <c r="V37" s="2417"/>
      <c r="W37" s="2417"/>
      <c r="X37" s="2417"/>
      <c r="Y37" s="2417"/>
      <c r="Z37" s="2417"/>
      <c r="AA37" s="2417"/>
      <c r="AB37" s="2417"/>
      <c r="AC37" s="547"/>
      <c r="AD37" s="2417" t="str">
        <f>IF(TITLE_NUMBER_PR_CHANGE="",IF(TITLE_NUMBER_PR="","",TITLE_NUMBER_PR),TITLE_NUMBER_PR_CHANGE)</f>
        <v/>
      </c>
      <c r="AE37" s="2417"/>
      <c r="AF37" s="2417"/>
      <c r="AG37" s="2417"/>
      <c r="AH37" s="2417"/>
      <c r="AI37" s="2417"/>
      <c r="AJ37" s="2417"/>
      <c r="AK37" s="2417"/>
      <c r="AL37" s="2417"/>
      <c r="AM37" s="2417"/>
      <c r="AN37" s="2417"/>
      <c r="AO37" s="2417"/>
      <c r="AP37" s="2417"/>
      <c r="AQ37" s="2417"/>
      <c r="AR37" s="2417"/>
      <c r="AS37" s="2417"/>
      <c r="AT37" s="2417"/>
      <c r="AU37" s="2417"/>
      <c r="AV37" s="2417"/>
      <c r="AW37" s="2417"/>
      <c r="AX37" s="2417"/>
      <c r="AY37" s="2417"/>
      <c r="AZ37" s="2417"/>
      <c r="BA37" s="547"/>
      <c r="BB37" s="547"/>
      <c r="BC37" s="490"/>
      <c r="BD37" s="593"/>
      <c r="BE37" s="593"/>
      <c r="BF37" s="593"/>
      <c r="BG37" s="593"/>
      <c r="BH37" s="593"/>
    </row>
    <row s="10859" customFormat="1" customHeight="1" ht="0">
      <c r="A38" s="1664"/>
      <c r="B38" s="1664"/>
      <c r="C38" s="1664"/>
      <c r="D38" s="1664"/>
      <c r="E38" s="1664"/>
      <c r="F38" s="1664"/>
      <c r="G38" s="1664"/>
      <c r="H38" s="1664"/>
      <c r="I38" s="1664"/>
      <c r="J38" s="1664"/>
      <c r="K38" s="1664"/>
      <c r="L38" s="1665"/>
      <c r="M38" s="1664"/>
      <c r="N38" s="1664"/>
      <c r="O38" s="1664"/>
      <c r="P38" s="1664"/>
      <c r="Q38" s="1664"/>
      <c r="S38" s="543"/>
      <c r="T38" s="543"/>
      <c r="U38" s="1785"/>
      <c r="V38" s="547"/>
      <c r="W38" s="547"/>
      <c r="X38" s="547"/>
      <c r="Y38" s="547"/>
      <c r="Z38" s="547"/>
      <c r="AA38" s="547"/>
      <c r="AB38" s="547"/>
      <c r="AC38" s="488" t="s">
        <v>1544</v>
      </c>
      <c r="AD38" s="547"/>
      <c r="AE38" s="547"/>
      <c r="AF38" s="547"/>
      <c r="AG38" s="547"/>
      <c r="AH38" s="547"/>
      <c r="AI38" s="547"/>
      <c r="AJ38" s="547"/>
      <c r="AK38" s="547"/>
      <c r="AL38" s="547"/>
      <c r="AM38" s="547"/>
      <c r="AN38" s="547"/>
      <c r="AO38" s="547"/>
      <c r="AP38" s="547"/>
      <c r="AQ38" s="547"/>
      <c r="AR38" s="547"/>
      <c r="AS38" s="547"/>
      <c r="AT38" s="547"/>
      <c r="AU38" s="547"/>
      <c r="AV38" s="547"/>
      <c r="AW38" s="547"/>
      <c r="AX38" s="547"/>
      <c r="AY38" s="547"/>
      <c r="AZ38" s="547"/>
      <c r="BA38" s="488" t="s">
        <v>1544</v>
      </c>
      <c r="BD38" s="593"/>
      <c r="BE38" s="593"/>
      <c r="BF38" s="593"/>
      <c r="BG38" s="593"/>
      <c r="BH38" s="593"/>
    </row>
    <row customHeight="1" ht="14.25">
      <c r="Q39" s="501"/>
      <c r="R39" s="602"/>
      <c r="S39" s="1565"/>
      <c r="T39" s="586"/>
      <c r="U39" s="1522"/>
      <c r="V39" s="2418"/>
      <c r="W39" s="2418"/>
      <c r="X39" s="2418"/>
      <c r="Y39" s="2418"/>
      <c r="Z39" s="2418"/>
      <c r="AA39" s="2418"/>
      <c r="AB39" s="2418"/>
      <c r="AC39" s="2418"/>
      <c r="AD39" s="2418"/>
      <c r="AE39" s="2418"/>
      <c r="AF39" s="2418"/>
      <c r="AG39" s="2418"/>
      <c r="AH39" s="2418"/>
      <c r="AI39" s="2418"/>
      <c r="AJ39" s="2418"/>
      <c r="AK39" s="2418"/>
      <c r="AL39" s="2418"/>
      <c r="AM39" s="2418"/>
      <c r="AN39" s="2418"/>
      <c r="AO39" s="2418"/>
      <c r="AP39" s="2418"/>
      <c r="AQ39" s="2418"/>
      <c r="AR39" s="2418"/>
      <c r="AS39" s="2418"/>
      <c r="AT39" s="2418"/>
      <c r="AU39" s="2418"/>
      <c r="AV39" s="2418"/>
      <c r="AW39" s="2418"/>
      <c r="AX39" s="2418"/>
      <c r="AY39" s="2418"/>
      <c r="AZ39" s="2418"/>
      <c r="BA39" s="2418"/>
    </row>
    <row customHeight="1" ht="14.25">
      <c r="Q40" s="501"/>
      <c r="R40" s="602"/>
      <c r="S40" s="2277" t="s">
        <v>362</v>
      </c>
      <c r="T40" s="2277"/>
      <c r="U40" s="2277"/>
      <c r="V40" s="2277"/>
      <c r="W40" s="2277"/>
      <c r="X40" s="2277"/>
      <c r="Y40" s="2277"/>
      <c r="Z40" s="2277"/>
      <c r="AA40" s="2277"/>
      <c r="AB40" s="2277"/>
      <c r="AC40" s="2277"/>
      <c r="AD40" s="2277"/>
      <c r="AE40" s="2277"/>
      <c r="AF40" s="2277"/>
      <c r="AG40" s="2277"/>
      <c r="AH40" s="2277"/>
      <c r="AI40" s="2277"/>
      <c r="AJ40" s="2277"/>
      <c r="AK40" s="2277"/>
      <c r="AL40" s="2277"/>
      <c r="AM40" s="2277"/>
      <c r="AN40" s="2277"/>
      <c r="AO40" s="2277"/>
      <c r="AP40" s="2277"/>
      <c r="AQ40" s="2277"/>
      <c r="AR40" s="2277"/>
      <c r="AS40" s="2277"/>
      <c r="AT40" s="2277"/>
      <c r="AU40" s="2277"/>
      <c r="AV40" s="2277"/>
      <c r="AW40" s="2277"/>
      <c r="AX40" s="2277"/>
      <c r="AY40" s="2277"/>
      <c r="AZ40" s="2277"/>
      <c r="BA40" s="2277"/>
      <c r="BB40" s="2277"/>
      <c r="BC40" s="2277" t="s">
        <v>363</v>
      </c>
    </row>
    <row customHeight="1" ht="14.25">
      <c r="Q41" s="501"/>
      <c r="R41" s="602"/>
      <c r="S41" s="2440" t="s">
        <v>88</v>
      </c>
      <c r="T41" s="2301" t="s">
        <v>1758</v>
      </c>
      <c r="U41" s="511"/>
      <c r="V41" s="2441" t="s">
        <v>1546</v>
      </c>
      <c r="W41" s="2442"/>
      <c r="X41" s="2442"/>
      <c r="Y41" s="2442"/>
      <c r="Z41" s="2442"/>
      <c r="AA41" s="2442"/>
      <c r="AB41" s="2443"/>
      <c r="AC41" s="2444" t="s">
        <v>1547</v>
      </c>
      <c r="AD41" s="2499" t="s">
        <v>1759</v>
      </c>
      <c r="AE41" s="2458"/>
      <c r="AF41" s="2458"/>
      <c r="AG41" s="2500"/>
      <c r="AH41" s="2499" t="s">
        <v>1760</v>
      </c>
      <c r="AI41" s="2458"/>
      <c r="AJ41" s="2458"/>
      <c r="AK41" s="2500"/>
      <c r="AL41" s="2499" t="s">
        <v>1761</v>
      </c>
      <c r="AM41" s="2458"/>
      <c r="AN41" s="2458"/>
      <c r="AO41" s="2500"/>
      <c r="AP41" s="2499" t="s">
        <v>1762</v>
      </c>
      <c r="AQ41" s="2458"/>
      <c r="AR41" s="2458"/>
      <c r="AS41" s="2500"/>
      <c r="AT41" s="2441" t="s">
        <v>1546</v>
      </c>
      <c r="AU41" s="2442"/>
      <c r="AV41" s="2442"/>
      <c r="AW41" s="2442"/>
      <c r="AX41" s="2442"/>
      <c r="AY41" s="2442"/>
      <c r="AZ41" s="2443"/>
      <c r="BA41" s="2444" t="s">
        <v>1547</v>
      </c>
      <c r="BB41" s="2447" t="s">
        <v>1549</v>
      </c>
      <c r="BC41" s="2277"/>
    </row>
    <row customHeight="1" ht="33.75">
      <c r="Q42" s="501"/>
      <c r="R42" s="602"/>
      <c r="S42" s="2440"/>
      <c r="T42" s="2301"/>
      <c r="U42" s="1289"/>
      <c r="V42" s="2290" t="s">
        <v>1763</v>
      </c>
      <c r="W42" s="2291"/>
      <c r="X42" s="2290" t="s">
        <v>1764</v>
      </c>
      <c r="Y42" s="2291"/>
      <c r="Z42" s="2477" t="s">
        <v>1765</v>
      </c>
      <c r="AA42" s="2478"/>
      <c r="AB42" s="2479"/>
      <c r="AC42" s="2445"/>
      <c r="AD42" s="2501"/>
      <c r="AE42" s="2502"/>
      <c r="AF42" s="2502"/>
      <c r="AG42" s="2503"/>
      <c r="AH42" s="2501"/>
      <c r="AI42" s="2502"/>
      <c r="AJ42" s="2502"/>
      <c r="AK42" s="2503"/>
      <c r="AL42" s="2501"/>
      <c r="AM42" s="2502"/>
      <c r="AN42" s="2502"/>
      <c r="AO42" s="2503"/>
      <c r="AP42" s="2501"/>
      <c r="AQ42" s="2502"/>
      <c r="AR42" s="2502"/>
      <c r="AS42" s="2503"/>
      <c r="AT42" s="2290" t="s">
        <v>1763</v>
      </c>
      <c r="AU42" s="2291"/>
      <c r="AV42" s="2290" t="s">
        <v>1764</v>
      </c>
      <c r="AW42" s="2291"/>
      <c r="AX42" s="2477" t="s">
        <v>1765</v>
      </c>
      <c r="AY42" s="2478"/>
      <c r="AZ42" s="2479"/>
      <c r="BA42" s="2445"/>
      <c r="BB42" s="2448"/>
      <c r="BC42" s="2277"/>
    </row>
    <row customHeight="1" ht="14.25">
      <c r="Q43" s="501"/>
      <c r="R43" s="602"/>
      <c r="S43" s="2440"/>
      <c r="T43" s="2301"/>
      <c r="U43" s="1289"/>
      <c r="V43" s="2292"/>
      <c r="W43" s="2293"/>
      <c r="X43" s="2292"/>
      <c r="Y43" s="2293"/>
      <c r="Z43" s="2480"/>
      <c r="AA43" s="2481"/>
      <c r="AB43" s="2482"/>
      <c r="AC43" s="2445"/>
      <c r="AD43" s="2501"/>
      <c r="AE43" s="2502"/>
      <c r="AF43" s="2502"/>
      <c r="AG43" s="2503"/>
      <c r="AH43" s="2501"/>
      <c r="AI43" s="2502"/>
      <c r="AJ43" s="2502"/>
      <c r="AK43" s="2503"/>
      <c r="AL43" s="2501"/>
      <c r="AM43" s="2502"/>
      <c r="AN43" s="2502"/>
      <c r="AO43" s="2503"/>
      <c r="AP43" s="2501"/>
      <c r="AQ43" s="2502"/>
      <c r="AR43" s="2502"/>
      <c r="AS43" s="2503"/>
      <c r="AT43" s="2292"/>
      <c r="AU43" s="2293"/>
      <c r="AV43" s="2292"/>
      <c r="AW43" s="2293"/>
      <c r="AX43" s="2480"/>
      <c r="AY43" s="2481"/>
      <c r="AZ43" s="2482"/>
      <c r="BA43" s="2445"/>
      <c r="BB43" s="2448"/>
      <c r="BC43" s="2277"/>
    </row>
    <row customHeight="1" ht="14.25">
      <c r="A44" s="1666"/>
      <c r="B44" s="1666" t="s">
        <v>212</v>
      </c>
      <c r="C44" s="1666" t="s">
        <v>213</v>
      </c>
      <c r="D44" s="1666" t="s">
        <v>214</v>
      </c>
      <c r="E44" s="1660" t="s">
        <v>1554</v>
      </c>
      <c r="F44" s="1660" t="s">
        <v>1555</v>
      </c>
      <c r="G44" s="1660" t="s">
        <v>1556</v>
      </c>
      <c r="H44" s="1660" t="s">
        <v>1557</v>
      </c>
      <c r="I44" s="1660" t="s">
        <v>1558</v>
      </c>
      <c r="J44" s="1660" t="s">
        <v>1559</v>
      </c>
      <c r="K44" s="1660" t="s">
        <v>1560</v>
      </c>
      <c r="L44" s="1660" t="s">
        <v>1535</v>
      </c>
      <c r="Q44" s="501"/>
      <c r="R44" s="602"/>
      <c r="S44" s="2440"/>
      <c r="T44" s="2301"/>
      <c r="U44" s="512"/>
      <c r="V44" s="1776" t="s">
        <v>1606</v>
      </c>
      <c r="W44" s="1776" t="s">
        <v>1607</v>
      </c>
      <c r="X44" s="1776" t="s">
        <v>1606</v>
      </c>
      <c r="Y44" s="1776" t="s">
        <v>1607</v>
      </c>
      <c r="Z44" s="1786" t="s">
        <v>1563</v>
      </c>
      <c r="AA44" s="2437" t="s">
        <v>1564</v>
      </c>
      <c r="AB44" s="2438"/>
      <c r="AC44" s="2446"/>
      <c r="AD44" s="2504"/>
      <c r="AE44" s="2505"/>
      <c r="AF44" s="2505"/>
      <c r="AG44" s="2506"/>
      <c r="AH44" s="2504"/>
      <c r="AI44" s="2505"/>
      <c r="AJ44" s="2505"/>
      <c r="AK44" s="2506"/>
      <c r="AL44" s="2504"/>
      <c r="AM44" s="2505"/>
      <c r="AN44" s="2505"/>
      <c r="AO44" s="2506"/>
      <c r="AP44" s="2504"/>
      <c r="AQ44" s="2505"/>
      <c r="AR44" s="2505"/>
      <c r="AS44" s="2506"/>
      <c r="AT44" s="1776" t="s">
        <v>1606</v>
      </c>
      <c r="AU44" s="1776" t="s">
        <v>1607</v>
      </c>
      <c r="AV44" s="1776" t="s">
        <v>1606</v>
      </c>
      <c r="AW44" s="1776" t="s">
        <v>1607</v>
      </c>
      <c r="AX44" s="1786" t="s">
        <v>1563</v>
      </c>
      <c r="AY44" s="2437" t="s">
        <v>1564</v>
      </c>
      <c r="AZ44" s="2438"/>
      <c r="BA44" s="2446"/>
      <c r="BB44" s="2449"/>
      <c r="BC44" s="2277"/>
    </row>
    <row s="10822" customFormat="1" customHeight="1" ht="11.25" hidden="1">
      <c r="A45" s="1666"/>
      <c r="B45" s="1666"/>
      <c r="C45" s="1666"/>
      <c r="D45" s="1666"/>
      <c r="E45" s="1666"/>
      <c r="F45" s="1666"/>
      <c r="G45" s="1666"/>
      <c r="H45" s="1666"/>
      <c r="I45" s="1666"/>
      <c r="J45" s="1666"/>
      <c r="K45" s="1666"/>
      <c r="L45" s="1660"/>
      <c r="M45" s="1658"/>
      <c r="N45" s="1658"/>
      <c r="O45" s="1658"/>
      <c r="P45" s="747"/>
      <c r="Q45" s="1540"/>
      <c r="R45" s="1540">
        <v>1</v>
      </c>
      <c r="S45" s="1567" t="s">
        <v>109</v>
      </c>
      <c r="T45" s="1541" t="s">
        <v>110</v>
      </c>
      <c r="U45" s="1523" t="str">
        <f>OFFSET(U45,0,-1)</f>
        <v>2</v>
      </c>
      <c r="V45" s="1779">
        <f>OFFSET(V45,0,-1)+1</f>
        <v>3</v>
      </c>
      <c r="W45" s="1779">
        <f>OFFSET(W45,0,-1)+1</f>
        <v>4</v>
      </c>
      <c r="X45" s="1779">
        <f>OFFSET(X45,0,-1)+1</f>
        <v>5</v>
      </c>
      <c r="Y45" s="1779">
        <f>OFFSET(Y45,0,-1)+1</f>
        <v>6</v>
      </c>
      <c r="Z45" s="1779">
        <f>OFFSET(Z45,0,-1)+1</f>
        <v>7</v>
      </c>
      <c r="AA45" s="2439">
        <f>OFFSET(AA45,0,-1)+1</f>
        <v>8</v>
      </c>
      <c r="AB45" s="2439"/>
      <c r="AC45" s="1779">
        <f>OFFSET(AC45,0,-2)+1</f>
        <v>9</v>
      </c>
      <c r="AD45" s="1779">
        <f>OFFSET(AD45,0,-1)+1</f>
        <v>10</v>
      </c>
      <c r="AE45" s="1779"/>
      <c r="AF45" s="1779"/>
      <c r="AG45" s="1779"/>
      <c r="AH45" s="1779"/>
      <c r="AI45" s="1779"/>
      <c r="AJ45" s="1779"/>
      <c r="AK45" s="1779"/>
      <c r="AL45" s="1779"/>
      <c r="AM45" s="1779"/>
      <c r="AN45" s="1779"/>
      <c r="AO45" s="1779"/>
      <c r="AP45" s="1779"/>
      <c r="AQ45" s="1779"/>
      <c r="AR45" s="1779"/>
      <c r="AS45" s="1779"/>
      <c r="AT45" s="1779"/>
      <c r="AU45" s="1779"/>
      <c r="AV45" s="1779"/>
      <c r="AW45" s="1779">
        <f>OFFSET(AW45,0,-1)+1</f>
        <v>1</v>
      </c>
      <c r="AX45" s="1779">
        <f>OFFSET(AX45,0,-1)+1</f>
        <v>2</v>
      </c>
      <c r="AY45" s="2439">
        <f>OFFSET(AY45,0,-1)+1</f>
        <v>3</v>
      </c>
      <c r="AZ45" s="2439"/>
      <c r="BA45" s="1779">
        <f>OFFSET(BA45,0,-2)+1</f>
        <v>4</v>
      </c>
      <c r="BB45" s="1523">
        <f>OFFSET(BB45,0,-1)</f>
        <v>4</v>
      </c>
      <c r="BC45" s="1779">
        <f>OFFSET(BC45,0,-1)+1</f>
        <v>5</v>
      </c>
      <c r="BD45" s="748"/>
      <c r="BE45" s="748"/>
      <c r="BF45" s="748"/>
      <c r="BG45" s="748"/>
      <c r="BH45" s="748"/>
    </row>
    <row customHeight="1" ht="21">
      <c r="A46" s="1659" t="s">
        <v>323</v>
      </c>
      <c r="B46" s="1659"/>
      <c r="C46" s="1659"/>
      <c r="D46" s="1659"/>
      <c r="E46" s="2424">
        <v>1</v>
      </c>
      <c r="F46" s="1659"/>
      <c r="G46" s="1659"/>
      <c r="H46" s="1659"/>
      <c r="I46" s="1659"/>
      <c r="J46" s="1659"/>
      <c r="K46" s="1659"/>
      <c r="L46" s="1660"/>
      <c r="M46" s="1661"/>
      <c r="N46" s="1661"/>
      <c r="O46" s="1661"/>
      <c r="P46" s="1706"/>
      <c r="Q46" s="1120"/>
      <c r="R46" s="576"/>
      <c r="S46" s="1790">
        <f>INDEX(PT_DIFFERENTIATION_NUM_NTAR,MATCH(A46,PT_DIFFERENTIATION_NTAR_ID,0))</f>
        <v>0</v>
      </c>
      <c r="T46" s="508" t="s">
        <v>200</v>
      </c>
      <c r="U46" s="510"/>
      <c r="V46" s="4038"/>
      <c r="W46" s="4038"/>
      <c r="X46" s="4038"/>
      <c r="Y46" s="4038"/>
      <c r="Z46" s="4038"/>
      <c r="AA46" s="4038"/>
      <c r="AB46" s="4038"/>
      <c r="AC46" s="4039"/>
      <c r="AD46" s="4037" t="str">
        <f>INDEX(PT_DIFFERENTIATION_NTAR,MATCH(A46,PT_DIFFERENTIATION_NTAR_ID,0))</f>
        <v/>
      </c>
      <c r="AE46" s="4038"/>
      <c r="AF46" s="4038"/>
      <c r="AG46" s="4038"/>
      <c r="AH46" s="4038"/>
      <c r="AI46" s="4038"/>
      <c r="AJ46" s="4038"/>
      <c r="AK46" s="4038"/>
      <c r="AL46" s="4038"/>
      <c r="AM46" s="4038"/>
      <c r="AN46" s="4038"/>
      <c r="AO46" s="4038"/>
      <c r="AP46" s="4038"/>
      <c r="AQ46" s="4038"/>
      <c r="AR46" s="4038"/>
      <c r="AS46" s="4038"/>
      <c r="AT46" s="4038"/>
      <c r="AU46" s="4038"/>
      <c r="AV46" s="4038"/>
      <c r="AW46" s="4038"/>
      <c r="AX46" s="4038"/>
      <c r="AY46" s="4038"/>
      <c r="AZ46" s="4038"/>
      <c r="BA46" s="4038"/>
      <c r="BB46" s="4039"/>
      <c r="BC46" s="1546"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737"/>
      <c r="BF46" s="737" t="str">
        <f>IF(T46="","",T46)</f>
        <v>Наименование тарифа</v>
      </c>
      <c r="BG46" s="737"/>
      <c r="BH46" s="737"/>
    </row>
    <row customHeight="1" ht="21">
      <c r="A47" s="1659" t="s">
        <v>323</v>
      </c>
      <c r="B47" s="1659" t="s">
        <v>324</v>
      </c>
      <c r="C47" s="1659"/>
      <c r="D47" s="1659"/>
      <c r="E47" s="2425"/>
      <c r="F47" s="2424">
        <v>1</v>
      </c>
      <c r="G47" s="1659"/>
      <c r="H47" s="1659"/>
      <c r="I47" s="1659"/>
      <c r="J47" s="1659"/>
      <c r="K47" s="1659"/>
      <c r="L47" s="1660"/>
      <c r="M47" s="1661"/>
      <c r="N47" s="1661"/>
      <c r="O47" s="1661"/>
      <c r="P47" s="1707"/>
      <c r="Q47" s="1708"/>
      <c r="R47" s="574"/>
      <c r="S47" s="1790" t="str">
        <f>INDEX(PT_DIFFERENTIATION_NUM_TER,MATCH(B47,PT_DIFFERENTIATION_TER_ID,0))</f>
        <v>.</v>
      </c>
      <c r="T47" s="520" t="s">
        <v>1517</v>
      </c>
      <c r="U47" s="510"/>
      <c r="V47" s="4038"/>
      <c r="W47" s="4038"/>
      <c r="X47" s="4038"/>
      <c r="Y47" s="4038"/>
      <c r="Z47" s="4038"/>
      <c r="AA47" s="4038"/>
      <c r="AB47" s="4038"/>
      <c r="AC47" s="4039"/>
      <c r="AD47" s="4037" t="str">
        <f>INDEX(PT_DIFFERENTIATION_TER,MATCH(B47,PT_DIFFERENTIATION_TER_ID,0))</f>
        <v/>
      </c>
      <c r="AE47" s="4038"/>
      <c r="AF47" s="4038"/>
      <c r="AG47" s="4038"/>
      <c r="AH47" s="4038"/>
      <c r="AI47" s="4038"/>
      <c r="AJ47" s="4038"/>
      <c r="AK47" s="4038"/>
      <c r="AL47" s="4038"/>
      <c r="AM47" s="4038"/>
      <c r="AN47" s="4038"/>
      <c r="AO47" s="4038"/>
      <c r="AP47" s="4038"/>
      <c r="AQ47" s="4038"/>
      <c r="AR47" s="4038"/>
      <c r="AS47" s="4038"/>
      <c r="AT47" s="4038"/>
      <c r="AU47" s="4038"/>
      <c r="AV47" s="4038"/>
      <c r="AW47" s="4038"/>
      <c r="AX47" s="4038"/>
      <c r="AY47" s="4038"/>
      <c r="AZ47" s="4038"/>
      <c r="BA47" s="4038"/>
      <c r="BB47" s="4039"/>
      <c r="BC47" s="1546" t="s">
        <v>1518</v>
      </c>
      <c r="BE47" s="737"/>
      <c r="BF47" s="737" t="str">
        <f>IF(T47="","",T47)</f>
        <v>Территория действия тарифа</v>
      </c>
      <c r="BG47" s="737"/>
      <c r="BH47" s="737"/>
    </row>
    <row customHeight="1" ht="33.75">
      <c r="A48" s="1659" t="s">
        <v>323</v>
      </c>
      <c r="B48" s="1659" t="s">
        <v>324</v>
      </c>
      <c r="C48" s="1659" t="s">
        <v>325</v>
      </c>
      <c r="D48" s="1659"/>
      <c r="E48" s="2425"/>
      <c r="F48" s="2425"/>
      <c r="G48" s="2424">
        <v>1</v>
      </c>
      <c r="H48" s="1659"/>
      <c r="I48" s="1659"/>
      <c r="J48" s="1659"/>
      <c r="K48" s="1659"/>
      <c r="L48" s="1660"/>
      <c r="M48" s="1661"/>
      <c r="N48" s="1661"/>
      <c r="O48" s="1661"/>
      <c r="P48" s="1709"/>
      <c r="Q48" s="1708"/>
      <c r="R48" s="574"/>
      <c r="S48" s="1790" t="str">
        <f>INDEX(PT_DIFFERENTIATION_NUM_CS,MATCH(C48,PT_DIFFERENTIATION_CS_ID,0))</f>
        <v>..</v>
      </c>
      <c r="T48" s="521" t="s">
        <v>2132</v>
      </c>
      <c r="U48" s="510"/>
      <c r="V48" s="4038"/>
      <c r="W48" s="4038"/>
      <c r="X48" s="4038"/>
      <c r="Y48" s="4038"/>
      <c r="Z48" s="4038"/>
      <c r="AA48" s="4038"/>
      <c r="AB48" s="4038"/>
      <c r="AC48" s="4039"/>
      <c r="AD48" s="4037" t="str">
        <f>INDEX(PT_DIFFERENTIATION_CS,MATCH(C48,PT_DIFFERENTIATION_CS_ID,0))</f>
        <v/>
      </c>
      <c r="AE48" s="4038"/>
      <c r="AF48" s="4038"/>
      <c r="AG48" s="4038"/>
      <c r="AH48" s="4038"/>
      <c r="AI48" s="4038"/>
      <c r="AJ48" s="4038"/>
      <c r="AK48" s="4038"/>
      <c r="AL48" s="4038"/>
      <c r="AM48" s="4038"/>
      <c r="AN48" s="4038"/>
      <c r="AO48" s="4038"/>
      <c r="AP48" s="4038"/>
      <c r="AQ48" s="4038"/>
      <c r="AR48" s="4038"/>
      <c r="AS48" s="4038"/>
      <c r="AT48" s="4038"/>
      <c r="AU48" s="4038"/>
      <c r="AV48" s="4038"/>
      <c r="AW48" s="4038"/>
      <c r="AX48" s="4038"/>
      <c r="AY48" s="4038"/>
      <c r="AZ48" s="4038"/>
      <c r="BA48" s="4038"/>
      <c r="BB48" s="4039"/>
      <c r="BC48" s="1546" t="s">
        <v>2133</v>
      </c>
      <c r="BE48" s="737"/>
      <c r="BF48" s="737" t="str">
        <f>IF(T48="","",T48)</f>
        <v>Наименование централизованной системы горячего водоснабжения</v>
      </c>
      <c r="BG48" s="737"/>
      <c r="BH48" s="737"/>
    </row>
    <row s="10863" customFormat="1" customHeight="1" ht="0">
      <c r="A49" s="1638" t="s">
        <v>323</v>
      </c>
      <c r="B49" s="1638" t="s">
        <v>324</v>
      </c>
      <c r="C49" s="1638" t="s">
        <v>325</v>
      </c>
      <c r="D49" s="1638" t="s">
        <v>2142</v>
      </c>
      <c r="E49" s="2425"/>
      <c r="F49" s="2425"/>
      <c r="G49" s="2425"/>
      <c r="H49" s="2424">
        <v>1</v>
      </c>
      <c r="I49" s="1638"/>
      <c r="J49" s="1638"/>
      <c r="K49" s="1638"/>
      <c r="L49" s="1641"/>
      <c r="M49" s="1610"/>
      <c r="N49" s="1610"/>
      <c r="O49" s="1610"/>
      <c r="P49" s="1794"/>
      <c r="Q49" s="1795"/>
      <c r="R49" s="578"/>
      <c r="S49" s="1300"/>
      <c r="T49" s="1796"/>
      <c r="U49" s="1680"/>
      <c r="V49" s="2464"/>
      <c r="W49" s="2464"/>
      <c r="X49" s="2464"/>
      <c r="Y49" s="2464"/>
      <c r="Z49" s="2464"/>
      <c r="AA49" s="2464"/>
      <c r="AB49" s="2464"/>
      <c r="AC49" s="2465"/>
      <c r="AD49" s="2463"/>
      <c r="AE49" s="2464"/>
      <c r="AF49" s="2464"/>
      <c r="AG49" s="2464"/>
      <c r="AH49" s="2464"/>
      <c r="AI49" s="2464"/>
      <c r="AJ49" s="2464"/>
      <c r="AK49" s="2464"/>
      <c r="AL49" s="2464"/>
      <c r="AM49" s="2464"/>
      <c r="AN49" s="2464"/>
      <c r="AO49" s="2464"/>
      <c r="AP49" s="2464"/>
      <c r="AQ49" s="2464"/>
      <c r="AR49" s="2464"/>
      <c r="AS49" s="2464"/>
      <c r="AT49" s="2464"/>
      <c r="AU49" s="2464"/>
      <c r="AV49" s="2464"/>
      <c r="AW49" s="2464"/>
      <c r="AX49" s="2464"/>
      <c r="AY49" s="2464"/>
      <c r="AZ49" s="2464"/>
      <c r="BA49" s="2464"/>
      <c r="BB49" s="2465"/>
      <c r="BC49" s="1681" t="s">
        <v>1522</v>
      </c>
      <c r="BE49" s="737"/>
      <c r="BF49" s="737" t="str">
        <f>IF(T49="","",T49)</f>
        <v/>
      </c>
      <c r="BG49" s="737"/>
      <c r="BH49" s="737"/>
    </row>
    <row s="10863" customFormat="1" customHeight="1" ht="0">
      <c r="A50" s="1638" t="s">
        <v>323</v>
      </c>
      <c r="B50" s="1638" t="s">
        <v>324</v>
      </c>
      <c r="C50" s="1638" t="s">
        <v>325</v>
      </c>
      <c r="D50" s="1638" t="s">
        <v>2142</v>
      </c>
      <c r="E50" s="2425"/>
      <c r="F50" s="2425"/>
      <c r="G50" s="2425"/>
      <c r="H50" s="2425"/>
      <c r="I50" s="2453" t="str">
        <f>S49&amp;".1"</f>
        <v>.1</v>
      </c>
      <c r="J50" s="1638"/>
      <c r="K50" s="1638"/>
      <c r="L50" s="1641" t="s">
        <v>1523</v>
      </c>
      <c r="M50" s="747"/>
      <c r="N50" s="747"/>
      <c r="O50" s="747"/>
      <c r="P50" s="2423">
        <v>1</v>
      </c>
      <c r="Q50" s="1778"/>
      <c r="R50" s="577"/>
      <c r="S50" s="1300"/>
      <c r="T50" s="1679"/>
      <c r="U50" s="1680"/>
      <c r="V50" s="2464"/>
      <c r="W50" s="2464"/>
      <c r="X50" s="2464"/>
      <c r="Y50" s="2464"/>
      <c r="Z50" s="2464"/>
      <c r="AA50" s="2464"/>
      <c r="AB50" s="2464"/>
      <c r="AC50" s="2465"/>
      <c r="AD50" s="2463"/>
      <c r="AE50" s="2464"/>
      <c r="AF50" s="2464"/>
      <c r="AG50" s="2464"/>
      <c r="AH50" s="2464"/>
      <c r="AI50" s="2464"/>
      <c r="AJ50" s="2464"/>
      <c r="AK50" s="2464"/>
      <c r="AL50" s="2464"/>
      <c r="AM50" s="2464"/>
      <c r="AN50" s="2464"/>
      <c r="AO50" s="2464"/>
      <c r="AP50" s="2464"/>
      <c r="AQ50" s="2464"/>
      <c r="AR50" s="2464"/>
      <c r="AS50" s="2464"/>
      <c r="AT50" s="2464"/>
      <c r="AU50" s="2464"/>
      <c r="AV50" s="2464"/>
      <c r="AW50" s="2464"/>
      <c r="AX50" s="2464"/>
      <c r="AY50" s="2464"/>
      <c r="AZ50" s="2464"/>
      <c r="BA50" s="2464"/>
      <c r="BB50" s="2465"/>
      <c r="BC50" s="1681"/>
      <c r="BE50" s="737"/>
      <c r="BF50" s="737" t="str">
        <f>IF(T50="","",T50)</f>
        <v/>
      </c>
      <c r="BG50" s="737"/>
      <c r="BH50" s="737"/>
    </row>
    <row s="10863" customFormat="1" customHeight="1" ht="0">
      <c r="A51" s="1638" t="s">
        <v>323</v>
      </c>
      <c r="B51" s="1638" t="s">
        <v>324</v>
      </c>
      <c r="C51" s="1638" t="s">
        <v>325</v>
      </c>
      <c r="D51" s="1638" t="s">
        <v>2142</v>
      </c>
      <c r="E51" s="2425"/>
      <c r="F51" s="2425"/>
      <c r="G51" s="2425"/>
      <c r="H51" s="2425"/>
      <c r="I51" s="2454"/>
      <c r="J51" s="2422" t="str">
        <f>S49&amp;".1"</f>
        <v>.1</v>
      </c>
      <c r="K51" s="1638"/>
      <c r="L51" s="1641"/>
      <c r="M51" s="747"/>
      <c r="N51" s="747"/>
      <c r="O51" s="747"/>
      <c r="P51" s="2423"/>
      <c r="Q51" s="2423">
        <v>1</v>
      </c>
      <c r="R51" s="578"/>
      <c r="S51" s="1300"/>
      <c r="T51" s="1695"/>
      <c r="U51" s="1680"/>
      <c r="V51" s="2464"/>
      <c r="W51" s="2464"/>
      <c r="X51" s="2464"/>
      <c r="Y51" s="2464"/>
      <c r="Z51" s="2464"/>
      <c r="AA51" s="2464"/>
      <c r="AB51" s="2464"/>
      <c r="AC51" s="2465"/>
      <c r="AD51" s="2463"/>
      <c r="AE51" s="2464"/>
      <c r="AF51" s="2464"/>
      <c r="AG51" s="2464"/>
      <c r="AH51" s="2464"/>
      <c r="AI51" s="2464"/>
      <c r="AJ51" s="2464"/>
      <c r="AK51" s="2464"/>
      <c r="AL51" s="2464"/>
      <c r="AM51" s="2464"/>
      <c r="AN51" s="2590"/>
      <c r="AO51" s="2590"/>
      <c r="AP51" s="2464"/>
      <c r="AQ51" s="2464"/>
      <c r="AR51" s="2464"/>
      <c r="AS51" s="2464"/>
      <c r="AT51" s="2464"/>
      <c r="AU51" s="2464"/>
      <c r="AV51" s="2464"/>
      <c r="AW51" s="2464"/>
      <c r="AX51" s="2464"/>
      <c r="AY51" s="2464"/>
      <c r="AZ51" s="2464"/>
      <c r="BA51" s="2464"/>
      <c r="BB51" s="2465"/>
      <c r="BC51" s="1681"/>
      <c r="BE51" s="737"/>
      <c r="BF51" s="737" t="str">
        <f>IF(T51="","",T51)</f>
        <v/>
      </c>
      <c r="BG51" s="737"/>
      <c r="BH51" s="737"/>
    </row>
    <row customHeight="1" ht="11.25">
      <c r="A52" s="1659" t="s">
        <v>323</v>
      </c>
      <c r="B52" s="1659" t="s">
        <v>324</v>
      </c>
      <c r="C52" s="1659" t="s">
        <v>325</v>
      </c>
      <c r="D52" s="1659" t="s">
        <v>2142</v>
      </c>
      <c r="E52" s="2425"/>
      <c r="F52" s="2425"/>
      <c r="G52" s="2425"/>
      <c r="H52" s="2425"/>
      <c r="I52" s="2454"/>
      <c r="J52" s="2455"/>
      <c r="K52" s="2422" t="str">
        <f>S48&amp;".1"</f>
        <v>...1</v>
      </c>
      <c r="L52" s="1660"/>
      <c r="P52" s="2423"/>
      <c r="Q52" s="2423"/>
      <c r="R52" s="578">
        <v>1</v>
      </c>
      <c r="S52" s="2507" t="str">
        <f>$K52</f>
        <v>...1</v>
      </c>
      <c r="T52" s="2585"/>
      <c r="U52" s="510"/>
      <c r="V52" s="4065"/>
      <c r="W52" s="4067"/>
      <c r="X52" s="4065"/>
      <c r="Y52" s="4067"/>
      <c r="Z52" s="2049"/>
      <c r="AA52" s="1766" t="s">
        <v>67</v>
      </c>
      <c r="AB52" s="2049"/>
      <c r="AC52" s="1766" t="s">
        <v>67</v>
      </c>
      <c r="AD52" s="2232" t="s">
        <v>67</v>
      </c>
      <c r="AE52" s="2496"/>
      <c r="AF52" s="2497">
        <v>1</v>
      </c>
      <c r="AG52" s="2589"/>
      <c r="AH52" s="2142" t="s">
        <v>67</v>
      </c>
      <c r="AI52" s="2496"/>
      <c r="AJ52" s="2497">
        <v>1</v>
      </c>
      <c r="AK52" s="2588" t="s">
        <v>17</v>
      </c>
      <c r="AL52" s="2142" t="s">
        <v>67</v>
      </c>
      <c r="AM52" s="2580"/>
      <c r="AN52" s="2497">
        <v>1</v>
      </c>
      <c r="AO52" s="2582"/>
      <c r="AP52" s="2583" t="s">
        <v>67</v>
      </c>
      <c r="AQ52" s="523"/>
      <c r="AR52" s="1783">
        <v>1</v>
      </c>
      <c r="AS52" s="1789" t="s">
        <v>17</v>
      </c>
      <c r="AT52" s="4065"/>
      <c r="AU52" s="4067"/>
      <c r="AV52" s="4065"/>
      <c r="AW52" s="4067"/>
      <c r="AX52" s="2049"/>
      <c r="AY52" s="1766" t="s">
        <v>67</v>
      </c>
      <c r="AZ52" s="2049"/>
      <c r="BA52" s="1766" t="s">
        <v>67</v>
      </c>
      <c r="BB52" s="4166"/>
      <c r="BC52" s="2419" t="s">
        <v>1752</v>
      </c>
      <c r="BE52" s="737"/>
      <c r="BF52" s="737" t="str">
        <f>IF(T52="","",T52)</f>
        <v/>
      </c>
      <c r="BG52" s="737"/>
      <c r="BH52" s="737"/>
    </row>
    <row customHeight="1" ht="11.25">
      <c r="A53" s="1659"/>
      <c r="B53" s="1659"/>
      <c r="C53" s="1659"/>
      <c r="D53" s="1659"/>
      <c r="E53" s="2425"/>
      <c r="F53" s="2425"/>
      <c r="G53" s="2425"/>
      <c r="H53" s="2425"/>
      <c r="I53" s="2454"/>
      <c r="J53" s="2455"/>
      <c r="K53" s="2422"/>
      <c r="L53" s="1660"/>
      <c r="P53" s="2423"/>
      <c r="Q53" s="2423"/>
      <c r="R53" s="578"/>
      <c r="S53" s="2508"/>
      <c r="T53" s="2586"/>
      <c r="U53" s="510"/>
      <c r="V53" s="4225"/>
      <c r="W53" s="4281"/>
      <c r="X53" s="4225"/>
      <c r="Y53" s="4281"/>
      <c r="Z53" s="4225"/>
      <c r="AA53" s="4225"/>
      <c r="AB53" s="4225"/>
      <c r="AC53" s="4225"/>
      <c r="AD53" s="2233"/>
      <c r="AE53" s="2496"/>
      <c r="AF53" s="2497"/>
      <c r="AG53" s="2589"/>
      <c r="AH53" s="2142"/>
      <c r="AI53" s="2496"/>
      <c r="AJ53" s="2497"/>
      <c r="AK53" s="2588"/>
      <c r="AL53" s="2142"/>
      <c r="AM53" s="2581"/>
      <c r="AN53" s="2497"/>
      <c r="AO53" s="2582"/>
      <c r="AP53" s="2584"/>
      <c r="AQ53" s="530"/>
      <c r="AR53" s="652"/>
      <c r="AS53" s="652" t="s">
        <v>1753</v>
      </c>
      <c r="AT53" s="4225"/>
      <c r="AU53" s="4281"/>
      <c r="AV53" s="4225"/>
      <c r="AW53" s="4281"/>
      <c r="AX53" s="4225"/>
      <c r="AY53" s="4225"/>
      <c r="AZ53" s="4225"/>
      <c r="BA53" s="4225"/>
      <c r="BB53" s="4279"/>
      <c r="BC53" s="2420"/>
      <c r="BE53" s="737"/>
      <c r="BF53" s="737"/>
      <c r="BG53" s="737"/>
      <c r="BH53" s="737"/>
    </row>
    <row customHeight="1" ht="11.25">
      <c r="A54" s="1659" t="s">
        <v>323</v>
      </c>
      <c r="B54" s="1659"/>
      <c r="C54" s="1659"/>
      <c r="D54" s="1659"/>
      <c r="E54" s="2425"/>
      <c r="F54" s="2425"/>
      <c r="G54" s="2425"/>
      <c r="H54" s="2425"/>
      <c r="I54" s="2454"/>
      <c r="J54" s="2455"/>
      <c r="K54" s="2422"/>
      <c r="L54" s="1660"/>
      <c r="P54" s="2423"/>
      <c r="Q54" s="2423"/>
      <c r="R54" s="578"/>
      <c r="S54" s="2508"/>
      <c r="T54" s="2586"/>
      <c r="U54" s="510"/>
      <c r="V54" s="4225"/>
      <c r="W54" s="4281"/>
      <c r="X54" s="4225"/>
      <c r="Y54" s="4281"/>
      <c r="Z54" s="4225"/>
      <c r="AA54" s="4225"/>
      <c r="AB54" s="4225"/>
      <c r="AC54" s="4225"/>
      <c r="AD54" s="2233"/>
      <c r="AE54" s="2496"/>
      <c r="AF54" s="2497"/>
      <c r="AG54" s="2589"/>
      <c r="AH54" s="2142"/>
      <c r="AI54" s="2496"/>
      <c r="AJ54" s="2497"/>
      <c r="AK54" s="2588"/>
      <c r="AL54" s="2142"/>
      <c r="AM54" s="530"/>
      <c r="AN54" s="1797"/>
      <c r="AO54" s="1797" t="s">
        <v>1754</v>
      </c>
      <c r="AP54" s="652"/>
      <c r="AQ54" s="652"/>
      <c r="AR54" s="652"/>
      <c r="AS54" s="4225"/>
      <c r="AT54" s="4225"/>
      <c r="AU54" s="4281"/>
      <c r="AV54" s="4225"/>
      <c r="AW54" s="4281"/>
      <c r="AX54" s="4225"/>
      <c r="AY54" s="4225"/>
      <c r="AZ54" s="4225"/>
      <c r="BA54" s="4225"/>
      <c r="BB54" s="4279"/>
      <c r="BC54" s="2420"/>
      <c r="BE54" s="737"/>
      <c r="BF54" s="737"/>
      <c r="BG54" s="737"/>
      <c r="BH54" s="737"/>
    </row>
    <row customHeight="1" ht="11.25">
      <c r="A55" s="1659" t="s">
        <v>323</v>
      </c>
      <c r="B55" s="1659"/>
      <c r="C55" s="1659"/>
      <c r="D55" s="1659"/>
      <c r="E55" s="2425"/>
      <c r="F55" s="2425"/>
      <c r="G55" s="2425"/>
      <c r="H55" s="2425"/>
      <c r="I55" s="2454"/>
      <c r="J55" s="2455"/>
      <c r="K55" s="2422"/>
      <c r="L55" s="1660"/>
      <c r="P55" s="2423"/>
      <c r="Q55" s="2423"/>
      <c r="R55" s="578"/>
      <c r="S55" s="2508"/>
      <c r="T55" s="2586"/>
      <c r="U55" s="510"/>
      <c r="V55" s="4225"/>
      <c r="W55" s="4281"/>
      <c r="X55" s="4225"/>
      <c r="Y55" s="4281"/>
      <c r="Z55" s="4225"/>
      <c r="AA55" s="4225"/>
      <c r="AB55" s="4225"/>
      <c r="AC55" s="4225"/>
      <c r="AD55" s="2233"/>
      <c r="AE55" s="2496"/>
      <c r="AF55" s="2497"/>
      <c r="AG55" s="2589"/>
      <c r="AH55" s="2142"/>
      <c r="AI55" s="504"/>
      <c r="AJ55" s="651"/>
      <c r="AK55" s="525" t="s">
        <v>1755</v>
      </c>
      <c r="AL55" s="4225"/>
      <c r="AM55" s="4225"/>
      <c r="AN55" s="4225"/>
      <c r="AO55" s="4225"/>
      <c r="AP55" s="4225"/>
      <c r="AQ55" s="4225"/>
      <c r="AR55" s="4225"/>
      <c r="AS55" s="4225"/>
      <c r="AT55" s="4225"/>
      <c r="AU55" s="4281"/>
      <c r="AV55" s="4225"/>
      <c r="AW55" s="4281"/>
      <c r="AX55" s="4225"/>
      <c r="AY55" s="4225"/>
      <c r="AZ55" s="4225"/>
      <c r="BA55" s="4225"/>
      <c r="BB55" s="4279"/>
      <c r="BC55" s="2420"/>
      <c r="BE55" s="737"/>
      <c r="BF55" s="737"/>
      <c r="BG55" s="737"/>
      <c r="BH55" s="737"/>
    </row>
    <row customHeight="1" ht="11.25">
      <c r="A56" s="1659" t="s">
        <v>323</v>
      </c>
      <c r="B56" s="1659" t="s">
        <v>324</v>
      </c>
      <c r="C56" s="1659" t="s">
        <v>325</v>
      </c>
      <c r="D56" s="1659" t="s">
        <v>2142</v>
      </c>
      <c r="E56" s="2425"/>
      <c r="F56" s="2425"/>
      <c r="G56" s="2425"/>
      <c r="H56" s="2425"/>
      <c r="I56" s="2454"/>
      <c r="J56" s="2455"/>
      <c r="K56" s="2422"/>
      <c r="L56" s="1660"/>
      <c r="P56" s="2423"/>
      <c r="Q56" s="2423"/>
      <c r="R56" s="578"/>
      <c r="S56" s="2509"/>
      <c r="T56" s="2587"/>
      <c r="U56" s="510"/>
      <c r="V56" s="4225"/>
      <c r="W56" s="4226" t="str">
        <f>Z52&amp;"-"&amp;AB52</f>
        <v>-</v>
      </c>
      <c r="X56" s="4225"/>
      <c r="Y56" s="4226" t="str">
        <f>AB52&amp;"-"&amp;AD52</f>
        <v>-да</v>
      </c>
      <c r="Z56" s="4225"/>
      <c r="AA56" s="4225"/>
      <c r="AB56" s="4225"/>
      <c r="AC56" s="4225"/>
      <c r="AD56" s="2147"/>
      <c r="AE56" s="524"/>
      <c r="AF56" s="526"/>
      <c r="AG56" s="652" t="s">
        <v>1756</v>
      </c>
      <c r="AH56" s="4225"/>
      <c r="AI56" s="4225"/>
      <c r="AJ56" s="4225"/>
      <c r="AK56" s="4225"/>
      <c r="AL56" s="4225"/>
      <c r="AM56" s="4225"/>
      <c r="AN56" s="4225"/>
      <c r="AO56" s="4225"/>
      <c r="AP56" s="4225"/>
      <c r="AQ56" s="4225"/>
      <c r="AR56" s="4225"/>
      <c r="AS56" s="4225"/>
      <c r="AT56" s="4225"/>
      <c r="AU56" s="4226" t="str">
        <f>AX52&amp;"-"&amp;AZ52</f>
        <v>-</v>
      </c>
      <c r="AV56" s="4225"/>
      <c r="AW56" s="4226" t="str">
        <f>AZ52&amp;"-"&amp;BB52</f>
        <v>-</v>
      </c>
      <c r="AX56" s="4225"/>
      <c r="AY56" s="4225"/>
      <c r="AZ56" s="4225"/>
      <c r="BA56" s="4225"/>
      <c r="BB56" s="4286" t="str">
        <f>BE52&amp;"-"&amp;BG52</f>
        <v>-</v>
      </c>
      <c r="BC56" s="2420"/>
      <c r="BE56" s="737"/>
      <c r="BF56" s="737" t="str">
        <f>IF(T56="","",T56)</f>
        <v/>
      </c>
      <c r="BG56" s="737"/>
      <c r="BH56" s="737"/>
    </row>
    <row customHeight="1" ht="11.25">
      <c r="A57" s="1659" t="s">
        <v>323</v>
      </c>
      <c r="B57" s="1659" t="s">
        <v>324</v>
      </c>
      <c r="C57" s="1659" t="s">
        <v>325</v>
      </c>
      <c r="D57" s="1659" t="s">
        <v>2142</v>
      </c>
      <c r="E57" s="2425"/>
      <c r="F57" s="2425"/>
      <c r="G57" s="2425"/>
      <c r="H57" s="2425"/>
      <c r="I57" s="2454"/>
      <c r="J57" s="2422"/>
      <c r="K57" s="1659"/>
      <c r="L57" s="1660"/>
      <c r="P57" s="2423"/>
      <c r="Q57" s="2423"/>
      <c r="R57" s="577"/>
      <c r="S57" s="1568"/>
      <c r="T57" s="497" t="s">
        <v>1597</v>
      </c>
      <c r="U57" s="592"/>
      <c r="V57" s="592"/>
      <c r="W57" s="592"/>
      <c r="X57" s="592"/>
      <c r="Y57" s="592"/>
      <c r="Z57" s="592"/>
      <c r="AA57" s="592"/>
      <c r="AB57" s="592"/>
      <c r="AC57" s="544"/>
      <c r="AD57" s="1802"/>
      <c r="AE57" s="592"/>
      <c r="AF57" s="592"/>
      <c r="AG57" s="592"/>
      <c r="AH57" s="592"/>
      <c r="AI57" s="592"/>
      <c r="AJ57" s="592"/>
      <c r="AK57" s="592"/>
      <c r="AL57" s="592"/>
      <c r="AM57" s="592"/>
      <c r="AN57" s="592"/>
      <c r="AO57" s="592"/>
      <c r="AP57" s="592"/>
      <c r="AQ57" s="592"/>
      <c r="AR57" s="592"/>
      <c r="AS57" s="592"/>
      <c r="AT57" s="592"/>
      <c r="AU57" s="592"/>
      <c r="AV57" s="592"/>
      <c r="AW57" s="592"/>
      <c r="AX57" s="592"/>
      <c r="AY57" s="592"/>
      <c r="AZ57" s="592"/>
      <c r="BA57" s="592"/>
      <c r="BB57" s="544"/>
      <c r="BC57" s="2421"/>
      <c r="BE57" s="737"/>
      <c r="BF57" s="737" t="str">
        <f>IF(T57="","",T57)</f>
        <v>Добавить строку</v>
      </c>
      <c r="BG57" s="737"/>
      <c r="BH57" s="737"/>
    </row>
    <row s="10863" customFormat="1" customHeight="1" ht="0">
      <c r="A58" s="1638" t="s">
        <v>323</v>
      </c>
      <c r="B58" s="1638" t="s">
        <v>324</v>
      </c>
      <c r="C58" s="1638" t="s">
        <v>325</v>
      </c>
      <c r="D58" s="1638" t="s">
        <v>2142</v>
      </c>
      <c r="E58" s="2425"/>
      <c r="F58" s="2425"/>
      <c r="G58" s="2425"/>
      <c r="H58" s="2425"/>
      <c r="I58" s="2453"/>
      <c r="J58" s="1638"/>
      <c r="K58" s="1638"/>
      <c r="L58" s="1641"/>
      <c r="M58" s="747"/>
      <c r="N58" s="747"/>
      <c r="O58" s="747"/>
      <c r="P58" s="2423"/>
      <c r="Q58" s="1778"/>
      <c r="R58" s="577"/>
      <c r="S58" s="1682"/>
      <c r="T58" s="1683"/>
      <c r="U58" s="1684"/>
      <c r="V58" s="1684"/>
      <c r="W58" s="1684"/>
      <c r="X58" s="1684"/>
      <c r="Y58" s="1684"/>
      <c r="Z58" s="1684"/>
      <c r="AA58" s="1684"/>
      <c r="AB58" s="1684"/>
      <c r="AC58" s="1684"/>
      <c r="AD58" s="1684"/>
      <c r="AE58" s="1684"/>
      <c r="AF58" s="1684"/>
      <c r="AG58" s="1684"/>
      <c r="AH58" s="1684"/>
      <c r="AI58" s="1684"/>
      <c r="AJ58" s="1684"/>
      <c r="AK58" s="1684"/>
      <c r="AL58" s="1684"/>
      <c r="AM58" s="1684"/>
      <c r="AN58" s="1684"/>
      <c r="AO58" s="1684"/>
      <c r="AP58" s="1684"/>
      <c r="AQ58" s="1684"/>
      <c r="AR58" s="1684"/>
      <c r="AS58" s="1684"/>
      <c r="AT58" s="1684"/>
      <c r="AU58" s="1684"/>
      <c r="AV58" s="1684"/>
      <c r="AW58" s="1684"/>
      <c r="AX58" s="1684"/>
      <c r="AY58" s="1684"/>
      <c r="AZ58" s="1684"/>
      <c r="BA58" s="1684"/>
      <c r="BB58" s="1684"/>
      <c r="BC58" s="1685"/>
      <c r="BE58" s="737"/>
      <c r="BF58" s="737" t="str">
        <f>IF(T58="","",T58)</f>
        <v/>
      </c>
      <c r="BG58" s="737"/>
      <c r="BH58" s="737"/>
    </row>
    <row s="10863" customFormat="1" customHeight="1" ht="0">
      <c r="A59" s="1638" t="s">
        <v>323</v>
      </c>
      <c r="B59" s="1638" t="s">
        <v>324</v>
      </c>
      <c r="C59" s="1638" t="s">
        <v>325</v>
      </c>
      <c r="D59" s="1638" t="s">
        <v>2142</v>
      </c>
      <c r="E59" s="2425"/>
      <c r="F59" s="2425"/>
      <c r="G59" s="2425"/>
      <c r="H59" s="2424"/>
      <c r="I59" s="1638"/>
      <c r="J59" s="1638"/>
      <c r="K59" s="1638"/>
      <c r="L59" s="1641"/>
      <c r="M59" s="1610"/>
      <c r="N59" s="1610"/>
      <c r="O59" s="755"/>
      <c r="P59" s="610"/>
      <c r="Q59" s="1639"/>
      <c r="R59" s="1697"/>
      <c r="S59" s="1682"/>
      <c r="T59" s="1683"/>
      <c r="U59" s="1684"/>
      <c r="V59" s="1684"/>
      <c r="W59" s="1684"/>
      <c r="X59" s="1684"/>
      <c r="Y59" s="1684"/>
      <c r="Z59" s="1684"/>
      <c r="AA59" s="1684"/>
      <c r="AB59" s="1684"/>
      <c r="AC59" s="1684"/>
      <c r="AD59" s="1684"/>
      <c r="AE59" s="1684"/>
      <c r="AF59" s="1684"/>
      <c r="AG59" s="1684"/>
      <c r="AH59" s="1684"/>
      <c r="AI59" s="1684"/>
      <c r="AJ59" s="1684"/>
      <c r="AK59" s="1684"/>
      <c r="AL59" s="1684"/>
      <c r="AM59" s="1684"/>
      <c r="AN59" s="1684"/>
      <c r="AO59" s="1684"/>
      <c r="AP59" s="1684"/>
      <c r="AQ59" s="1684"/>
      <c r="AR59" s="1684"/>
      <c r="AS59" s="1684"/>
      <c r="AT59" s="1684"/>
      <c r="AU59" s="1684"/>
      <c r="AV59" s="1684"/>
      <c r="AW59" s="1684"/>
      <c r="AX59" s="1684"/>
      <c r="AY59" s="1684"/>
      <c r="AZ59" s="1684"/>
      <c r="BA59" s="1684"/>
      <c r="BB59" s="1684"/>
      <c r="BC59" s="1685"/>
      <c r="BE59" s="737"/>
      <c r="BF59" s="737" t="str">
        <f>IF(T59="","",T59)</f>
        <v/>
      </c>
      <c r="BG59" s="737"/>
      <c r="BH59" s="737"/>
    </row>
    <row s="10863" customFormat="1" customHeight="1" ht="0">
      <c r="A60" s="1638" t="s">
        <v>323</v>
      </c>
      <c r="B60" s="1638" t="s">
        <v>324</v>
      </c>
      <c r="C60" s="1638" t="s">
        <v>325</v>
      </c>
      <c r="D60" s="1609"/>
      <c r="E60" s="2425"/>
      <c r="F60" s="2425"/>
      <c r="G60" s="2424"/>
      <c r="H60" s="1609"/>
      <c r="I60" s="1609"/>
      <c r="J60" s="1609"/>
      <c r="K60" s="1609"/>
      <c r="L60" s="1791"/>
      <c r="M60" s="1610"/>
      <c r="N60" s="1610"/>
      <c r="P60" s="1611"/>
      <c r="Q60" s="1612"/>
      <c r="R60" s="1611"/>
      <c r="S60" s="1617"/>
      <c r="T60" s="1620"/>
      <c r="U60" s="1619"/>
      <c r="V60" s="1619"/>
      <c r="W60" s="1619"/>
      <c r="X60" s="1619"/>
      <c r="Y60" s="1619"/>
      <c r="Z60" s="1619"/>
      <c r="AA60" s="1619"/>
      <c r="AB60" s="1619"/>
      <c r="AC60" s="1619"/>
      <c r="AD60" s="1619"/>
      <c r="AE60" s="1619"/>
      <c r="AF60" s="1619"/>
      <c r="AG60" s="1619"/>
      <c r="AH60" s="1619"/>
      <c r="AI60" s="1619"/>
      <c r="AJ60" s="1619"/>
      <c r="AK60" s="1619"/>
      <c r="AL60" s="1619"/>
      <c r="AM60" s="1619"/>
      <c r="AN60" s="1619"/>
      <c r="AO60" s="1619"/>
      <c r="AP60" s="1619"/>
      <c r="AQ60" s="1619"/>
      <c r="AR60" s="1619"/>
      <c r="AS60" s="1619"/>
      <c r="AT60" s="1619"/>
      <c r="AU60" s="1619"/>
      <c r="AV60" s="1619"/>
      <c r="AW60" s="1619"/>
      <c r="AX60" s="1619"/>
      <c r="AY60" s="1619"/>
      <c r="AZ60" s="1619"/>
      <c r="BA60" s="1619"/>
      <c r="BB60" s="1619"/>
      <c r="BC60" s="1619"/>
      <c r="BE60" s="1029"/>
      <c r="BF60" s="1029" t="str">
        <f>IF(T60="","",T60)</f>
        <v/>
      </c>
      <c r="BG60" s="1029"/>
      <c r="BH60" s="1029"/>
    </row>
    <row s="10863" customFormat="1" customHeight="1" ht="0">
      <c r="A61" s="1638" t="s">
        <v>323</v>
      </c>
      <c r="B61" s="1638" t="s">
        <v>324</v>
      </c>
      <c r="C61" s="1609"/>
      <c r="D61" s="1609"/>
      <c r="E61" s="2425"/>
      <c r="F61" s="2424"/>
      <c r="G61" s="1609"/>
      <c r="H61" s="1609"/>
      <c r="I61" s="1609"/>
      <c r="J61" s="1609"/>
      <c r="K61" s="1609"/>
      <c r="L61" s="1791"/>
      <c r="M61" s="1616"/>
      <c r="N61" s="1616"/>
      <c r="P61" s="1611"/>
      <c r="Q61" s="1612"/>
      <c r="R61" s="1611"/>
      <c r="S61" s="1617"/>
      <c r="T61" s="1620" t="s">
        <v>1493</v>
      </c>
      <c r="U61" s="1619"/>
      <c r="V61" s="1619"/>
      <c r="W61" s="1619"/>
      <c r="X61" s="1619"/>
      <c r="Y61" s="1619"/>
      <c r="Z61" s="1619"/>
      <c r="AA61" s="1619"/>
      <c r="AB61" s="1619"/>
      <c r="AC61" s="1619"/>
      <c r="AD61" s="1619"/>
      <c r="AE61" s="1619"/>
      <c r="AF61" s="1619"/>
      <c r="AG61" s="1619"/>
      <c r="AH61" s="1619"/>
      <c r="AI61" s="1619"/>
      <c r="AJ61" s="1619"/>
      <c r="AK61" s="1619"/>
      <c r="AL61" s="1619"/>
      <c r="AM61" s="1619"/>
      <c r="AN61" s="1619"/>
      <c r="AO61" s="1619"/>
      <c r="AP61" s="1619"/>
      <c r="AQ61" s="1619"/>
      <c r="AR61" s="1619"/>
      <c r="AS61" s="1619"/>
      <c r="AT61" s="1619"/>
      <c r="AU61" s="1619"/>
      <c r="AV61" s="1619"/>
      <c r="AW61" s="1619"/>
      <c r="AX61" s="1619"/>
      <c r="AY61" s="1619"/>
      <c r="AZ61" s="1619"/>
      <c r="BA61" s="1619"/>
      <c r="BB61" s="1619"/>
      <c r="BC61" s="1619"/>
      <c r="BE61" s="1029"/>
      <c r="BF61" s="1029" t="str">
        <f>IF(T61="","",T61)</f>
        <v>Добавить централизованную систему для дифференциации</v>
      </c>
      <c r="BG61" s="1029"/>
      <c r="BH61" s="1029"/>
    </row>
    <row s="10863" customFormat="1" customHeight="1" ht="0">
      <c r="A62" s="1638" t="s">
        <v>323</v>
      </c>
      <c r="B62" s="1638"/>
      <c r="C62" s="1638"/>
      <c r="D62" s="1638"/>
      <c r="E62" s="2424"/>
      <c r="F62" s="1638"/>
      <c r="G62" s="1638"/>
      <c r="H62" s="1638"/>
      <c r="I62" s="1638"/>
      <c r="J62" s="1638"/>
      <c r="K62" s="1638"/>
      <c r="L62" s="1641"/>
      <c r="M62" s="1616"/>
      <c r="N62" s="1616"/>
      <c r="O62" s="755"/>
      <c r="P62" s="610"/>
      <c r="Q62" s="1639"/>
      <c r="R62" s="610"/>
      <c r="S62" s="1617"/>
      <c r="T62" s="1620" t="s">
        <v>1494</v>
      </c>
      <c r="U62" s="1619"/>
      <c r="V62" s="1619"/>
      <c r="W62" s="1619"/>
      <c r="X62" s="1619"/>
      <c r="Y62" s="1619"/>
      <c r="Z62" s="1619"/>
      <c r="AA62" s="1619"/>
      <c r="AB62" s="1619"/>
      <c r="AC62" s="1619"/>
      <c r="AD62" s="1619"/>
      <c r="AE62" s="1619"/>
      <c r="AF62" s="1619"/>
      <c r="AG62" s="1619"/>
      <c r="AH62" s="1619"/>
      <c r="AI62" s="1619"/>
      <c r="AJ62" s="1619"/>
      <c r="AK62" s="1619"/>
      <c r="AL62" s="1619"/>
      <c r="AM62" s="1619"/>
      <c r="AN62" s="1619"/>
      <c r="AO62" s="1619"/>
      <c r="AP62" s="1619"/>
      <c r="AQ62" s="1619"/>
      <c r="AR62" s="1619"/>
      <c r="AS62" s="1619"/>
      <c r="AT62" s="1619"/>
      <c r="AU62" s="1619"/>
      <c r="AV62" s="1619"/>
      <c r="AW62" s="1619"/>
      <c r="AX62" s="1619"/>
      <c r="AY62" s="1619"/>
      <c r="AZ62" s="1619"/>
      <c r="BA62" s="1619"/>
      <c r="BB62" s="1619"/>
      <c r="BC62" s="1619"/>
      <c r="BE62" s="737"/>
      <c r="BF62" s="737" t="str">
        <f>IF(T62="","",T62)</f>
        <v>Добавить территорию для дифференциации</v>
      </c>
      <c r="BG62" s="737"/>
      <c r="BH62" s="737"/>
    </row>
    <row s="10863" customFormat="1" customHeight="1" ht="0">
      <c r="A63" s="1609"/>
      <c r="B63" s="1609"/>
      <c r="C63" s="1609"/>
      <c r="D63" s="1609"/>
      <c r="E63" s="1638"/>
      <c r="F63" s="1609"/>
      <c r="G63" s="1609"/>
      <c r="H63" s="1609"/>
      <c r="I63" s="1609"/>
      <c r="J63" s="1609"/>
      <c r="K63" s="1609"/>
      <c r="L63" s="1791"/>
      <c r="M63" s="1616"/>
      <c r="N63" s="1616"/>
      <c r="P63" s="1611"/>
      <c r="Q63" s="1612"/>
      <c r="R63" s="1611"/>
      <c r="S63" s="1617"/>
      <c r="T63" s="1620" t="s">
        <v>1495</v>
      </c>
      <c r="U63" s="1619"/>
      <c r="V63" s="1619"/>
      <c r="W63" s="1619"/>
      <c r="X63" s="1619"/>
      <c r="Y63" s="1619"/>
      <c r="Z63" s="1619"/>
      <c r="AA63" s="1619"/>
      <c r="AB63" s="1619"/>
      <c r="AC63" s="1619"/>
      <c r="AD63" s="1619"/>
      <c r="AE63" s="1619"/>
      <c r="AF63" s="1619"/>
      <c r="AG63" s="1619"/>
      <c r="AH63" s="1619"/>
      <c r="AI63" s="1619"/>
      <c r="AJ63" s="1619"/>
      <c r="AK63" s="1619"/>
      <c r="AL63" s="1619"/>
      <c r="AM63" s="1619"/>
      <c r="AN63" s="1619"/>
      <c r="AO63" s="1619"/>
      <c r="AP63" s="1619"/>
      <c r="AQ63" s="1619"/>
      <c r="AR63" s="1619"/>
      <c r="AS63" s="1619"/>
      <c r="AT63" s="1619"/>
      <c r="AU63" s="1619"/>
      <c r="AV63" s="1619"/>
      <c r="AW63" s="1619"/>
      <c r="AX63" s="1619"/>
      <c r="AY63" s="1619"/>
      <c r="AZ63" s="1619"/>
      <c r="BA63" s="1619"/>
      <c r="BB63" s="1619"/>
      <c r="BC63" s="1619"/>
      <c r="BE63" s="1029"/>
      <c r="BF63" s="1029" t="str">
        <f>IF(T63="","",T63)</f>
        <v>Добавить наименование тарифа</v>
      </c>
      <c r="BG63" s="1029"/>
      <c r="BH63" s="1029"/>
    </row>
    <row customHeight="1" ht="11.25" hidden="1">
      <c r="M64" s="1421"/>
      <c r="N64" s="1421"/>
      <c r="O64" s="774"/>
      <c r="P64" s="1421"/>
      <c r="Q64" s="1421"/>
      <c r="R64" s="1416"/>
      <c r="S64" s="1416"/>
      <c r="BD64" s="1416"/>
      <c r="BE64" s="1416"/>
      <c r="BF64" s="1416"/>
      <c r="BG64" s="1416"/>
      <c r="BH64" s="1416"/>
    </row>
    <row customHeight="1" ht="18.75" hidden="1">
      <c r="O65" s="774"/>
      <c r="S65" s="1533" t="s">
        <v>1565</v>
      </c>
      <c r="T65" s="2452" t="s">
        <v>1767</v>
      </c>
      <c r="U65" s="2452"/>
      <c r="V65" s="2452"/>
      <c r="W65" s="2452"/>
      <c r="X65" s="2452"/>
      <c r="Y65" s="2452"/>
      <c r="Z65" s="2452"/>
      <c r="AA65" s="2452"/>
      <c r="AB65" s="2452"/>
      <c r="AC65" s="2452"/>
      <c r="AD65" s="2452"/>
      <c r="AE65" s="2452"/>
      <c r="AF65" s="2452"/>
      <c r="AG65" s="2452"/>
      <c r="AH65" s="2452"/>
      <c r="AI65" s="2452"/>
      <c r="AJ65" s="2452"/>
      <c r="AK65" s="2452"/>
      <c r="AL65" s="2452"/>
      <c r="AM65" s="2452"/>
      <c r="AN65" s="2452"/>
      <c r="AO65" s="2452"/>
      <c r="AP65" s="2452"/>
      <c r="AQ65" s="2452"/>
      <c r="AR65" s="2452"/>
      <c r="AS65" s="2452"/>
      <c r="AT65" s="2452"/>
      <c r="AU65" s="2452"/>
      <c r="AV65" s="2452"/>
      <c r="AW65" s="2452"/>
      <c r="AX65" s="2452"/>
      <c r="AY65" s="2452"/>
      <c r="AZ65" s="2452"/>
      <c r="BA65" s="2452"/>
      <c r="BB65" s="2452"/>
      <c r="BC65" s="2452"/>
    </row>
    <row customHeight="1" ht="14.25" hidden="1">
      <c r="O66" s="774"/>
      <c r="T66" s="1777"/>
      <c r="U66" s="1777"/>
      <c r="V66" s="1777"/>
      <c r="W66" s="1777"/>
      <c r="X66" s="1777"/>
      <c r="Y66" s="1777"/>
      <c r="Z66" s="1777"/>
      <c r="AA66" s="1777"/>
      <c r="AB66" s="1777"/>
      <c r="AC66" s="1777"/>
      <c r="AD66" s="1777"/>
      <c r="AE66" s="1777"/>
      <c r="AF66" s="1777"/>
      <c r="AG66" s="1777"/>
      <c r="AH66" s="1777"/>
      <c r="AI66" s="1777"/>
      <c r="AJ66" s="1777"/>
      <c r="AK66" s="1777"/>
      <c r="AL66" s="1777"/>
      <c r="AM66" s="1777"/>
      <c r="AN66" s="1777"/>
      <c r="AO66" s="1777"/>
      <c r="AP66" s="1777"/>
      <c r="AQ66" s="1777"/>
      <c r="AR66" s="1777"/>
      <c r="AS66" s="1777"/>
      <c r="AT66" s="1777"/>
      <c r="AU66" s="1777"/>
      <c r="AV66" s="1777"/>
      <c r="AW66" s="1777"/>
      <c r="AX66" s="1777"/>
      <c r="AY66" s="1777"/>
      <c r="AZ66" s="1777"/>
      <c r="BA66" s="1777"/>
      <c r="BB66" s="1777"/>
      <c r="BC66" s="1777"/>
    </row>
    <row customHeight="1" ht="18.75" hidden="1">
      <c r="O67" s="774"/>
      <c r="S67" s="1533" t="s">
        <v>1565</v>
      </c>
      <c r="T67" s="2452" t="s">
        <v>1731</v>
      </c>
      <c r="U67" s="2452"/>
      <c r="V67" s="2452"/>
      <c r="W67" s="2452"/>
      <c r="X67" s="2452"/>
      <c r="Y67" s="2452"/>
      <c r="Z67" s="2452"/>
      <c r="AA67" s="2452"/>
      <c r="AB67" s="2452"/>
      <c r="AC67" s="2452"/>
      <c r="AD67" s="2452"/>
      <c r="AE67" s="2452"/>
      <c r="AF67" s="2452"/>
      <c r="AG67" s="2452"/>
      <c r="AH67" s="2452"/>
      <c r="AI67" s="2452"/>
      <c r="AJ67" s="2452"/>
      <c r="AK67" s="2452"/>
      <c r="AL67" s="2452"/>
      <c r="AM67" s="2452"/>
      <c r="AN67" s="2452"/>
      <c r="AO67" s="2452"/>
      <c r="AP67" s="2452"/>
      <c r="AQ67" s="2452"/>
      <c r="AR67" s="2452"/>
      <c r="AS67" s="2452"/>
      <c r="AT67" s="2452"/>
      <c r="AU67" s="2452"/>
      <c r="AV67" s="2452"/>
      <c r="AW67" s="2452"/>
      <c r="AX67" s="2452"/>
      <c r="AY67" s="2452"/>
      <c r="AZ67" s="2452"/>
      <c r="BA67" s="2452"/>
      <c r="BB67" s="2452"/>
      <c r="BC67" s="2452"/>
    </row>
    <row customHeight="1" ht="14.25">
      <c r="O68" s="774"/>
    </row>
  </sheetData>
  <sheetProtection formatColumns="0" formatRows="0" autoFilter="0" sort="0" insertRows="0" insertColumns="1" deleteRows="0" deleteColumns="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708124D-A936-A8CF-677B-712C2281E6E5}" mc:Ignorable="x14ac xr xr2 xr3">
  <sheetPr>
    <tabColor theme="6" tint="0.4"/>
  </sheetPr>
  <dimension ref="A1:AP57"/>
  <sheetViews>
    <sheetView topLeftCell="P23" showGridLines="0" workbookViewId="0">
      <selection activeCell="A1" sqref="A1"/>
    </sheetView>
  </sheetViews>
  <sheetFormatPr defaultColWidth="10.57421875" customHeight="1" defaultRowHeight="14.25"/>
  <cols>
    <col min="1" max="1" style="11074" width="10.57421875" hidden="1"/>
    <col min="2" max="2" style="11074" width="11.00390625" hidden="1" customWidth="1"/>
    <col min="3" max="3" style="11074" width="10.57421875" hidden="1"/>
    <col min="4" max="4" style="11074" width="11.8515625" hidden="1" customWidth="1"/>
    <col min="5" max="5" style="11074" width="10.00390625" hidden="1" customWidth="1"/>
    <col min="6" max="6" style="11074" width="8.7109375" hidden="1" customWidth="1"/>
    <col min="7" max="7" style="11074" width="7.57421875" hidden="1" customWidth="1"/>
    <col min="8" max="8" style="11074" width="11.421875" hidden="1" customWidth="1"/>
    <col min="9" max="9" style="11074" width="14.140625" hidden="1" customWidth="1"/>
    <col min="10" max="10" style="11074" width="9.8515625" hidden="1" customWidth="1"/>
    <col min="11" max="11" style="11074" width="14.7109375" hidden="1" customWidth="1"/>
    <col min="12" max="12" style="11240" width="19.140625" hidden="1" customWidth="1"/>
    <col min="13" max="14" style="9887" width="12.28125" hidden="1" customWidth="1"/>
    <col min="15" max="15" style="9887" width="23.421875" hidden="1" customWidth="1"/>
    <col min="16" max="16" style="11241" width="3.7109375" customWidth="1"/>
    <col min="17" max="18" style="10046" width="3.7109375" customWidth="1"/>
    <col min="19" max="19" style="11124" width="12.7109375" customWidth="1"/>
    <col min="20" max="20" style="11126" width="35.7109375" customWidth="1"/>
    <col min="21" max="21" style="11126" width="0.140625" customWidth="1"/>
    <col min="22" max="24" style="11126" width="24.7109375" hidden="1" customWidth="1"/>
    <col min="25" max="25" style="11126" width="11.7109375" hidden="1" customWidth="1"/>
    <col min="26" max="26" style="11126" width="3.7109375" hidden="1" customWidth="1"/>
    <col min="27" max="27" style="11126" width="11.7109375" hidden="1" customWidth="1"/>
    <col min="28" max="28" style="11126" width="8.57421875" hidden="1" customWidth="1"/>
    <col min="29" max="31" style="11126" width="24.7109375" customWidth="1"/>
    <col min="32" max="32" style="11126" width="11.7109375" customWidth="1"/>
    <col min="33" max="33" style="11126" width="3.7109375" customWidth="1"/>
    <col min="34" max="34" style="11126" width="11.7109375" customWidth="1"/>
    <col min="35" max="35" style="11126" width="8.57421875" hidden="1" customWidth="1"/>
    <col min="36" max="36" style="11126" width="4.7109375" customWidth="1"/>
    <col min="37" max="37" style="11126" width="115.7109375" customWidth="1"/>
    <col min="38" max="39" style="10863" width="10.57421875"/>
    <col min="40" max="40" style="10863" width="11.140625" customWidth="1"/>
    <col min="41" max="42" style="10863" width="10.57421875"/>
  </cols>
  <sheetData>
    <row customHeight="1" ht="14.25" hidden="1">
      <c r="X1" s="548"/>
      <c r="Y1" s="548"/>
      <c r="AE1" s="548"/>
      <c r="AF1" s="548"/>
    </row>
    <row customHeight="1" ht="23.25" hidden="1">
      <c r="A2" s="1659"/>
      <c r="B2" s="1659"/>
      <c r="C2" s="1659"/>
      <c r="D2" s="1659"/>
      <c r="E2" s="2424">
        <v>1</v>
      </c>
      <c r="F2" s="1659"/>
      <c r="G2" s="1659"/>
      <c r="H2" s="1659"/>
      <c r="I2" s="1659"/>
      <c r="J2" s="1659"/>
      <c r="K2" s="1659"/>
      <c r="L2" s="1660"/>
      <c r="M2" s="1661"/>
      <c r="N2" s="1661"/>
      <c r="O2" s="1661"/>
      <c r="P2" s="582"/>
      <c r="Q2" s="581"/>
      <c r="R2" s="576"/>
      <c r="S2" s="1790">
        <f>INDEX(PT_DIFFERENTIATION_NUM_NTAR,MATCH(A2,PT_DIFFERENTIATION_NTAR_ID,0))</f>
      </c>
      <c r="T2" s="508" t="s">
        <v>200</v>
      </c>
      <c r="U2" s="510"/>
      <c r="V2" s="4037"/>
      <c r="W2" s="4038"/>
      <c r="X2" s="4038"/>
      <c r="Y2" s="4038"/>
      <c r="Z2" s="4038"/>
      <c r="AA2" s="4038"/>
      <c r="AB2" s="4039"/>
      <c r="AC2" s="4037">
        <f>INDEX(PT_DIFFERENTIATION_NTAR,MATCH(A2,PT_DIFFERENTIATION_NTAR_ID,0))</f>
      </c>
      <c r="AD2" s="4038"/>
      <c r="AE2" s="4038"/>
      <c r="AF2" s="4038"/>
      <c r="AG2" s="4038"/>
      <c r="AH2" s="4038"/>
      <c r="AI2" s="4038"/>
      <c r="AJ2" s="4039"/>
      <c r="AK2" s="1546"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737"/>
      <c r="AN2" s="737" t="str">
        <f>IF(T2="","",T2)</f>
        <v>Наименование тарифа</v>
      </c>
      <c r="AO2" s="737"/>
      <c r="AP2" s="737"/>
    </row>
    <row customHeight="1" ht="23.25" hidden="1">
      <c r="A3" s="1659"/>
      <c r="B3" s="1659"/>
      <c r="C3" s="1659"/>
      <c r="D3" s="1659"/>
      <c r="E3" s="2425"/>
      <c r="F3" s="2424">
        <v>1</v>
      </c>
      <c r="G3" s="1659"/>
      <c r="H3" s="1659"/>
      <c r="I3" s="1659"/>
      <c r="J3" s="1659"/>
      <c r="K3" s="1659"/>
      <c r="L3" s="1660"/>
      <c r="M3" s="1661"/>
      <c r="N3" s="1661"/>
      <c r="O3" s="1661"/>
      <c r="P3" s="1784"/>
      <c r="Q3" s="573"/>
      <c r="R3" s="574"/>
      <c r="S3" s="1790">
        <f>INDEX(PT_DIFFERENTIATION_NUM_TER,MATCH(B3,PT_DIFFERENTIATION_TER_ID,0))</f>
      </c>
      <c r="T3" s="520" t="s">
        <v>1517</v>
      </c>
      <c r="U3" s="510"/>
      <c r="V3" s="4037"/>
      <c r="W3" s="4038"/>
      <c r="X3" s="4038"/>
      <c r="Y3" s="4038"/>
      <c r="Z3" s="4038"/>
      <c r="AA3" s="4038"/>
      <c r="AB3" s="4039"/>
      <c r="AC3" s="4037">
        <f>INDEX(PT_DIFFERENTIATION_TER,MATCH(B3,PT_DIFFERENTIATION_TER_ID,0))</f>
      </c>
      <c r="AD3" s="4038"/>
      <c r="AE3" s="4038"/>
      <c r="AF3" s="4038"/>
      <c r="AG3" s="4038"/>
      <c r="AH3" s="4038"/>
      <c r="AI3" s="4038"/>
      <c r="AJ3" s="4039"/>
      <c r="AK3" s="1546" t="s">
        <v>1518</v>
      </c>
      <c r="AM3" s="737"/>
      <c r="AN3" s="737" t="str">
        <f>IF(T3="","",T3)</f>
        <v>Территория действия тарифа</v>
      </c>
      <c r="AO3" s="737"/>
      <c r="AP3" s="737"/>
    </row>
    <row customHeight="1" ht="23.25" hidden="1">
      <c r="A4" s="1659"/>
      <c r="B4" s="1659"/>
      <c r="C4" s="1659"/>
      <c r="D4" s="1659"/>
      <c r="E4" s="2425"/>
      <c r="F4" s="2425"/>
      <c r="G4" s="2424">
        <v>1</v>
      </c>
      <c r="H4" s="1659"/>
      <c r="I4" s="1659"/>
      <c r="J4" s="1659"/>
      <c r="K4" s="1659"/>
      <c r="L4" s="1660"/>
      <c r="M4" s="1661"/>
      <c r="N4" s="1661"/>
      <c r="O4" s="1661"/>
      <c r="P4" s="575"/>
      <c r="Q4" s="573"/>
      <c r="R4" s="574"/>
      <c r="S4" s="1790">
        <f>INDEX(PT_DIFFERENTIATION_NUM_CS,MATCH(C4,PT_DIFFERENTIATION_CS_ID,0))</f>
      </c>
      <c r="T4" s="521" t="s">
        <v>2143</v>
      </c>
      <c r="U4" s="510"/>
      <c r="V4" s="4037"/>
      <c r="W4" s="4038"/>
      <c r="X4" s="4038"/>
      <c r="Y4" s="4038"/>
      <c r="Z4" s="4038"/>
      <c r="AA4" s="4038"/>
      <c r="AB4" s="4039"/>
      <c r="AC4" s="4037">
        <f>INDEX(PT_DIFFERENTIATION_CS,MATCH(C4,PT_DIFFERENTIATION_CS_ID,0))</f>
      </c>
      <c r="AD4" s="4038"/>
      <c r="AE4" s="4038"/>
      <c r="AF4" s="4038"/>
      <c r="AG4" s="4038"/>
      <c r="AH4" s="4038"/>
      <c r="AI4" s="4038"/>
      <c r="AJ4" s="4039"/>
      <c r="AK4" s="1546" t="s">
        <v>2144</v>
      </c>
      <c r="AM4" s="737"/>
      <c r="AN4" s="737" t="str">
        <f>IF(T4="","",T4)</f>
        <v>Наименование централизованной системы водоотведения</v>
      </c>
      <c r="AO4" s="737"/>
      <c r="AP4" s="737"/>
    </row>
    <row customHeight="1" ht="23.25" hidden="1">
      <c r="A5" s="1659"/>
      <c r="B5" s="1659"/>
      <c r="C5" s="1659"/>
      <c r="D5" s="1659"/>
      <c r="E5" s="2425"/>
      <c r="F5" s="2425"/>
      <c r="G5" s="2425"/>
      <c r="H5" s="2425"/>
      <c r="I5" s="2453">
        <f>S4&amp;".1"</f>
      </c>
      <c r="J5" s="1659"/>
      <c r="K5" s="1659"/>
      <c r="L5" s="1660"/>
      <c r="P5" s="2423">
        <v>1</v>
      </c>
      <c r="Q5" s="1778"/>
      <c r="R5" s="577"/>
      <c r="S5" s="1790">
        <f>$I5</f>
      </c>
      <c r="T5" s="495" t="s">
        <v>1734</v>
      </c>
      <c r="U5" s="510"/>
      <c r="V5" s="2574"/>
      <c r="W5" s="2575"/>
      <c r="X5" s="2575"/>
      <c r="Y5" s="2575"/>
      <c r="Z5" s="2575"/>
      <c r="AA5" s="2575"/>
      <c r="AB5" s="2576"/>
      <c r="AC5" s="2577"/>
      <c r="AD5" s="2578"/>
      <c r="AE5" s="2578"/>
      <c r="AF5" s="2578"/>
      <c r="AG5" s="2578"/>
      <c r="AH5" s="2578"/>
      <c r="AI5" s="2578"/>
      <c r="AJ5" s="2579"/>
      <c r="AK5" s="1546" t="s">
        <v>1735</v>
      </c>
      <c r="AM5" s="737"/>
      <c r="AN5" s="737" t="str">
        <f>IF(T5="","",T5)</f>
        <v>Наименование признака дифференциации</v>
      </c>
      <c r="AO5" s="737"/>
      <c r="AP5" s="737"/>
    </row>
    <row customHeight="1" ht="23.25" hidden="1">
      <c r="A6" s="1659"/>
      <c r="B6" s="1659"/>
      <c r="C6" s="1659"/>
      <c r="D6" s="1659"/>
      <c r="E6" s="2425"/>
      <c r="F6" s="2425"/>
      <c r="G6" s="2425"/>
      <c r="H6" s="2425"/>
      <c r="I6" s="2454"/>
      <c r="J6" s="2422">
        <f>I5&amp;".1"</f>
      </c>
      <c r="K6" s="1659"/>
      <c r="L6" s="1660" t="s">
        <v>1526</v>
      </c>
      <c r="P6" s="2423"/>
      <c r="Q6" s="2423">
        <v>1</v>
      </c>
      <c r="R6" s="578"/>
      <c r="S6" s="1790">
        <f>$J6</f>
      </c>
      <c r="T6" s="496" t="s">
        <v>1527</v>
      </c>
      <c r="U6" s="510"/>
      <c r="V6" s="2411"/>
      <c r="W6" s="2412"/>
      <c r="X6" s="2412"/>
      <c r="Y6" s="2412"/>
      <c r="Z6" s="2412"/>
      <c r="AA6" s="2412"/>
      <c r="AB6" s="2413"/>
      <c r="AC6" s="2411"/>
      <c r="AD6" s="2412"/>
      <c r="AE6" s="2412"/>
      <c r="AF6" s="2412"/>
      <c r="AG6" s="2412"/>
      <c r="AH6" s="2412"/>
      <c r="AI6" s="2412"/>
      <c r="AJ6" s="2413"/>
      <c r="AK6" s="1602" t="s">
        <v>1736</v>
      </c>
      <c r="AM6" s="737"/>
      <c r="AN6" s="737" t="str">
        <f>IF(T6="","",T6)</f>
        <v>Группа потребителей</v>
      </c>
      <c r="AO6" s="737"/>
      <c r="AP6" s="737"/>
    </row>
    <row customHeight="1" ht="23.25" hidden="1">
      <c r="A7" s="1659"/>
      <c r="B7" s="1659"/>
      <c r="C7" s="1659"/>
      <c r="D7" s="1659"/>
      <c r="E7" s="2425"/>
      <c r="F7" s="2425"/>
      <c r="G7" s="2425"/>
      <c r="H7" s="2425"/>
      <c r="I7" s="2454"/>
      <c r="J7" s="2455"/>
      <c r="K7" s="2422">
        <f>J6&amp;".1"</f>
      </c>
      <c r="L7" s="1660"/>
      <c r="P7" s="2423"/>
      <c r="Q7" s="2423"/>
      <c r="R7" s="578">
        <v>1</v>
      </c>
      <c r="S7" s="1790">
        <f>$K7</f>
      </c>
      <c r="T7" s="1734"/>
      <c r="U7" s="510"/>
      <c r="V7" s="4065"/>
      <c r="W7" s="4065"/>
      <c r="X7" s="4067"/>
      <c r="Y7" s="2430"/>
      <c r="Z7" s="2142" t="s">
        <v>67</v>
      </c>
      <c r="AA7" s="2430"/>
      <c r="AB7" s="2142" t="s">
        <v>67</v>
      </c>
      <c r="AC7" s="4065"/>
      <c r="AD7" s="4065"/>
      <c r="AE7" s="4067"/>
      <c r="AF7" s="2430"/>
      <c r="AG7" s="2142" t="s">
        <v>67</v>
      </c>
      <c r="AH7" s="2456"/>
      <c r="AI7" s="2142" t="s">
        <v>67</v>
      </c>
      <c r="AJ7" s="4569"/>
      <c r="AK7" s="257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748">
        <f>STRCHECKDATE(V8:AJ8)</f>
      </c>
      <c r="AM7" s="737"/>
      <c r="AN7" s="737" t="str">
        <f>IF(T7="","",T7)</f>
        <v/>
      </c>
      <c r="AO7" s="737"/>
      <c r="AP7" s="737"/>
    </row>
    <row customHeight="1" ht="0.75" hidden="1">
      <c r="A8" s="1659"/>
      <c r="B8" s="1659"/>
      <c r="C8" s="1659"/>
      <c r="D8" s="1659"/>
      <c r="E8" s="2425"/>
      <c r="F8" s="2425"/>
      <c r="G8" s="2425"/>
      <c r="H8" s="2425"/>
      <c r="I8" s="2454"/>
      <c r="J8" s="2455"/>
      <c r="K8" s="2422"/>
      <c r="L8" s="1660"/>
      <c r="P8" s="2423"/>
      <c r="Q8" s="2423"/>
      <c r="R8" s="578"/>
      <c r="S8" s="1787"/>
      <c r="T8" s="510"/>
      <c r="U8" s="510"/>
      <c r="V8" s="4066"/>
      <c r="W8" s="4066"/>
      <c r="X8" s="4071" t="str">
        <f>Y7&amp;"-"&amp;AA7</f>
        <v>-</v>
      </c>
      <c r="Y8" s="2431"/>
      <c r="Z8" s="2142"/>
      <c r="AA8" s="2431"/>
      <c r="AB8" s="2142"/>
      <c r="AC8" s="4066"/>
      <c r="AD8" s="4066"/>
      <c r="AE8" s="4071" t="str">
        <f>AF7&amp;"-"&amp;AH7</f>
        <v>-</v>
      </c>
      <c r="AF8" s="2431"/>
      <c r="AG8" s="2142"/>
      <c r="AH8" s="2457"/>
      <c r="AI8" s="2142"/>
      <c r="AJ8" s="4572"/>
      <c r="AK8" s="2573"/>
      <c r="AM8" s="737"/>
      <c r="AN8" s="737" t="str">
        <f>IF(T8="","",T8)</f>
        <v/>
      </c>
      <c r="AO8" s="737"/>
      <c r="AP8" s="737"/>
    </row>
    <row customHeight="1" ht="21" hidden="1">
      <c r="A9" s="1659"/>
      <c r="B9" s="1659"/>
      <c r="C9" s="1659"/>
      <c r="D9" s="1659"/>
      <c r="E9" s="2425"/>
      <c r="F9" s="2425"/>
      <c r="G9" s="2425"/>
      <c r="H9" s="2425"/>
      <c r="I9" s="2454"/>
      <c r="J9" s="2422"/>
      <c r="K9" s="1659"/>
      <c r="L9" s="1660"/>
      <c r="P9" s="2423"/>
      <c r="Q9" s="2423"/>
      <c r="R9" s="577"/>
      <c r="S9" s="1568"/>
      <c r="T9" s="497" t="s">
        <v>1737</v>
      </c>
      <c r="U9" s="592"/>
      <c r="V9" s="592"/>
      <c r="W9" s="592"/>
      <c r="X9" s="592"/>
      <c r="Y9" s="592"/>
      <c r="Z9" s="592"/>
      <c r="AA9" s="592"/>
      <c r="AB9" s="592"/>
      <c r="AC9" s="592"/>
      <c r="AD9" s="592"/>
      <c r="AE9" s="592"/>
      <c r="AF9" s="592"/>
      <c r="AG9" s="592"/>
      <c r="AH9" s="592"/>
      <c r="AI9" s="592"/>
      <c r="AJ9" s="592"/>
      <c r="AK9" s="1546" t="s">
        <v>1738</v>
      </c>
      <c r="AM9" s="737"/>
      <c r="AN9" s="737" t="str">
        <f>IF(T9="","",T9)</f>
        <v>Добавить значение признака дифференциации</v>
      </c>
      <c r="AO9" s="737"/>
      <c r="AP9" s="737"/>
    </row>
    <row customHeight="1" ht="21" hidden="1">
      <c r="A10" s="1659"/>
      <c r="B10" s="1659"/>
      <c r="C10" s="1659"/>
      <c r="D10" s="1659"/>
      <c r="E10" s="2425"/>
      <c r="F10" s="2425"/>
      <c r="G10" s="2425"/>
      <c r="H10" s="2425"/>
      <c r="I10" s="2453"/>
      <c r="J10" s="1659"/>
      <c r="K10" s="1659"/>
      <c r="L10" s="1660"/>
      <c r="P10" s="2423"/>
      <c r="Q10" s="1778"/>
      <c r="R10" s="577"/>
      <c r="S10" s="1568"/>
      <c r="T10" s="589" t="s">
        <v>1532</v>
      </c>
      <c r="U10" s="592"/>
      <c r="V10" s="592"/>
      <c r="W10" s="592"/>
      <c r="X10" s="592"/>
      <c r="Y10" s="592"/>
      <c r="Z10" s="592"/>
      <c r="AA10" s="592"/>
      <c r="AB10" s="591"/>
      <c r="AC10" s="592"/>
      <c r="AD10" s="592"/>
      <c r="AE10" s="592"/>
      <c r="AF10" s="592"/>
      <c r="AG10" s="592"/>
      <c r="AH10" s="592"/>
      <c r="AI10" s="591"/>
      <c r="AJ10" s="592"/>
      <c r="AK10" s="1737"/>
      <c r="AM10" s="737"/>
      <c r="AN10" s="737" t="str">
        <f>IF(T10="","",T10)</f>
        <v>Добавить группу потребителей</v>
      </c>
      <c r="AO10" s="737"/>
      <c r="AP10" s="737"/>
    </row>
    <row customHeight="1" ht="21" hidden="1">
      <c r="A11" s="1659"/>
      <c r="B11" s="1659"/>
      <c r="C11" s="1659"/>
      <c r="D11" s="1659"/>
      <c r="E11" s="2425"/>
      <c r="F11" s="2425"/>
      <c r="G11" s="2425"/>
      <c r="H11" s="2424"/>
      <c r="I11" s="1659"/>
      <c r="J11" s="1659"/>
      <c r="K11" s="1659"/>
      <c r="L11" s="1660"/>
      <c r="M11" s="1661"/>
      <c r="N11" s="1661"/>
      <c r="O11" s="774"/>
      <c r="P11" s="581"/>
      <c r="Q11" s="601"/>
      <c r="R11" s="576"/>
      <c r="S11" s="1568"/>
      <c r="T11" s="597" t="s">
        <v>1739</v>
      </c>
      <c r="U11" s="592"/>
      <c r="V11" s="592"/>
      <c r="W11" s="592"/>
      <c r="X11" s="592"/>
      <c r="Y11" s="592"/>
      <c r="Z11" s="592"/>
      <c r="AA11" s="592"/>
      <c r="AB11" s="591"/>
      <c r="AC11" s="592"/>
      <c r="AD11" s="592"/>
      <c r="AE11" s="592"/>
      <c r="AF11" s="592"/>
      <c r="AG11" s="592"/>
      <c r="AH11" s="592"/>
      <c r="AI11" s="591"/>
      <c r="AJ11" s="592"/>
      <c r="AK11" s="513"/>
      <c r="AM11" s="737"/>
      <c r="AN11" s="737" t="str">
        <f>IF(T11="","",T11)</f>
        <v>Добавить наименование признака дифференциации</v>
      </c>
      <c r="AO11" s="737"/>
      <c r="AP11" s="737"/>
    </row>
    <row s="10863" customFormat="1" customHeight="1" ht="0.75" hidden="1">
      <c r="A12" s="1638"/>
      <c r="B12" s="1638"/>
      <c r="C12" s="1609"/>
      <c r="D12" s="1609"/>
      <c r="E12" s="2425"/>
      <c r="F12" s="2424"/>
      <c r="G12" s="1609"/>
      <c r="H12" s="1609"/>
      <c r="I12" s="1609"/>
      <c r="J12" s="1609"/>
      <c r="K12" s="1609"/>
      <c r="L12" s="1791"/>
      <c r="M12" s="1616"/>
      <c r="N12" s="1616"/>
      <c r="P12" s="1611"/>
      <c r="Q12" s="1612"/>
      <c r="R12" s="1611"/>
      <c r="S12" s="1617"/>
      <c r="T12" s="1620" t="s">
        <v>1493</v>
      </c>
      <c r="U12" s="1619"/>
      <c r="V12" s="1619"/>
      <c r="W12" s="1619"/>
      <c r="X12" s="1619"/>
      <c r="Y12" s="1619"/>
      <c r="Z12" s="1619"/>
      <c r="AA12" s="1619"/>
      <c r="AB12" s="1619"/>
      <c r="AC12" s="1619"/>
      <c r="AD12" s="1619"/>
      <c r="AE12" s="1619"/>
      <c r="AF12" s="1619"/>
      <c r="AG12" s="1619"/>
      <c r="AH12" s="1619"/>
      <c r="AI12" s="1619"/>
      <c r="AJ12" s="1619"/>
      <c r="AK12" s="1619"/>
      <c r="AM12" s="1029"/>
      <c r="AN12" s="1029" t="str">
        <f>IF(T12="","",T12)</f>
        <v>Добавить централизованную систему для дифференциации</v>
      </c>
      <c r="AO12" s="1029"/>
      <c r="AP12" s="1029"/>
    </row>
    <row s="10863" customFormat="1" customHeight="1" ht="0.75" hidden="1">
      <c r="A13" s="1638"/>
      <c r="B13" s="1638"/>
      <c r="C13" s="1638"/>
      <c r="D13" s="1638"/>
      <c r="E13" s="2424"/>
      <c r="F13" s="1638"/>
      <c r="G13" s="1638"/>
      <c r="H13" s="1638"/>
      <c r="I13" s="1638"/>
      <c r="J13" s="1638"/>
      <c r="K13" s="1638"/>
      <c r="L13" s="1641"/>
      <c r="M13" s="1616"/>
      <c r="N13" s="1616"/>
      <c r="O13" s="755"/>
      <c r="P13" s="610"/>
      <c r="Q13" s="1639"/>
      <c r="R13" s="610"/>
      <c r="S13" s="1617"/>
      <c r="T13" s="1620" t="s">
        <v>1494</v>
      </c>
      <c r="U13" s="1619"/>
      <c r="V13" s="1619"/>
      <c r="W13" s="1619"/>
      <c r="X13" s="1619"/>
      <c r="Y13" s="1619"/>
      <c r="Z13" s="1619"/>
      <c r="AA13" s="1619"/>
      <c r="AB13" s="1619"/>
      <c r="AC13" s="1619"/>
      <c r="AD13" s="1619"/>
      <c r="AE13" s="1619"/>
      <c r="AF13" s="1619"/>
      <c r="AG13" s="1619"/>
      <c r="AH13" s="1619"/>
      <c r="AI13" s="1619"/>
      <c r="AJ13" s="1619"/>
      <c r="AK13" s="1619"/>
      <c r="AM13" s="737"/>
      <c r="AN13" s="737" t="str">
        <f>IF(T13="","",T13)</f>
        <v>Добавить территорию для дифференциации</v>
      </c>
      <c r="AO13" s="737"/>
      <c r="AP13" s="737"/>
    </row>
    <row customHeight="1" ht="14.25" hidden="1">
      <c r="AB14" s="548"/>
      <c r="AI14" s="548"/>
    </row>
    <row customHeight="1" ht="14.25" hidden="1">
      <c r="AC15" s="4098"/>
      <c r="AD15" s="4098"/>
      <c r="AE15" s="4099"/>
      <c r="AF15" s="2432"/>
      <c r="AG15" s="2433" t="s">
        <v>67</v>
      </c>
      <c r="AH15" s="2432"/>
      <c r="AI15" s="2433" t="s">
        <v>67</v>
      </c>
    </row>
    <row customHeight="1" ht="14.25" hidden="1">
      <c r="AC16" s="4098"/>
      <c r="AD16" s="4098"/>
      <c r="AE16" s="4071" t="str">
        <f>AF15&amp;"-"&amp;AH15</f>
        <v>-</v>
      </c>
      <c r="AF16" s="2433"/>
      <c r="AG16" s="2433"/>
      <c r="AH16" s="2433"/>
      <c r="AI16" s="2433"/>
    </row>
    <row customHeight="1" ht="14.25" hidden="1">
      <c r="AI17" s="548"/>
    </row>
    <row s="11074" customFormat="1" customHeight="1" ht="14.25" hidden="1">
      <c r="L18" s="1775"/>
      <c r="M18" s="1658"/>
      <c r="N18" s="1658"/>
      <c r="O18" s="1663" t="s">
        <v>1534</v>
      </c>
      <c r="P18" s="1658"/>
      <c r="Q18" s="1667"/>
      <c r="R18" s="1667"/>
      <c r="S18" s="967"/>
      <c r="Y18" s="1663"/>
      <c r="AA18" s="1663"/>
      <c r="AB18" s="1662"/>
      <c r="AF18" s="1663"/>
      <c r="AH18" s="1663"/>
      <c r="AI18" s="1662"/>
      <c r="AL18" s="748"/>
      <c r="AM18" s="748"/>
      <c r="AN18" s="748"/>
      <c r="AO18" s="748"/>
      <c r="AP18" s="748"/>
    </row>
    <row s="11074" customFormat="1" customHeight="1" ht="14.25" hidden="1">
      <c r="L19" s="1775"/>
      <c r="M19" s="1658"/>
      <c r="N19" s="1658"/>
      <c r="O19" s="1658"/>
      <c r="P19" s="1658"/>
      <c r="Q19" s="1667"/>
      <c r="R19" s="1667"/>
      <c r="S19" s="967"/>
      <c r="AB19" s="1662"/>
      <c r="AI19" s="1662"/>
      <c r="AL19" s="748"/>
      <c r="AM19" s="748"/>
      <c r="AN19" s="748"/>
      <c r="AO19" s="748"/>
      <c r="AP19" s="748"/>
    </row>
    <row s="11074" customFormat="1" customHeight="1" ht="12" hidden="1">
      <c r="L20" s="1775"/>
      <c r="M20" s="1658"/>
      <c r="N20" s="1658"/>
      <c r="O20" s="1660" t="s">
        <v>1535</v>
      </c>
      <c r="P20" s="1658"/>
      <c r="Q20" s="1739"/>
      <c r="R20" s="1739"/>
      <c r="S20" s="967"/>
      <c r="T20" s="1421" t="s">
        <v>1536</v>
      </c>
      <c r="Z20" s="393" t="s">
        <v>1537</v>
      </c>
      <c r="AB20" s="393" t="s">
        <v>1538</v>
      </c>
      <c r="AC20" s="1421" t="s">
        <v>1536</v>
      </c>
      <c r="AG20" s="393" t="s">
        <v>1539</v>
      </c>
      <c r="AI20" s="393" t="s">
        <v>1538</v>
      </c>
    </row>
    <row customHeight="1" ht="14.25" hidden="1">
      <c r="O21" s="1660"/>
    </row>
    <row customHeight="1" ht="14.25" hidden="1">
      <c r="O22" s="1660"/>
    </row>
    <row customHeight="1" ht="14.25">
      <c r="Q23" s="602"/>
      <c r="R23" s="602"/>
      <c r="S23" s="1565"/>
      <c r="T23" s="586"/>
      <c r="U23" s="586"/>
      <c r="V23" s="746"/>
      <c r="W23" s="746"/>
      <c r="X23" s="746"/>
      <c r="Y23" s="746"/>
      <c r="Z23" s="746"/>
      <c r="AA23" s="746"/>
      <c r="AB23" s="746"/>
      <c r="AC23" s="746"/>
      <c r="AD23" s="746"/>
      <c r="AE23" s="746"/>
      <c r="AF23" s="746"/>
      <c r="AG23" s="746"/>
      <c r="AH23" s="746"/>
      <c r="AI23" s="746"/>
    </row>
    <row customHeight="1" ht="32.25">
      <c r="Q24" s="602"/>
      <c r="R24" s="602"/>
      <c r="S24" s="2414" t="str">
        <f>IF(TEMPLATE_GROUP="P",PT_P_FORM_VOTV_4_NAME_FORM,PT_R_FORM_VOTV_16_NAME_FORM)</f>
        <v>Форма 16. Информация о предложении расчетной величины тарифов организации водоотведения об установлении тарифов в сфере водоотведения на очередной период регулирования &lt;1&gt;</v>
      </c>
      <c r="T24" s="2414"/>
      <c r="U24" s="2414"/>
      <c r="V24" s="2414"/>
      <c r="W24" s="2414"/>
      <c r="X24" s="2414"/>
      <c r="Y24" s="2414"/>
      <c r="Z24" s="2414"/>
      <c r="AA24" s="2414"/>
      <c r="AB24" s="2414"/>
      <c r="AC24" s="2414"/>
      <c r="AD24" s="2414"/>
      <c r="AE24" s="2414"/>
      <c r="AF24" s="2414"/>
      <c r="AG24" s="2414"/>
      <c r="AH24" s="2414"/>
      <c r="AI24" s="1521"/>
    </row>
    <row customHeight="1" ht="14.25">
      <c r="Q25" s="602"/>
      <c r="R25" s="602"/>
      <c r="S25" s="2415" t="str">
        <f>IF(org=0,"Не определено",org)</f>
        <v>ООО "СамРЭК-Тепло Жигулевск"</v>
      </c>
      <c r="T25" s="2415"/>
      <c r="U25" s="2415"/>
      <c r="V25" s="2415"/>
      <c r="W25" s="2415"/>
      <c r="X25" s="2415"/>
      <c r="Y25" s="2415"/>
      <c r="Z25" s="2415"/>
      <c r="AA25" s="2415"/>
      <c r="AB25" s="2415"/>
      <c r="AC25" s="2415"/>
      <c r="AD25" s="2415"/>
      <c r="AE25" s="2415"/>
      <c r="AF25" s="2415"/>
      <c r="AG25" s="2415"/>
      <c r="AH25" s="2415"/>
      <c r="AI25" s="1521"/>
    </row>
    <row customHeight="1" ht="14.25" hidden="1">
      <c r="Q26" s="602"/>
      <c r="R26" s="602"/>
      <c r="S26" s="1565"/>
      <c r="T26" s="586"/>
      <c r="U26" s="586"/>
      <c r="V26" s="541"/>
      <c r="W26" s="541"/>
      <c r="X26" s="541"/>
      <c r="Y26" s="541"/>
      <c r="Z26" s="541"/>
      <c r="AA26" s="541"/>
      <c r="AB26" s="541"/>
      <c r="AC26" s="541"/>
      <c r="AD26" s="541"/>
      <c r="AE26" s="541"/>
      <c r="AF26" s="541"/>
      <c r="AG26" s="541"/>
      <c r="AH26" s="541"/>
      <c r="AI26" s="541"/>
      <c r="AJ26" s="746"/>
    </row>
    <row s="10859" customFormat="1" customHeight="1" ht="25.5" hidden="1">
      <c r="A27" s="1664"/>
      <c r="B27" s="1664"/>
      <c r="C27" s="1664"/>
      <c r="D27" s="1664"/>
      <c r="E27" s="1664"/>
      <c r="F27" s="1664"/>
      <c r="G27" s="1664"/>
      <c r="H27" s="1664"/>
      <c r="I27" s="1664"/>
      <c r="J27" s="1664"/>
      <c r="K27" s="1664"/>
      <c r="L27" s="1665"/>
      <c r="M27" s="1664"/>
      <c r="N27" s="1664"/>
      <c r="O27" s="1664"/>
      <c r="S27" s="2416" t="s">
        <v>39</v>
      </c>
      <c r="T27" s="2416"/>
      <c r="U27" s="1668"/>
      <c r="V27" s="2417" t="str">
        <f>IF(TITLE_NAME_OR_PR_CHANGE="",IF(TITLE_NAME_OR_PR="","",TITLE_NAME_OR_PR),TITLE_NAME_OR_PR_CHANGE)</f>
        <v/>
      </c>
      <c r="W27" s="2417"/>
      <c r="X27" s="2417"/>
      <c r="Y27" s="2417"/>
      <c r="Z27" s="2417"/>
      <c r="AA27" s="2417"/>
      <c r="AB27" s="547"/>
      <c r="AC27" s="2417" t="str">
        <f>IF(TITLE_NAME_OR_PR_CHANGE="",IF(TITLE_NAME_OR_PR="","",TITLE_NAME_OR_PR),TITLE_NAME_OR_PR_CHANGE)</f>
        <v/>
      </c>
      <c r="AD27" s="2417"/>
      <c r="AE27" s="2417"/>
      <c r="AF27" s="2417"/>
      <c r="AG27" s="2417"/>
      <c r="AH27" s="2417"/>
      <c r="AI27" s="547"/>
      <c r="AJ27" s="547"/>
      <c r="AK27" s="490"/>
      <c r="AL27" s="593"/>
      <c r="AM27" s="593"/>
      <c r="AN27" s="593"/>
      <c r="AO27" s="593"/>
      <c r="AP27" s="593"/>
    </row>
    <row s="10859" customFormat="1" customHeight="1" ht="18.75" hidden="1">
      <c r="A28" s="1664"/>
      <c r="B28" s="1664"/>
      <c r="C28" s="1664"/>
      <c r="D28" s="1664"/>
      <c r="E28" s="1664"/>
      <c r="F28" s="1664"/>
      <c r="G28" s="1664"/>
      <c r="H28" s="1664"/>
      <c r="I28" s="1664"/>
      <c r="J28" s="1664"/>
      <c r="K28" s="1664"/>
      <c r="L28" s="1665"/>
      <c r="M28" s="1664"/>
      <c r="N28" s="1664"/>
      <c r="O28" s="1664"/>
      <c r="S28" s="2416" t="s">
        <v>1540</v>
      </c>
      <c r="T28" s="2416"/>
      <c r="U28" s="1668"/>
      <c r="V28" s="2417" t="str">
        <f>IF(TITLE_DATE_CHANGE_PERIOD="",IF(TITLE_DATE_PR="","",TITLE_DATE_PR),TITLE_DATE_CHANGE_PERIOD)</f>
        <v/>
      </c>
      <c r="W28" s="2417"/>
      <c r="X28" s="2417"/>
      <c r="Y28" s="2417"/>
      <c r="Z28" s="2417"/>
      <c r="AA28" s="2417"/>
      <c r="AB28" s="547"/>
      <c r="AC28" s="2417" t="str">
        <f>IF(TITLE_DATE_CHANGE_PERIOD="",IF(TITLE_DATE_PR="","",TITLE_DATE_PR),TITLE_DATE_CHANGE_PERIOD)</f>
        <v/>
      </c>
      <c r="AD28" s="2417"/>
      <c r="AE28" s="2417"/>
      <c r="AF28" s="2417"/>
      <c r="AG28" s="2417"/>
      <c r="AH28" s="2417"/>
      <c r="AI28" s="547"/>
      <c r="AJ28" s="547"/>
      <c r="AK28" s="490"/>
      <c r="AL28" s="593"/>
      <c r="AM28" s="593"/>
      <c r="AN28" s="593"/>
      <c r="AO28" s="593"/>
      <c r="AP28" s="593"/>
    </row>
    <row s="10859" customFormat="1" customHeight="1" ht="18.75" hidden="1">
      <c r="A29" s="1664"/>
      <c r="B29" s="1664"/>
      <c r="C29" s="1664"/>
      <c r="D29" s="1664"/>
      <c r="E29" s="1664"/>
      <c r="F29" s="1664"/>
      <c r="G29" s="1664"/>
      <c r="H29" s="1664"/>
      <c r="I29" s="1664"/>
      <c r="J29" s="1664"/>
      <c r="K29" s="1664"/>
      <c r="L29" s="1665"/>
      <c r="M29" s="1664"/>
      <c r="N29" s="1664"/>
      <c r="O29" s="1664"/>
      <c r="S29" s="2416" t="s">
        <v>1541</v>
      </c>
      <c r="T29" s="2416"/>
      <c r="U29" s="1668"/>
      <c r="V29" s="2417" t="str">
        <f>IF(TITLE_NUMBER_PR_CHANGE="",IF(TITLE_NUMBER_PR="","",TITLE_NUMBER_PR),TITLE_NUMBER_PR_CHANGE)</f>
        <v/>
      </c>
      <c r="W29" s="2417"/>
      <c r="X29" s="2417"/>
      <c r="Y29" s="2417"/>
      <c r="Z29" s="2417"/>
      <c r="AA29" s="2417"/>
      <c r="AB29" s="547"/>
      <c r="AC29" s="2417" t="str">
        <f>IF(TITLE_NUMBER_PR_CHANGE="",IF(TITLE_NUMBER_PR="","",TITLE_NUMBER_PR),TITLE_NUMBER_PR_CHANGE)</f>
        <v/>
      </c>
      <c r="AD29" s="2417"/>
      <c r="AE29" s="2417"/>
      <c r="AF29" s="2417"/>
      <c r="AG29" s="2417"/>
      <c r="AH29" s="2417"/>
      <c r="AI29" s="547"/>
      <c r="AJ29" s="547"/>
      <c r="AK29" s="490"/>
      <c r="AL29" s="593"/>
      <c r="AM29" s="593"/>
      <c r="AN29" s="593"/>
      <c r="AO29" s="593"/>
      <c r="AP29" s="593"/>
    </row>
    <row s="10859" customFormat="1" customHeight="1" ht="18.75" hidden="1">
      <c r="A30" s="1664"/>
      <c r="B30" s="1664"/>
      <c r="C30" s="1664"/>
      <c r="D30" s="1664"/>
      <c r="E30" s="1664"/>
      <c r="F30" s="1664"/>
      <c r="G30" s="1664"/>
      <c r="H30" s="1664"/>
      <c r="I30" s="1664"/>
      <c r="J30" s="1664"/>
      <c r="K30" s="1664"/>
      <c r="L30" s="1665"/>
      <c r="M30" s="1664"/>
      <c r="N30" s="1664"/>
      <c r="O30" s="1664"/>
      <c r="S30" s="2416" t="s">
        <v>40</v>
      </c>
      <c r="T30" s="2416"/>
      <c r="U30" s="1668"/>
      <c r="V30" s="2417" t="str">
        <f>IF(TITLE_IST_PUB_CHANGE="",IF(TITLE_IST_PUB="","",TITLE_IST_PUB),TITLE_IST_PUB_CHANGE)</f>
        <v/>
      </c>
      <c r="W30" s="2417"/>
      <c r="X30" s="2417"/>
      <c r="Y30" s="2417"/>
      <c r="Z30" s="2417"/>
      <c r="AA30" s="2417"/>
      <c r="AB30" s="547"/>
      <c r="AC30" s="2417" t="str">
        <f>IF(TITLE_IST_PUB_CHANGE="",IF(TITLE_IST_PUB="","",TITLE_IST_PUB),TITLE_IST_PUB_CHANGE)</f>
        <v/>
      </c>
      <c r="AD30" s="2417"/>
      <c r="AE30" s="2417"/>
      <c r="AF30" s="2417"/>
      <c r="AG30" s="2417"/>
      <c r="AH30" s="2417"/>
      <c r="AI30" s="547"/>
      <c r="AJ30" s="547"/>
      <c r="AK30" s="490"/>
      <c r="AL30" s="593"/>
      <c r="AM30" s="593"/>
      <c r="AN30" s="593"/>
      <c r="AO30" s="593"/>
      <c r="AP30" s="593"/>
    </row>
    <row customHeight="1" ht="14.25" hidden="1">
      <c r="Q31" s="602"/>
      <c r="R31" s="602"/>
      <c r="S31" s="1565"/>
      <c r="T31" s="586"/>
      <c r="U31" s="586"/>
      <c r="V31" s="541"/>
      <c r="W31" s="541"/>
      <c r="X31" s="541"/>
      <c r="Y31" s="541"/>
      <c r="Z31" s="541"/>
      <c r="AA31" s="541"/>
      <c r="AB31" s="541"/>
      <c r="AC31" s="541"/>
      <c r="AD31" s="541"/>
      <c r="AE31" s="541"/>
      <c r="AF31" s="541"/>
      <c r="AG31" s="541"/>
      <c r="AH31" s="541"/>
      <c r="AI31" s="541"/>
      <c r="AJ31" s="746"/>
    </row>
    <row s="10859" customFormat="1" customHeight="1" ht="18.75" hidden="1">
      <c r="A32" s="1664"/>
      <c r="B32" s="1664"/>
      <c r="C32" s="1664"/>
      <c r="D32" s="1664"/>
      <c r="E32" s="1664"/>
      <c r="F32" s="1664"/>
      <c r="G32" s="1664"/>
      <c r="H32" s="1664"/>
      <c r="I32" s="1664"/>
      <c r="J32" s="1664"/>
      <c r="K32" s="1664"/>
      <c r="L32" s="1665"/>
      <c r="M32" s="1664"/>
      <c r="N32" s="1664"/>
      <c r="O32" s="1664"/>
      <c r="S32" s="2416" t="s">
        <v>1542</v>
      </c>
      <c r="T32" s="2416"/>
      <c r="U32" s="1668"/>
      <c r="V32" s="2417" t="str">
        <f>IF(TITLE_DATE_CHANGE_PERIOD="",IF(TITLE_DATE_PR="","",TITLE_DATE_PR),TITLE_DATE_CHANGE_PERIOD)</f>
        <v/>
      </c>
      <c r="W32" s="2417"/>
      <c r="X32" s="2417"/>
      <c r="Y32" s="2417"/>
      <c r="Z32" s="2417"/>
      <c r="AA32" s="2417"/>
      <c r="AB32" s="547"/>
      <c r="AC32" s="2417" t="str">
        <f>IF(TITLE_DATE_CHANGE_PERIOD="",IF(TITLE_DATE_PR="","",TITLE_DATE_PR),TITLE_DATE_CHANGE_PERIOD)</f>
        <v/>
      </c>
      <c r="AD32" s="2417"/>
      <c r="AE32" s="2417"/>
      <c r="AF32" s="2417"/>
      <c r="AG32" s="2417"/>
      <c r="AH32" s="2417"/>
      <c r="AI32" s="547"/>
      <c r="AJ32" s="547"/>
      <c r="AK32" s="490"/>
      <c r="AL32" s="593"/>
      <c r="AM32" s="593"/>
      <c r="AN32" s="593"/>
      <c r="AO32" s="593"/>
      <c r="AP32" s="593"/>
    </row>
    <row s="10859" customFormat="1" customHeight="1" ht="18.75" hidden="1">
      <c r="A33" s="1664"/>
      <c r="B33" s="1664"/>
      <c r="C33" s="1664"/>
      <c r="D33" s="1664"/>
      <c r="E33" s="1664"/>
      <c r="F33" s="1664"/>
      <c r="G33" s="1664"/>
      <c r="H33" s="1664"/>
      <c r="I33" s="1664"/>
      <c r="J33" s="1664"/>
      <c r="K33" s="1664"/>
      <c r="L33" s="1665"/>
      <c r="M33" s="1664"/>
      <c r="N33" s="1664"/>
      <c r="O33" s="1664"/>
      <c r="S33" s="2416" t="s">
        <v>1543</v>
      </c>
      <c r="T33" s="2416"/>
      <c r="U33" s="1668"/>
      <c r="V33" s="2417" t="str">
        <f>IF(TITLE_NUMBER_PR_CHANGE="",IF(TITLE_NUMBER_PR="","",TITLE_NUMBER_PR),TITLE_NUMBER_PR_CHANGE)</f>
        <v/>
      </c>
      <c r="W33" s="2417"/>
      <c r="X33" s="2417"/>
      <c r="Y33" s="2417"/>
      <c r="Z33" s="2417"/>
      <c r="AA33" s="2417"/>
      <c r="AB33" s="547"/>
      <c r="AC33" s="2417" t="str">
        <f>IF(TITLE_NUMBER_PR_CHANGE="",IF(TITLE_NUMBER_PR="","",TITLE_NUMBER_PR),TITLE_NUMBER_PR_CHANGE)</f>
        <v/>
      </c>
      <c r="AD33" s="2417"/>
      <c r="AE33" s="2417"/>
      <c r="AF33" s="2417"/>
      <c r="AG33" s="2417"/>
      <c r="AH33" s="2417"/>
      <c r="AI33" s="547"/>
      <c r="AJ33" s="547"/>
      <c r="AK33" s="490"/>
      <c r="AL33" s="593"/>
      <c r="AM33" s="593"/>
      <c r="AN33" s="593"/>
      <c r="AO33" s="593"/>
      <c r="AP33" s="593"/>
    </row>
    <row s="10859" customFormat="1" customHeight="1" ht="0.75">
      <c r="A34" s="1664"/>
      <c r="B34" s="1664"/>
      <c r="C34" s="1664"/>
      <c r="D34" s="1664"/>
      <c r="E34" s="1664"/>
      <c r="F34" s="1664"/>
      <c r="G34" s="1664"/>
      <c r="H34" s="1664"/>
      <c r="I34" s="1664"/>
      <c r="J34" s="1664"/>
      <c r="K34" s="1664"/>
      <c r="L34" s="1665"/>
      <c r="M34" s="1664"/>
      <c r="N34" s="1664"/>
      <c r="O34" s="1664"/>
      <c r="S34" s="543"/>
      <c r="T34" s="543"/>
      <c r="U34" s="1785"/>
      <c r="V34" s="547"/>
      <c r="W34" s="547"/>
      <c r="X34" s="547"/>
      <c r="Y34" s="547"/>
      <c r="Z34" s="547"/>
      <c r="AA34" s="547"/>
      <c r="AB34" s="488" t="s">
        <v>1544</v>
      </c>
      <c r="AC34" s="547"/>
      <c r="AD34" s="547"/>
      <c r="AE34" s="547"/>
      <c r="AF34" s="547"/>
      <c r="AG34" s="547"/>
      <c r="AH34" s="547"/>
      <c r="AI34" s="488" t="s">
        <v>1544</v>
      </c>
      <c r="AL34" s="593"/>
      <c r="AM34" s="593"/>
      <c r="AN34" s="593"/>
      <c r="AO34" s="593"/>
      <c r="AP34" s="593"/>
    </row>
    <row customHeight="1" ht="14.25">
      <c r="Q35" s="602"/>
      <c r="R35" s="602"/>
      <c r="S35" s="1565"/>
      <c r="T35" s="586"/>
      <c r="U35" s="1522"/>
      <c r="V35" s="2418"/>
      <c r="W35" s="2418"/>
      <c r="X35" s="2418"/>
      <c r="Y35" s="2418"/>
      <c r="Z35" s="2418"/>
      <c r="AA35" s="2418"/>
      <c r="AB35" s="2418"/>
      <c r="AC35" s="2418"/>
      <c r="AD35" s="2418"/>
      <c r="AE35" s="2418"/>
      <c r="AF35" s="2418"/>
      <c r="AG35" s="2418"/>
      <c r="AH35" s="2418"/>
      <c r="AI35" s="2418"/>
    </row>
    <row customHeight="1" ht="14.25">
      <c r="Q36" s="602"/>
      <c r="R36" s="602"/>
      <c r="S36" s="2277" t="s">
        <v>362</v>
      </c>
      <c r="T36" s="2277"/>
      <c r="U36" s="2277"/>
      <c r="V36" s="2277"/>
      <c r="W36" s="2277"/>
      <c r="X36" s="2277"/>
      <c r="Y36" s="2277"/>
      <c r="Z36" s="2277"/>
      <c r="AA36" s="2277"/>
      <c r="AB36" s="2277"/>
      <c r="AC36" s="2277"/>
      <c r="AD36" s="2277"/>
      <c r="AE36" s="2277"/>
      <c r="AF36" s="2277"/>
      <c r="AG36" s="2277"/>
      <c r="AH36" s="2277"/>
      <c r="AI36" s="2277"/>
      <c r="AJ36" s="2277"/>
      <c r="AK36" s="2277" t="s">
        <v>363</v>
      </c>
    </row>
    <row customHeight="1" ht="14.25">
      <c r="Q37" s="602"/>
      <c r="R37" s="602"/>
      <c r="S37" s="2440" t="s">
        <v>88</v>
      </c>
      <c r="T37" s="2301" t="s">
        <v>1545</v>
      </c>
      <c r="U37" s="511"/>
      <c r="V37" s="2441" t="s">
        <v>1546</v>
      </c>
      <c r="W37" s="2442"/>
      <c r="X37" s="2442"/>
      <c r="Y37" s="2442"/>
      <c r="Z37" s="2442"/>
      <c r="AA37" s="2443"/>
      <c r="AB37" s="2444" t="s">
        <v>1547</v>
      </c>
      <c r="AC37" s="2441" t="s">
        <v>1546</v>
      </c>
      <c r="AD37" s="2442"/>
      <c r="AE37" s="2442"/>
      <c r="AF37" s="2442"/>
      <c r="AG37" s="2442"/>
      <c r="AH37" s="2443"/>
      <c r="AI37" s="2444" t="s">
        <v>1548</v>
      </c>
      <c r="AJ37" s="2447" t="s">
        <v>1549</v>
      </c>
      <c r="AK37" s="2277"/>
    </row>
    <row customHeight="1" ht="33.75">
      <c r="Q38" s="602"/>
      <c r="R38" s="602"/>
      <c r="S38" s="2440"/>
      <c r="T38" s="2301"/>
      <c r="U38" s="1289"/>
      <c r="V38" s="1780" t="s">
        <v>1740</v>
      </c>
      <c r="W38" s="2428" t="s">
        <v>1552</v>
      </c>
      <c r="X38" s="2429"/>
      <c r="Y38" s="2434" t="s">
        <v>1553</v>
      </c>
      <c r="Z38" s="2435"/>
      <c r="AA38" s="2436"/>
      <c r="AB38" s="2445"/>
      <c r="AC38" s="1780" t="s">
        <v>1740</v>
      </c>
      <c r="AD38" s="2428" t="s">
        <v>1552</v>
      </c>
      <c r="AE38" s="2429"/>
      <c r="AF38" s="2434" t="s">
        <v>1553</v>
      </c>
      <c r="AG38" s="2435"/>
      <c r="AH38" s="2436"/>
      <c r="AI38" s="2445"/>
      <c r="AJ38" s="2448"/>
      <c r="AK38" s="2277"/>
    </row>
    <row customHeight="1" ht="86.25">
      <c r="A39" s="1666"/>
      <c r="B39" s="1666" t="s">
        <v>212</v>
      </c>
      <c r="C39" s="1666" t="s">
        <v>213</v>
      </c>
      <c r="D39" s="1666" t="s">
        <v>214</v>
      </c>
      <c r="E39" s="1660" t="s">
        <v>1554</v>
      </c>
      <c r="F39" s="1660" t="s">
        <v>1555</v>
      </c>
      <c r="G39" s="1660" t="s">
        <v>1556</v>
      </c>
      <c r="H39" s="1660"/>
      <c r="I39" s="1660" t="s">
        <v>1741</v>
      </c>
      <c r="J39" s="1660" t="s">
        <v>1559</v>
      </c>
      <c r="K39" s="1660" t="s">
        <v>1742</v>
      </c>
      <c r="L39" s="1660" t="s">
        <v>1535</v>
      </c>
      <c r="Q39" s="602"/>
      <c r="R39" s="602"/>
      <c r="S39" s="2440"/>
      <c r="T39" s="2301"/>
      <c r="U39" s="512"/>
      <c r="V39" s="1780" t="s">
        <v>2145</v>
      </c>
      <c r="W39" s="1497" t="s">
        <v>2146</v>
      </c>
      <c r="X39" s="1497" t="s">
        <v>1745</v>
      </c>
      <c r="Y39" s="1786" t="s">
        <v>1563</v>
      </c>
      <c r="Z39" s="2437" t="s">
        <v>1564</v>
      </c>
      <c r="AA39" s="2438"/>
      <c r="AB39" s="2446"/>
      <c r="AC39" s="1780" t="s">
        <v>2145</v>
      </c>
      <c r="AD39" s="1497" t="s">
        <v>2146</v>
      </c>
      <c r="AE39" s="1497" t="s">
        <v>1745</v>
      </c>
      <c r="AF39" s="1786" t="s">
        <v>1563</v>
      </c>
      <c r="AG39" s="2437" t="s">
        <v>1564</v>
      </c>
      <c r="AH39" s="2438"/>
      <c r="AI39" s="2446"/>
      <c r="AJ39" s="2449"/>
      <c r="AK39" s="2277"/>
    </row>
    <row s="10822" customFormat="1" customHeight="1" ht="11.25" hidden="1">
      <c r="A40" s="1666"/>
      <c r="B40" s="1666"/>
      <c r="C40" s="1666"/>
      <c r="D40" s="1666"/>
      <c r="E40" s="1666"/>
      <c r="F40" s="1666"/>
      <c r="G40" s="1666"/>
      <c r="H40" s="1666"/>
      <c r="I40" s="1666"/>
      <c r="J40" s="1666"/>
      <c r="K40" s="1666"/>
      <c r="L40" s="1660"/>
      <c r="M40" s="1658"/>
      <c r="N40" s="1658"/>
      <c r="O40" s="1658"/>
      <c r="P40" s="1524"/>
      <c r="Q40" s="1525"/>
      <c r="R40" s="1540">
        <v>1</v>
      </c>
      <c r="S40" s="1567" t="s">
        <v>109</v>
      </c>
      <c r="T40" s="1541" t="s">
        <v>110</v>
      </c>
      <c r="U40" s="1523" t="str">
        <f>OFFSET(U40,0,-1)</f>
        <v>2</v>
      </c>
      <c r="V40" s="1779">
        <f>OFFSET(V40,0,-1)+1</f>
        <v>3</v>
      </c>
      <c r="W40" s="1779">
        <f>OFFSET(W40,0,-1)+1</f>
        <v>4</v>
      </c>
      <c r="X40" s="1779">
        <f>OFFSET(X40,0,-1)+1</f>
        <v>5</v>
      </c>
      <c r="Y40" s="1779">
        <f>OFFSET(Y40,0,-1)+1</f>
        <v>6</v>
      </c>
      <c r="Z40" s="2439">
        <f>OFFSET(Z40,0,-1)+1</f>
        <v>7</v>
      </c>
      <c r="AA40" s="2439"/>
      <c r="AB40" s="1779">
        <f>OFFSET(AB40,0,-2)+1</f>
        <v>8</v>
      </c>
      <c r="AC40" s="1779">
        <f>OFFSET(AC40,0,-1)+1</f>
        <v>9</v>
      </c>
      <c r="AD40" s="1779">
        <f>OFFSET(AD40,0,-1)+1</f>
        <v>10</v>
      </c>
      <c r="AE40" s="1779">
        <f>OFFSET(AE40,0,-1)+1</f>
        <v>11</v>
      </c>
      <c r="AF40" s="1779">
        <f>OFFSET(AF40,0,-1)+1</f>
        <v>12</v>
      </c>
      <c r="AG40" s="2439">
        <f>OFFSET(AG40,0,-1)+1</f>
        <v>13</v>
      </c>
      <c r="AH40" s="2439"/>
      <c r="AI40" s="1779">
        <f>OFFSET(AI40,0,-2)+1</f>
        <v>14</v>
      </c>
      <c r="AJ40" s="1523">
        <f>OFFSET(AJ40,0,-1)</f>
        <v>14</v>
      </c>
      <c r="AK40" s="1779">
        <f>OFFSET(AK40,0,-1)+1</f>
        <v>15</v>
      </c>
      <c r="AL40" s="748"/>
      <c r="AM40" s="748"/>
      <c r="AN40" s="748"/>
      <c r="AO40" s="748"/>
      <c r="AP40" s="748"/>
    </row>
    <row customHeight="1" ht="23.25">
      <c r="A41" s="1659" t="s">
        <v>328</v>
      </c>
      <c r="B41" s="1659"/>
      <c r="C41" s="1659"/>
      <c r="D41" s="1659"/>
      <c r="E41" s="2424">
        <v>1</v>
      </c>
      <c r="F41" s="1659"/>
      <c r="G41" s="1659"/>
      <c r="H41" s="1659"/>
      <c r="I41" s="1659"/>
      <c r="J41" s="1659"/>
      <c r="K41" s="1659"/>
      <c r="L41" s="1660"/>
      <c r="M41" s="1661"/>
      <c r="N41" s="1661"/>
      <c r="O41" s="1661"/>
      <c r="P41" s="582"/>
      <c r="Q41" s="581"/>
      <c r="R41" s="576"/>
      <c r="S41" s="1790">
        <f>INDEX(PT_DIFFERENTIATION_NUM_NTAR,MATCH(A41,PT_DIFFERENTIATION_NTAR_ID,0))</f>
        <v>0</v>
      </c>
      <c r="T41" s="508" t="s">
        <v>200</v>
      </c>
      <c r="U41" s="510"/>
      <c r="V41" s="4037"/>
      <c r="W41" s="4038"/>
      <c r="X41" s="4038"/>
      <c r="Y41" s="4038"/>
      <c r="Z41" s="4038"/>
      <c r="AA41" s="4038"/>
      <c r="AB41" s="4039"/>
      <c r="AC41" s="4037" t="str">
        <f>INDEX(PT_DIFFERENTIATION_NTAR,MATCH(A41,PT_DIFFERENTIATION_NTAR_ID,0))</f>
        <v/>
      </c>
      <c r="AD41" s="4038"/>
      <c r="AE41" s="4038"/>
      <c r="AF41" s="4038"/>
      <c r="AG41" s="4038"/>
      <c r="AH41" s="4038"/>
      <c r="AI41" s="4038"/>
      <c r="AJ41" s="4039"/>
      <c r="AK41" s="1546"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737"/>
      <c r="AN41" s="737" t="str">
        <f>IF(T41="","",T41)</f>
        <v>Наименование тарифа</v>
      </c>
      <c r="AO41" s="737"/>
      <c r="AP41" s="737"/>
    </row>
    <row customHeight="1" ht="23.25">
      <c r="A42" s="1659" t="s">
        <v>328</v>
      </c>
      <c r="B42" s="1659" t="s">
        <v>329</v>
      </c>
      <c r="C42" s="1659"/>
      <c r="D42" s="1659"/>
      <c r="E42" s="2425"/>
      <c r="F42" s="2424">
        <v>1</v>
      </c>
      <c r="G42" s="1659"/>
      <c r="H42" s="1659"/>
      <c r="I42" s="1659"/>
      <c r="J42" s="1659"/>
      <c r="K42" s="1659"/>
      <c r="L42" s="1660"/>
      <c r="M42" s="1661"/>
      <c r="N42" s="1661"/>
      <c r="O42" s="1661"/>
      <c r="P42" s="1784"/>
      <c r="Q42" s="573"/>
      <c r="R42" s="574"/>
      <c r="S42" s="1790" t="str">
        <f>INDEX(PT_DIFFERENTIATION_NUM_TER,MATCH(B42,PT_DIFFERENTIATION_TER_ID,0))</f>
        <v>.</v>
      </c>
      <c r="T42" s="520" t="s">
        <v>1517</v>
      </c>
      <c r="U42" s="510"/>
      <c r="V42" s="4037"/>
      <c r="W42" s="4038"/>
      <c r="X42" s="4038"/>
      <c r="Y42" s="4038"/>
      <c r="Z42" s="4038"/>
      <c r="AA42" s="4038"/>
      <c r="AB42" s="4039"/>
      <c r="AC42" s="4037" t="str">
        <f>INDEX(PT_DIFFERENTIATION_TER,MATCH(B42,PT_DIFFERENTIATION_TER_ID,0))</f>
        <v/>
      </c>
      <c r="AD42" s="4038"/>
      <c r="AE42" s="4038"/>
      <c r="AF42" s="4038"/>
      <c r="AG42" s="4038"/>
      <c r="AH42" s="4038"/>
      <c r="AI42" s="4038"/>
      <c r="AJ42" s="4039"/>
      <c r="AK42" s="1546" t="s">
        <v>1518</v>
      </c>
      <c r="AM42" s="737"/>
      <c r="AN42" s="737" t="str">
        <f>IF(T42="","",T42)</f>
        <v>Территория действия тарифа</v>
      </c>
      <c r="AO42" s="737"/>
      <c r="AP42" s="737"/>
    </row>
    <row customHeight="1" ht="23.25">
      <c r="A43" s="1659" t="s">
        <v>328</v>
      </c>
      <c r="B43" s="1659" t="s">
        <v>329</v>
      </c>
      <c r="C43" s="1659" t="s">
        <v>330</v>
      </c>
      <c r="D43" s="1659"/>
      <c r="E43" s="2425"/>
      <c r="F43" s="2425"/>
      <c r="G43" s="2424">
        <v>1</v>
      </c>
      <c r="H43" s="1659"/>
      <c r="I43" s="1659"/>
      <c r="J43" s="1659"/>
      <c r="K43" s="1659"/>
      <c r="L43" s="1660"/>
      <c r="M43" s="1661"/>
      <c r="N43" s="1661"/>
      <c r="O43" s="1661"/>
      <c r="P43" s="575"/>
      <c r="Q43" s="573"/>
      <c r="R43" s="574"/>
      <c r="S43" s="1790" t="str">
        <f>INDEX(PT_DIFFERENTIATION_NUM_CS,MATCH(C43,PT_DIFFERENTIATION_CS_ID,0))</f>
        <v>..</v>
      </c>
      <c r="T43" s="521" t="s">
        <v>2143</v>
      </c>
      <c r="U43" s="510"/>
      <c r="V43" s="4037"/>
      <c r="W43" s="4038"/>
      <c r="X43" s="4038"/>
      <c r="Y43" s="4038"/>
      <c r="Z43" s="4038"/>
      <c r="AA43" s="4038"/>
      <c r="AB43" s="4039"/>
      <c r="AC43" s="4037" t="str">
        <f>INDEX(PT_DIFFERENTIATION_CS,MATCH(C43,PT_DIFFERENTIATION_CS_ID,0))</f>
        <v/>
      </c>
      <c r="AD43" s="4038"/>
      <c r="AE43" s="4038"/>
      <c r="AF43" s="4038"/>
      <c r="AG43" s="4038"/>
      <c r="AH43" s="4038"/>
      <c r="AI43" s="4038"/>
      <c r="AJ43" s="4039"/>
      <c r="AK43" s="1546" t="s">
        <v>2144</v>
      </c>
      <c r="AM43" s="737"/>
      <c r="AN43" s="737" t="str">
        <f>IF(T43="","",T43)</f>
        <v>Наименование централизованной системы водоотведения</v>
      </c>
      <c r="AO43" s="737"/>
      <c r="AP43" s="737"/>
    </row>
    <row customHeight="1" ht="23.25">
      <c r="A44" s="1659" t="s">
        <v>328</v>
      </c>
      <c r="B44" s="1659" t="s">
        <v>329</v>
      </c>
      <c r="C44" s="1659" t="s">
        <v>330</v>
      </c>
      <c r="D44" s="1659" t="s">
        <v>2147</v>
      </c>
      <c r="E44" s="2425"/>
      <c r="F44" s="2425"/>
      <c r="G44" s="2425"/>
      <c r="H44" s="2425"/>
      <c r="I44" s="2453" t="str">
        <f>S43&amp;".1"</f>
        <v>...1</v>
      </c>
      <c r="J44" s="1659"/>
      <c r="K44" s="1659"/>
      <c r="L44" s="1660"/>
      <c r="P44" s="2423">
        <v>1</v>
      </c>
      <c r="Q44" s="1778"/>
      <c r="R44" s="577"/>
      <c r="S44" s="1790" t="str">
        <f>$I44</f>
        <v>...1</v>
      </c>
      <c r="T44" s="495" t="s">
        <v>1734</v>
      </c>
      <c r="U44" s="510"/>
      <c r="V44" s="2574"/>
      <c r="W44" s="2575"/>
      <c r="X44" s="2575"/>
      <c r="Y44" s="2575"/>
      <c r="Z44" s="2575"/>
      <c r="AA44" s="2575"/>
      <c r="AB44" s="2576"/>
      <c r="AC44" s="2577"/>
      <c r="AD44" s="2578"/>
      <c r="AE44" s="2578"/>
      <c r="AF44" s="2578"/>
      <c r="AG44" s="2578"/>
      <c r="AH44" s="2578"/>
      <c r="AI44" s="2578"/>
      <c r="AJ44" s="2579"/>
      <c r="AK44" s="1546" t="s">
        <v>1735</v>
      </c>
      <c r="AM44" s="737"/>
      <c r="AN44" s="737" t="str">
        <f>IF(T44="","",T44)</f>
        <v>Наименование признака дифференциации</v>
      </c>
      <c r="AO44" s="737"/>
      <c r="AP44" s="737"/>
    </row>
    <row customHeight="1" ht="23.25">
      <c r="A45" s="1659" t="s">
        <v>328</v>
      </c>
      <c r="B45" s="1659" t="s">
        <v>329</v>
      </c>
      <c r="C45" s="1659" t="s">
        <v>330</v>
      </c>
      <c r="D45" s="1659" t="s">
        <v>2147</v>
      </c>
      <c r="E45" s="2425"/>
      <c r="F45" s="2425"/>
      <c r="G45" s="2425"/>
      <c r="H45" s="2425"/>
      <c r="I45" s="2454"/>
      <c r="J45" s="2422" t="str">
        <f>I44&amp;".1"</f>
        <v>...1.1</v>
      </c>
      <c r="K45" s="1659"/>
      <c r="L45" s="1660" t="s">
        <v>1526</v>
      </c>
      <c r="P45" s="2423"/>
      <c r="Q45" s="2423">
        <v>1</v>
      </c>
      <c r="R45" s="578"/>
      <c r="S45" s="1790" t="str">
        <f>$J45</f>
        <v>...1.1</v>
      </c>
      <c r="T45" s="496" t="s">
        <v>1527</v>
      </c>
      <c r="U45" s="510"/>
      <c r="V45" s="2411"/>
      <c r="W45" s="2412"/>
      <c r="X45" s="2412"/>
      <c r="Y45" s="2412"/>
      <c r="Z45" s="2412"/>
      <c r="AA45" s="2412"/>
      <c r="AB45" s="2413"/>
      <c r="AC45" s="2411"/>
      <c r="AD45" s="2412"/>
      <c r="AE45" s="2412"/>
      <c r="AF45" s="2412"/>
      <c r="AG45" s="2412"/>
      <c r="AH45" s="2412"/>
      <c r="AI45" s="2412"/>
      <c r="AJ45" s="2413"/>
      <c r="AK45" s="1602" t="s">
        <v>1736</v>
      </c>
      <c r="AM45" s="737"/>
      <c r="AN45" s="737" t="str">
        <f>IF(T45="","",T45)</f>
        <v>Группа потребителей</v>
      </c>
      <c r="AO45" s="737"/>
      <c r="AP45" s="737"/>
    </row>
    <row customHeight="1" ht="23.25">
      <c r="A46" s="1659" t="s">
        <v>328</v>
      </c>
      <c r="B46" s="1659" t="s">
        <v>329</v>
      </c>
      <c r="C46" s="1659" t="s">
        <v>330</v>
      </c>
      <c r="D46" s="1659" t="s">
        <v>2147</v>
      </c>
      <c r="E46" s="2425"/>
      <c r="F46" s="2425"/>
      <c r="G46" s="2425"/>
      <c r="H46" s="2425"/>
      <c r="I46" s="2454"/>
      <c r="J46" s="2455"/>
      <c r="K46" s="2422" t="str">
        <f>J45&amp;".1"</f>
        <v>...1.1.1</v>
      </c>
      <c r="L46" s="1660"/>
      <c r="P46" s="2423"/>
      <c r="Q46" s="2423"/>
      <c r="R46" s="578">
        <v>1</v>
      </c>
      <c r="S46" s="1790" t="str">
        <f>$K46</f>
        <v>...1.1.1</v>
      </c>
      <c r="T46" s="1734"/>
      <c r="U46" s="510"/>
      <c r="V46" s="4098"/>
      <c r="W46" s="4098"/>
      <c r="X46" s="4099"/>
      <c r="Y46" s="2432"/>
      <c r="Z46" s="2433" t="s">
        <v>67</v>
      </c>
      <c r="AA46" s="2432"/>
      <c r="AB46" s="2433" t="s">
        <v>67</v>
      </c>
      <c r="AC46" s="4065"/>
      <c r="AD46" s="4065"/>
      <c r="AE46" s="4067"/>
      <c r="AF46" s="2430"/>
      <c r="AG46" s="2142" t="s">
        <v>67</v>
      </c>
      <c r="AH46" s="2456"/>
      <c r="AI46" s="2142" t="s">
        <v>57</v>
      </c>
      <c r="AJ46" s="4569"/>
      <c r="AK46" s="257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748">
        <f>STRCHECKDATE(V47:AJ47)</f>
      </c>
      <c r="AM46" s="737"/>
      <c r="AN46" s="737" t="str">
        <f>IF(T46="","",T46)</f>
        <v/>
      </c>
      <c r="AO46" s="737"/>
      <c r="AP46" s="737"/>
    </row>
    <row customHeight="1" ht="0">
      <c r="A47" s="1659" t="s">
        <v>328</v>
      </c>
      <c r="B47" s="1659" t="s">
        <v>329</v>
      </c>
      <c r="C47" s="1659" t="s">
        <v>330</v>
      </c>
      <c r="D47" s="1659" t="s">
        <v>2147</v>
      </c>
      <c r="E47" s="2425"/>
      <c r="F47" s="2425"/>
      <c r="G47" s="2425"/>
      <c r="H47" s="2425"/>
      <c r="I47" s="2454"/>
      <c r="J47" s="2455"/>
      <c r="K47" s="2422"/>
      <c r="L47" s="1660"/>
      <c r="P47" s="2423"/>
      <c r="Q47" s="2423"/>
      <c r="R47" s="578"/>
      <c r="S47" s="1787"/>
      <c r="T47" s="510"/>
      <c r="U47" s="510"/>
      <c r="V47" s="4098"/>
      <c r="W47" s="4098"/>
      <c r="X47" s="4071" t="str">
        <f>Y46&amp;"-"&amp;AA46</f>
        <v>-</v>
      </c>
      <c r="Y47" s="2433"/>
      <c r="Z47" s="2433"/>
      <c r="AA47" s="2433"/>
      <c r="AB47" s="2433"/>
      <c r="AC47" s="4066"/>
      <c r="AD47" s="4066"/>
      <c r="AE47" s="4071" t="str">
        <f>AF46&amp;"-"&amp;AH46</f>
        <v>-</v>
      </c>
      <c r="AF47" s="2431"/>
      <c r="AG47" s="2142"/>
      <c r="AH47" s="2457"/>
      <c r="AI47" s="2142"/>
      <c r="AJ47" s="4572"/>
      <c r="AK47" s="2573"/>
      <c r="AM47" s="737"/>
      <c r="AN47" s="737" t="str">
        <f>IF(T47="","",T47)</f>
        <v/>
      </c>
      <c r="AO47" s="737"/>
      <c r="AP47" s="737"/>
    </row>
    <row customHeight="1" ht="21">
      <c r="A48" s="1659" t="s">
        <v>328</v>
      </c>
      <c r="B48" s="1659" t="s">
        <v>329</v>
      </c>
      <c r="C48" s="1659" t="s">
        <v>330</v>
      </c>
      <c r="D48" s="1659" t="s">
        <v>2147</v>
      </c>
      <c r="E48" s="2425"/>
      <c r="F48" s="2425"/>
      <c r="G48" s="2425"/>
      <c r="H48" s="2425"/>
      <c r="I48" s="2454"/>
      <c r="J48" s="2422"/>
      <c r="K48" s="1659"/>
      <c r="L48" s="1660"/>
      <c r="P48" s="2423"/>
      <c r="Q48" s="2423"/>
      <c r="R48" s="577"/>
      <c r="S48" s="1568"/>
      <c r="T48" s="497" t="s">
        <v>1737</v>
      </c>
      <c r="U48" s="592"/>
      <c r="V48" s="592"/>
      <c r="W48" s="592"/>
      <c r="X48" s="592"/>
      <c r="Y48" s="592"/>
      <c r="Z48" s="592"/>
      <c r="AA48" s="592"/>
      <c r="AB48" s="592"/>
      <c r="AC48" s="592"/>
      <c r="AD48" s="592"/>
      <c r="AE48" s="592"/>
      <c r="AF48" s="592"/>
      <c r="AG48" s="592"/>
      <c r="AH48" s="592"/>
      <c r="AI48" s="592"/>
      <c r="AJ48" s="592"/>
      <c r="AK48" s="1546" t="s">
        <v>1738</v>
      </c>
      <c r="AM48" s="737"/>
      <c r="AN48" s="737" t="str">
        <f>IF(T48="","",T48)</f>
        <v>Добавить значение признака дифференциации</v>
      </c>
      <c r="AO48" s="737"/>
      <c r="AP48" s="737"/>
    </row>
    <row customHeight="1" ht="21">
      <c r="A49" s="1659" t="s">
        <v>328</v>
      </c>
      <c r="B49" s="1659" t="s">
        <v>329</v>
      </c>
      <c r="C49" s="1659" t="s">
        <v>330</v>
      </c>
      <c r="D49" s="1659" t="s">
        <v>2147</v>
      </c>
      <c r="E49" s="2425"/>
      <c r="F49" s="2425"/>
      <c r="G49" s="2425"/>
      <c r="H49" s="2425"/>
      <c r="I49" s="2453"/>
      <c r="J49" s="1659"/>
      <c r="K49" s="1659"/>
      <c r="L49" s="1660"/>
      <c r="P49" s="2423"/>
      <c r="Q49" s="1778"/>
      <c r="R49" s="577"/>
      <c r="S49" s="1568"/>
      <c r="T49" s="589" t="s">
        <v>1532</v>
      </c>
      <c r="U49" s="592"/>
      <c r="V49" s="592"/>
      <c r="W49" s="592"/>
      <c r="X49" s="592"/>
      <c r="Y49" s="592"/>
      <c r="Z49" s="592"/>
      <c r="AA49" s="592"/>
      <c r="AB49" s="591"/>
      <c r="AC49" s="592"/>
      <c r="AD49" s="592"/>
      <c r="AE49" s="592"/>
      <c r="AF49" s="592"/>
      <c r="AG49" s="592"/>
      <c r="AH49" s="592"/>
      <c r="AI49" s="591"/>
      <c r="AJ49" s="592"/>
      <c r="AK49" s="1737"/>
      <c r="AM49" s="737"/>
      <c r="AN49" s="737" t="str">
        <f>IF(T49="","",T49)</f>
        <v>Добавить группу потребителей</v>
      </c>
      <c r="AO49" s="737"/>
      <c r="AP49" s="737"/>
    </row>
    <row customHeight="1" ht="21">
      <c r="A50" s="1659" t="s">
        <v>328</v>
      </c>
      <c r="B50" s="1659" t="s">
        <v>329</v>
      </c>
      <c r="C50" s="1659" t="s">
        <v>330</v>
      </c>
      <c r="D50" s="1659" t="s">
        <v>2147</v>
      </c>
      <c r="E50" s="2425"/>
      <c r="F50" s="2425"/>
      <c r="G50" s="2425"/>
      <c r="H50" s="2424"/>
      <c r="I50" s="1659"/>
      <c r="J50" s="1659"/>
      <c r="K50" s="1659"/>
      <c r="L50" s="1660"/>
      <c r="M50" s="1661"/>
      <c r="N50" s="1661"/>
      <c r="O50" s="774"/>
      <c r="P50" s="581"/>
      <c r="Q50" s="601"/>
      <c r="R50" s="576"/>
      <c r="S50" s="1568"/>
      <c r="T50" s="597" t="s">
        <v>1739</v>
      </c>
      <c r="U50" s="592"/>
      <c r="V50" s="592"/>
      <c r="W50" s="592"/>
      <c r="X50" s="592"/>
      <c r="Y50" s="592"/>
      <c r="Z50" s="592"/>
      <c r="AA50" s="592"/>
      <c r="AB50" s="591"/>
      <c r="AC50" s="592"/>
      <c r="AD50" s="592"/>
      <c r="AE50" s="592"/>
      <c r="AF50" s="592"/>
      <c r="AG50" s="592"/>
      <c r="AH50" s="592"/>
      <c r="AI50" s="591"/>
      <c r="AJ50" s="592"/>
      <c r="AK50" s="513"/>
      <c r="AM50" s="737"/>
      <c r="AN50" s="737" t="str">
        <f>IF(T50="","",T50)</f>
        <v>Добавить наименование признака дифференциации</v>
      </c>
      <c r="AO50" s="737"/>
      <c r="AP50" s="737"/>
    </row>
    <row s="10863" customFormat="1" customHeight="1" ht="0.75">
      <c r="A51" s="1638" t="s">
        <v>328</v>
      </c>
      <c r="B51" s="1638" t="s">
        <v>329</v>
      </c>
      <c r="C51" s="1609"/>
      <c r="D51" s="1609"/>
      <c r="E51" s="2425"/>
      <c r="F51" s="2424"/>
      <c r="G51" s="1609"/>
      <c r="H51" s="1609"/>
      <c r="I51" s="1609"/>
      <c r="J51" s="1609"/>
      <c r="K51" s="1609"/>
      <c r="L51" s="1791"/>
      <c r="M51" s="1616"/>
      <c r="N51" s="1616"/>
      <c r="P51" s="1611"/>
      <c r="Q51" s="1612"/>
      <c r="R51" s="1611"/>
      <c r="S51" s="1617"/>
      <c r="T51" s="1620" t="s">
        <v>1493</v>
      </c>
      <c r="U51" s="1619"/>
      <c r="V51" s="1619"/>
      <c r="W51" s="1619"/>
      <c r="X51" s="1619"/>
      <c r="Y51" s="1619"/>
      <c r="Z51" s="1619"/>
      <c r="AA51" s="1619"/>
      <c r="AB51" s="1619"/>
      <c r="AC51" s="1619"/>
      <c r="AD51" s="1619"/>
      <c r="AE51" s="1619"/>
      <c r="AF51" s="1619"/>
      <c r="AG51" s="1619"/>
      <c r="AH51" s="1619"/>
      <c r="AI51" s="1619"/>
      <c r="AJ51" s="1619"/>
      <c r="AK51" s="1619"/>
      <c r="AM51" s="1029"/>
      <c r="AN51" s="1029" t="str">
        <f>IF(T51="","",T51)</f>
        <v>Добавить централизованную систему для дифференциации</v>
      </c>
      <c r="AO51" s="1029"/>
      <c r="AP51" s="1029"/>
    </row>
    <row s="10863" customFormat="1" customHeight="1" ht="0.75">
      <c r="A52" s="1638" t="s">
        <v>328</v>
      </c>
      <c r="B52" s="1638"/>
      <c r="C52" s="1638"/>
      <c r="D52" s="1638"/>
      <c r="E52" s="2424"/>
      <c r="F52" s="1638"/>
      <c r="G52" s="1638"/>
      <c r="H52" s="1638"/>
      <c r="I52" s="1638"/>
      <c r="J52" s="1638"/>
      <c r="K52" s="1638"/>
      <c r="L52" s="1641"/>
      <c r="M52" s="1616"/>
      <c r="N52" s="1616"/>
      <c r="O52" s="755"/>
      <c r="P52" s="610"/>
      <c r="Q52" s="1639"/>
      <c r="R52" s="610"/>
      <c r="S52" s="1617"/>
      <c r="T52" s="1620" t="s">
        <v>1494</v>
      </c>
      <c r="U52" s="1619"/>
      <c r="V52" s="1619"/>
      <c r="W52" s="1619"/>
      <c r="X52" s="1619"/>
      <c r="Y52" s="1619"/>
      <c r="Z52" s="1619"/>
      <c r="AA52" s="1619"/>
      <c r="AB52" s="1619"/>
      <c r="AC52" s="1619"/>
      <c r="AD52" s="1619"/>
      <c r="AE52" s="1619"/>
      <c r="AF52" s="1619"/>
      <c r="AG52" s="1619"/>
      <c r="AH52" s="1619"/>
      <c r="AI52" s="1619"/>
      <c r="AJ52" s="1619"/>
      <c r="AK52" s="1619"/>
      <c r="AM52" s="737"/>
      <c r="AN52" s="737" t="str">
        <f>IF(T52="","",T52)</f>
        <v>Добавить территорию для дифференциации</v>
      </c>
      <c r="AO52" s="737"/>
      <c r="AP52" s="737"/>
    </row>
    <row s="10863" customFormat="1" customHeight="1" ht="0.75">
      <c r="A53" s="1609"/>
      <c r="B53" s="1609"/>
      <c r="C53" s="1609"/>
      <c r="D53" s="1609"/>
      <c r="E53" s="1638"/>
      <c r="F53" s="1609"/>
      <c r="G53" s="1609"/>
      <c r="H53" s="1609"/>
      <c r="I53" s="1609"/>
      <c r="J53" s="1609"/>
      <c r="K53" s="1609"/>
      <c r="L53" s="1791"/>
      <c r="M53" s="1616"/>
      <c r="N53" s="1616"/>
      <c r="P53" s="1611"/>
      <c r="Q53" s="1612"/>
      <c r="R53" s="1611"/>
      <c r="S53" s="1617"/>
      <c r="T53" s="1620" t="s">
        <v>1495</v>
      </c>
      <c r="U53" s="1619"/>
      <c r="V53" s="1619"/>
      <c r="W53" s="1619"/>
      <c r="X53" s="1619"/>
      <c r="Y53" s="1619"/>
      <c r="Z53" s="1619"/>
      <c r="AA53" s="1619"/>
      <c r="AB53" s="1619"/>
      <c r="AC53" s="1619"/>
      <c r="AD53" s="1619"/>
      <c r="AE53" s="1619"/>
      <c r="AF53" s="1619"/>
      <c r="AG53" s="1619"/>
      <c r="AH53" s="1619"/>
      <c r="AI53" s="1619"/>
      <c r="AJ53" s="1619"/>
      <c r="AK53" s="1619"/>
      <c r="AM53" s="1029"/>
      <c r="AN53" s="1029" t="str">
        <f>IF(T53="","",T53)</f>
        <v>Добавить наименование тарифа</v>
      </c>
      <c r="AO53" s="1029"/>
      <c r="AP53" s="1029"/>
    </row>
    <row customHeight="1" ht="11.25">
      <c r="M54" s="1421"/>
      <c r="N54" s="1421"/>
      <c r="O54" s="774"/>
      <c r="P54" s="1416"/>
      <c r="Q54" s="1416"/>
      <c r="R54" s="1416"/>
      <c r="S54" s="1416"/>
      <c r="AL54" s="1416"/>
      <c r="AM54" s="1416"/>
      <c r="AN54" s="1416"/>
      <c r="AO54" s="1416"/>
      <c r="AP54" s="1416"/>
    </row>
    <row customHeight="1" ht="14.25">
      <c r="O55" s="774"/>
      <c r="S55" s="1533" t="s">
        <v>1565</v>
      </c>
      <c r="T55" s="2452" t="s">
        <v>2148</v>
      </c>
      <c r="U55" s="2452"/>
      <c r="V55" s="2452"/>
      <c r="W55" s="2452"/>
      <c r="X55" s="2452"/>
      <c r="Y55" s="2452"/>
      <c r="Z55" s="2452"/>
      <c r="AA55" s="2452"/>
      <c r="AB55" s="2452"/>
      <c r="AC55" s="2452"/>
      <c r="AD55" s="2452"/>
      <c r="AE55" s="2452"/>
      <c r="AF55" s="2452"/>
      <c r="AG55" s="2452"/>
      <c r="AH55" s="2452"/>
      <c r="AI55" s="2452"/>
      <c r="AJ55" s="2452"/>
      <c r="AK55" s="2452"/>
    </row>
    <row customHeight="1" ht="14.25">
      <c r="O56" s="774"/>
    </row>
    <row customHeight="1" ht="14.25">
      <c r="O57" s="774"/>
      <c r="S57" s="1533" t="s">
        <v>1565</v>
      </c>
      <c r="T57" s="2452" t="s">
        <v>2149</v>
      </c>
      <c r="U57" s="2452"/>
      <c r="V57" s="2452"/>
      <c r="W57" s="2452"/>
      <c r="X57" s="2452"/>
      <c r="Y57" s="2452"/>
      <c r="Z57" s="2452"/>
      <c r="AA57" s="2452"/>
      <c r="AB57" s="2452"/>
      <c r="AC57" s="2452"/>
      <c r="AD57" s="2452"/>
      <c r="AE57" s="2452"/>
      <c r="AF57" s="2452"/>
      <c r="AG57" s="2452"/>
      <c r="AH57" s="2452"/>
      <c r="AI57" s="2452"/>
      <c r="AJ57" s="2452"/>
      <c r="AK57" s="2452"/>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8228784-ACAD-6FA6-96DD-D46ADB9622CF}" mc:Ignorable="x14ac xr xr2 xr3">
  <sheetPr>
    <tabColor theme="6" tint="0.4"/>
  </sheetPr>
  <dimension ref="A1:AP57"/>
  <sheetViews>
    <sheetView topLeftCell="P23" showGridLines="0" workbookViewId="0">
      <selection activeCell="A1" sqref="A1"/>
    </sheetView>
  </sheetViews>
  <sheetFormatPr defaultColWidth="10.57421875" customHeight="1" defaultRowHeight="14.25"/>
  <cols>
    <col min="1" max="1" style="11074" width="10.57421875" hidden="1"/>
    <col min="2" max="2" style="11074" width="11.00390625" hidden="1" customWidth="1"/>
    <col min="3" max="3" style="11074" width="10.57421875" hidden="1"/>
    <col min="4" max="4" style="11074" width="11.8515625" hidden="1" customWidth="1"/>
    <col min="5" max="5" style="11074" width="10.00390625" hidden="1" customWidth="1"/>
    <col min="6" max="6" style="11074" width="8.7109375" hidden="1" customWidth="1"/>
    <col min="7" max="7" style="11074" width="7.57421875" hidden="1" customWidth="1"/>
    <col min="8" max="8" style="11074" width="11.421875" hidden="1" customWidth="1"/>
    <col min="9" max="9" style="11074" width="14.140625" hidden="1" customWidth="1"/>
    <col min="10" max="10" style="11074" width="9.8515625" hidden="1" customWidth="1"/>
    <col min="11" max="11" style="11074" width="14.7109375" hidden="1" customWidth="1"/>
    <col min="12" max="12" style="11240" width="19.140625" hidden="1" customWidth="1"/>
    <col min="13" max="14" style="9887" width="12.28125" hidden="1" customWidth="1"/>
    <col min="15" max="15" style="9887" width="23.421875" hidden="1" customWidth="1"/>
    <col min="16" max="16" style="11241" width="3.7109375" customWidth="1"/>
    <col min="17" max="18" style="10046" width="3.7109375" customWidth="1"/>
    <col min="19" max="19" style="11124" width="12.7109375" customWidth="1"/>
    <col min="20" max="20" style="11126" width="35.7109375" customWidth="1"/>
    <col min="21" max="21" style="11126" width="0.140625" customWidth="1"/>
    <col min="22" max="24" style="11126" width="24.7109375" hidden="1" customWidth="1"/>
    <col min="25" max="25" style="11126" width="11.7109375" hidden="1" customWidth="1"/>
    <col min="26" max="26" style="11126" width="3.7109375" hidden="1" customWidth="1"/>
    <col min="27" max="27" style="11126" width="11.7109375" hidden="1" customWidth="1"/>
    <col min="28" max="28" style="11126" width="8.57421875" hidden="1" customWidth="1"/>
    <col min="29" max="31" style="11126" width="24.7109375" customWidth="1"/>
    <col min="32" max="32" style="11126" width="11.7109375" customWidth="1"/>
    <col min="33" max="33" style="11126" width="3.7109375" customWidth="1"/>
    <col min="34" max="34" style="11126" width="11.7109375" customWidth="1"/>
    <col min="35" max="35" style="11126" width="8.57421875" hidden="1" customWidth="1"/>
    <col min="36" max="36" style="11126" width="4.7109375" customWidth="1"/>
    <col min="37" max="37" style="11126" width="115.7109375" customWidth="1"/>
    <col min="38" max="39" style="10863" width="10.57421875"/>
    <col min="40" max="40" style="10863" width="11.140625" customWidth="1"/>
    <col min="41" max="42" style="10863" width="10.57421875"/>
  </cols>
  <sheetData>
    <row customHeight="1" ht="14.25" hidden="1">
      <c r="X1" s="548"/>
      <c r="Y1" s="548"/>
      <c r="AE1" s="548"/>
      <c r="AF1" s="548"/>
    </row>
    <row customHeight="1" ht="23.25" hidden="1">
      <c r="A2" s="1659"/>
      <c r="B2" s="1659"/>
      <c r="C2" s="1659"/>
      <c r="D2" s="1659"/>
      <c r="E2" s="2424">
        <v>1</v>
      </c>
      <c r="F2" s="1659"/>
      <c r="G2" s="1659"/>
      <c r="H2" s="1659"/>
      <c r="I2" s="1659"/>
      <c r="J2" s="1659"/>
      <c r="K2" s="1659"/>
      <c r="L2" s="1660"/>
      <c r="M2" s="1661"/>
      <c r="N2" s="1661"/>
      <c r="O2" s="1661"/>
      <c r="P2" s="582"/>
      <c r="Q2" s="581"/>
      <c r="R2" s="576"/>
      <c r="S2" s="1790">
        <f>INDEX(PT_DIFFERENTIATION_NUM_NTAR,MATCH(A2,PT_DIFFERENTIATION_NTAR_ID,0))</f>
      </c>
      <c r="T2" s="508" t="s">
        <v>200</v>
      </c>
      <c r="U2" s="510"/>
      <c r="V2" s="4037"/>
      <c r="W2" s="4038"/>
      <c r="X2" s="4038"/>
      <c r="Y2" s="4038"/>
      <c r="Z2" s="4038"/>
      <c r="AA2" s="4038"/>
      <c r="AB2" s="4039"/>
      <c r="AC2" s="4037">
        <f>INDEX(PT_DIFFERENTIATION_NTAR,MATCH(A2,PT_DIFFERENTIATION_NTAR_ID,0))</f>
      </c>
      <c r="AD2" s="4038"/>
      <c r="AE2" s="4038"/>
      <c r="AF2" s="4038"/>
      <c r="AG2" s="4038"/>
      <c r="AH2" s="4038"/>
      <c r="AI2" s="4038"/>
      <c r="AJ2" s="4039"/>
      <c r="AK2" s="1546"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737"/>
      <c r="AN2" s="737" t="str">
        <f>IF(T2="","",T2)</f>
        <v>Наименование тарифа</v>
      </c>
      <c r="AO2" s="737"/>
      <c r="AP2" s="737"/>
    </row>
    <row customHeight="1" ht="23.25" hidden="1">
      <c r="A3" s="1659"/>
      <c r="B3" s="1659"/>
      <c r="C3" s="1659"/>
      <c r="D3" s="1659"/>
      <c r="E3" s="2425"/>
      <c r="F3" s="2424">
        <v>1</v>
      </c>
      <c r="G3" s="1659"/>
      <c r="H3" s="1659"/>
      <c r="I3" s="1659"/>
      <c r="J3" s="1659"/>
      <c r="K3" s="1659"/>
      <c r="L3" s="1660"/>
      <c r="M3" s="1661"/>
      <c r="N3" s="1661"/>
      <c r="O3" s="1661"/>
      <c r="P3" s="1784"/>
      <c r="Q3" s="573"/>
      <c r="R3" s="574"/>
      <c r="S3" s="1790">
        <f>INDEX(PT_DIFFERENTIATION_NUM_TER,MATCH(B3,PT_DIFFERENTIATION_TER_ID,0))</f>
      </c>
      <c r="T3" s="520" t="s">
        <v>1517</v>
      </c>
      <c r="U3" s="510"/>
      <c r="V3" s="4037"/>
      <c r="W3" s="4038"/>
      <c r="X3" s="4038"/>
      <c r="Y3" s="4038"/>
      <c r="Z3" s="4038"/>
      <c r="AA3" s="4038"/>
      <c r="AB3" s="4039"/>
      <c r="AC3" s="4037">
        <f>INDEX(PT_DIFFERENTIATION_TER,MATCH(B3,PT_DIFFERENTIATION_TER_ID,0))</f>
      </c>
      <c r="AD3" s="4038"/>
      <c r="AE3" s="4038"/>
      <c r="AF3" s="4038"/>
      <c r="AG3" s="4038"/>
      <c r="AH3" s="4038"/>
      <c r="AI3" s="4038"/>
      <c r="AJ3" s="4039"/>
      <c r="AK3" s="1546" t="s">
        <v>1518</v>
      </c>
      <c r="AM3" s="737"/>
      <c r="AN3" s="737" t="str">
        <f>IF(T3="","",T3)</f>
        <v>Территория действия тарифа</v>
      </c>
      <c r="AO3" s="737"/>
      <c r="AP3" s="737"/>
    </row>
    <row customHeight="1" ht="23.25" hidden="1">
      <c r="A4" s="1659"/>
      <c r="B4" s="1659"/>
      <c r="C4" s="1659"/>
      <c r="D4" s="1659"/>
      <c r="E4" s="2425"/>
      <c r="F4" s="2425"/>
      <c r="G4" s="2424">
        <v>1</v>
      </c>
      <c r="H4" s="1659"/>
      <c r="I4" s="1659"/>
      <c r="J4" s="1659"/>
      <c r="K4" s="1659"/>
      <c r="L4" s="1660"/>
      <c r="M4" s="1661"/>
      <c r="N4" s="1661"/>
      <c r="O4" s="1661"/>
      <c r="P4" s="575"/>
      <c r="Q4" s="573"/>
      <c r="R4" s="574"/>
      <c r="S4" s="1790">
        <f>INDEX(PT_DIFFERENTIATION_NUM_CS,MATCH(C4,PT_DIFFERENTIATION_CS_ID,0))</f>
      </c>
      <c r="T4" s="521" t="s">
        <v>2143</v>
      </c>
      <c r="U4" s="510"/>
      <c r="V4" s="4037"/>
      <c r="W4" s="4038"/>
      <c r="X4" s="4038"/>
      <c r="Y4" s="4038"/>
      <c r="Z4" s="4038"/>
      <c r="AA4" s="4038"/>
      <c r="AB4" s="4039"/>
      <c r="AC4" s="4037">
        <f>INDEX(PT_DIFFERENTIATION_CS,MATCH(C4,PT_DIFFERENTIATION_CS_ID,0))</f>
      </c>
      <c r="AD4" s="4038"/>
      <c r="AE4" s="4038"/>
      <c r="AF4" s="4038"/>
      <c r="AG4" s="4038"/>
      <c r="AH4" s="4038"/>
      <c r="AI4" s="4038"/>
      <c r="AJ4" s="4039"/>
      <c r="AK4" s="1546" t="s">
        <v>2144</v>
      </c>
      <c r="AM4" s="737"/>
      <c r="AN4" s="737" t="str">
        <f>IF(T4="","",T4)</f>
        <v>Наименование централизованной системы водоотведения</v>
      </c>
      <c r="AO4" s="737"/>
      <c r="AP4" s="737"/>
    </row>
    <row customHeight="1" ht="23.25" hidden="1">
      <c r="A5" s="1659"/>
      <c r="B5" s="1659"/>
      <c r="C5" s="1659"/>
      <c r="D5" s="1659"/>
      <c r="E5" s="2425"/>
      <c r="F5" s="2425"/>
      <c r="G5" s="2425"/>
      <c r="H5" s="2425"/>
      <c r="I5" s="2453">
        <f>S4&amp;".1"</f>
      </c>
      <c r="J5" s="1659"/>
      <c r="K5" s="1659"/>
      <c r="L5" s="1660"/>
      <c r="P5" s="2423">
        <v>1</v>
      </c>
      <c r="Q5" s="1778"/>
      <c r="R5" s="577"/>
      <c r="S5" s="1790">
        <f>$I5</f>
      </c>
      <c r="T5" s="495" t="s">
        <v>1734</v>
      </c>
      <c r="U5" s="510"/>
      <c r="V5" s="2574"/>
      <c r="W5" s="2575"/>
      <c r="X5" s="2575"/>
      <c r="Y5" s="2575"/>
      <c r="Z5" s="2575"/>
      <c r="AA5" s="2575"/>
      <c r="AB5" s="2576"/>
      <c r="AC5" s="2577"/>
      <c r="AD5" s="2578"/>
      <c r="AE5" s="2578"/>
      <c r="AF5" s="2578"/>
      <c r="AG5" s="2578"/>
      <c r="AH5" s="2578"/>
      <c r="AI5" s="2578"/>
      <c r="AJ5" s="2579"/>
      <c r="AK5" s="1546" t="s">
        <v>1735</v>
      </c>
      <c r="AM5" s="737"/>
      <c r="AN5" s="737" t="str">
        <f>IF(T5="","",T5)</f>
        <v>Наименование признака дифференциации</v>
      </c>
      <c r="AO5" s="737"/>
      <c r="AP5" s="737"/>
    </row>
    <row customHeight="1" ht="23.25" hidden="1">
      <c r="A6" s="1659"/>
      <c r="B6" s="1659"/>
      <c r="C6" s="1659"/>
      <c r="D6" s="1659"/>
      <c r="E6" s="2425"/>
      <c r="F6" s="2425"/>
      <c r="G6" s="2425"/>
      <c r="H6" s="2425"/>
      <c r="I6" s="2454"/>
      <c r="J6" s="2422">
        <f>I5&amp;".1"</f>
      </c>
      <c r="K6" s="1659"/>
      <c r="L6" s="1660" t="s">
        <v>1526</v>
      </c>
      <c r="P6" s="2423"/>
      <c r="Q6" s="2423">
        <v>1</v>
      </c>
      <c r="R6" s="578"/>
      <c r="S6" s="1790">
        <f>$J6</f>
      </c>
      <c r="T6" s="496" t="s">
        <v>1527</v>
      </c>
      <c r="U6" s="510"/>
      <c r="V6" s="2411"/>
      <c r="W6" s="2412"/>
      <c r="X6" s="2412"/>
      <c r="Y6" s="2412"/>
      <c r="Z6" s="2412"/>
      <c r="AA6" s="2412"/>
      <c r="AB6" s="2413"/>
      <c r="AC6" s="2411"/>
      <c r="AD6" s="2412"/>
      <c r="AE6" s="2412"/>
      <c r="AF6" s="2412"/>
      <c r="AG6" s="2412"/>
      <c r="AH6" s="2412"/>
      <c r="AI6" s="2412"/>
      <c r="AJ6" s="2413"/>
      <c r="AK6" s="1602" t="s">
        <v>1736</v>
      </c>
      <c r="AM6" s="737"/>
      <c r="AN6" s="737" t="str">
        <f>IF(T6="","",T6)</f>
        <v>Группа потребителей</v>
      </c>
      <c r="AO6" s="737"/>
      <c r="AP6" s="737"/>
    </row>
    <row customHeight="1" ht="23.25" hidden="1">
      <c r="A7" s="1659"/>
      <c r="B7" s="1659"/>
      <c r="C7" s="1659"/>
      <c r="D7" s="1659"/>
      <c r="E7" s="2425"/>
      <c r="F7" s="2425"/>
      <c r="G7" s="2425"/>
      <c r="H7" s="2425"/>
      <c r="I7" s="2454"/>
      <c r="J7" s="2455"/>
      <c r="K7" s="2422">
        <f>J6&amp;".1"</f>
      </c>
      <c r="L7" s="1660"/>
      <c r="P7" s="2423"/>
      <c r="Q7" s="2423"/>
      <c r="R7" s="578">
        <v>1</v>
      </c>
      <c r="S7" s="1790">
        <f>$K7</f>
      </c>
      <c r="T7" s="1734"/>
      <c r="U7" s="510"/>
      <c r="V7" s="4065"/>
      <c r="W7" s="4065"/>
      <c r="X7" s="4067"/>
      <c r="Y7" s="2430"/>
      <c r="Z7" s="2142" t="s">
        <v>67</v>
      </c>
      <c r="AA7" s="2430"/>
      <c r="AB7" s="2142" t="s">
        <v>67</v>
      </c>
      <c r="AC7" s="4065"/>
      <c r="AD7" s="4065"/>
      <c r="AE7" s="4067"/>
      <c r="AF7" s="2430"/>
      <c r="AG7" s="2142" t="s">
        <v>67</v>
      </c>
      <c r="AH7" s="2456"/>
      <c r="AI7" s="2142" t="s">
        <v>67</v>
      </c>
      <c r="AJ7" s="4569"/>
      <c r="AK7" s="257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748">
        <f>STRCHECKDATE(V8:AJ8)</f>
      </c>
      <c r="AM7" s="737"/>
      <c r="AN7" s="737" t="str">
        <f>IF(T7="","",T7)</f>
        <v/>
      </c>
      <c r="AO7" s="737"/>
      <c r="AP7" s="737"/>
    </row>
    <row customHeight="1" ht="0.75" hidden="1">
      <c r="A8" s="1659"/>
      <c r="B8" s="1659"/>
      <c r="C8" s="1659"/>
      <c r="D8" s="1659"/>
      <c r="E8" s="2425"/>
      <c r="F8" s="2425"/>
      <c r="G8" s="2425"/>
      <c r="H8" s="2425"/>
      <c r="I8" s="2454"/>
      <c r="J8" s="2455"/>
      <c r="K8" s="2422"/>
      <c r="L8" s="1660"/>
      <c r="P8" s="2423"/>
      <c r="Q8" s="2423"/>
      <c r="R8" s="578"/>
      <c r="S8" s="1787"/>
      <c r="T8" s="510"/>
      <c r="U8" s="510"/>
      <c r="V8" s="4066"/>
      <c r="W8" s="4066"/>
      <c r="X8" s="4071" t="str">
        <f>Y7&amp;"-"&amp;AA7</f>
        <v>-</v>
      </c>
      <c r="Y8" s="2431"/>
      <c r="Z8" s="2142"/>
      <c r="AA8" s="2431"/>
      <c r="AB8" s="2142"/>
      <c r="AC8" s="4066"/>
      <c r="AD8" s="4066"/>
      <c r="AE8" s="4071" t="str">
        <f>AF7&amp;"-"&amp;AH7</f>
        <v>-</v>
      </c>
      <c r="AF8" s="2431"/>
      <c r="AG8" s="2142"/>
      <c r="AH8" s="2457"/>
      <c r="AI8" s="2142"/>
      <c r="AJ8" s="4572"/>
      <c r="AK8" s="2573"/>
      <c r="AM8" s="737"/>
      <c r="AN8" s="737" t="str">
        <f>IF(T8="","",T8)</f>
        <v/>
      </c>
      <c r="AO8" s="737"/>
      <c r="AP8" s="737"/>
    </row>
    <row customHeight="1" ht="21" hidden="1">
      <c r="A9" s="1659"/>
      <c r="B9" s="1659"/>
      <c r="C9" s="1659"/>
      <c r="D9" s="1659"/>
      <c r="E9" s="2425"/>
      <c r="F9" s="2425"/>
      <c r="G9" s="2425"/>
      <c r="H9" s="2425"/>
      <c r="I9" s="2454"/>
      <c r="J9" s="2422"/>
      <c r="K9" s="1659"/>
      <c r="L9" s="1660"/>
      <c r="P9" s="2423"/>
      <c r="Q9" s="2423"/>
      <c r="R9" s="577"/>
      <c r="S9" s="1568"/>
      <c r="T9" s="497" t="s">
        <v>1737</v>
      </c>
      <c r="U9" s="592"/>
      <c r="V9" s="592"/>
      <c r="W9" s="592"/>
      <c r="X9" s="592"/>
      <c r="Y9" s="592"/>
      <c r="Z9" s="592"/>
      <c r="AA9" s="592"/>
      <c r="AB9" s="592"/>
      <c r="AC9" s="592"/>
      <c r="AD9" s="592"/>
      <c r="AE9" s="592"/>
      <c r="AF9" s="592"/>
      <c r="AG9" s="592"/>
      <c r="AH9" s="592"/>
      <c r="AI9" s="592"/>
      <c r="AJ9" s="592"/>
      <c r="AK9" s="1546" t="s">
        <v>1738</v>
      </c>
      <c r="AM9" s="737"/>
      <c r="AN9" s="737" t="str">
        <f>IF(T9="","",T9)</f>
        <v>Добавить значение признака дифференциации</v>
      </c>
      <c r="AO9" s="737"/>
      <c r="AP9" s="737"/>
    </row>
    <row customHeight="1" ht="21" hidden="1">
      <c r="A10" s="1659"/>
      <c r="B10" s="1659"/>
      <c r="C10" s="1659"/>
      <c r="D10" s="1659"/>
      <c r="E10" s="2425"/>
      <c r="F10" s="2425"/>
      <c r="G10" s="2425"/>
      <c r="H10" s="2425"/>
      <c r="I10" s="2453"/>
      <c r="J10" s="1659"/>
      <c r="K10" s="1659"/>
      <c r="L10" s="1660"/>
      <c r="P10" s="2423"/>
      <c r="Q10" s="1778"/>
      <c r="R10" s="577"/>
      <c r="S10" s="1568"/>
      <c r="T10" s="589" t="s">
        <v>1532</v>
      </c>
      <c r="U10" s="592"/>
      <c r="V10" s="592"/>
      <c r="W10" s="592"/>
      <c r="X10" s="592"/>
      <c r="Y10" s="592"/>
      <c r="Z10" s="592"/>
      <c r="AA10" s="592"/>
      <c r="AB10" s="591"/>
      <c r="AC10" s="592"/>
      <c r="AD10" s="592"/>
      <c r="AE10" s="592"/>
      <c r="AF10" s="592"/>
      <c r="AG10" s="592"/>
      <c r="AH10" s="592"/>
      <c r="AI10" s="591"/>
      <c r="AJ10" s="592"/>
      <c r="AK10" s="1737"/>
      <c r="AM10" s="737"/>
      <c r="AN10" s="737" t="str">
        <f>IF(T10="","",T10)</f>
        <v>Добавить группу потребителей</v>
      </c>
      <c r="AO10" s="737"/>
      <c r="AP10" s="737"/>
    </row>
    <row customHeight="1" ht="21" hidden="1">
      <c r="A11" s="1659"/>
      <c r="B11" s="1659"/>
      <c r="C11" s="1659"/>
      <c r="D11" s="1659"/>
      <c r="E11" s="2425"/>
      <c r="F11" s="2425"/>
      <c r="G11" s="2425"/>
      <c r="H11" s="2424"/>
      <c r="I11" s="1659"/>
      <c r="J11" s="1659"/>
      <c r="K11" s="1659"/>
      <c r="L11" s="1660"/>
      <c r="M11" s="1661"/>
      <c r="N11" s="1661"/>
      <c r="O11" s="774"/>
      <c r="P11" s="581"/>
      <c r="Q11" s="601"/>
      <c r="R11" s="576"/>
      <c r="S11" s="1568"/>
      <c r="T11" s="597" t="s">
        <v>1739</v>
      </c>
      <c r="U11" s="592"/>
      <c r="V11" s="592"/>
      <c r="W11" s="592"/>
      <c r="X11" s="592"/>
      <c r="Y11" s="592"/>
      <c r="Z11" s="592"/>
      <c r="AA11" s="592"/>
      <c r="AB11" s="591"/>
      <c r="AC11" s="592"/>
      <c r="AD11" s="592"/>
      <c r="AE11" s="592"/>
      <c r="AF11" s="592"/>
      <c r="AG11" s="592"/>
      <c r="AH11" s="592"/>
      <c r="AI11" s="591"/>
      <c r="AJ11" s="592"/>
      <c r="AK11" s="513"/>
      <c r="AM11" s="737"/>
      <c r="AN11" s="737" t="str">
        <f>IF(T11="","",T11)</f>
        <v>Добавить наименование признака дифференциации</v>
      </c>
      <c r="AO11" s="737"/>
      <c r="AP11" s="737"/>
    </row>
    <row s="10863" customFormat="1" customHeight="1" ht="0.75" hidden="1">
      <c r="A12" s="1638"/>
      <c r="B12" s="1638"/>
      <c r="C12" s="1609"/>
      <c r="D12" s="1609"/>
      <c r="E12" s="2425"/>
      <c r="F12" s="2424"/>
      <c r="G12" s="1609"/>
      <c r="H12" s="1609"/>
      <c r="I12" s="1609"/>
      <c r="J12" s="1609"/>
      <c r="K12" s="1609"/>
      <c r="L12" s="1791"/>
      <c r="M12" s="1616"/>
      <c r="N12" s="1616"/>
      <c r="P12" s="1611"/>
      <c r="Q12" s="1612"/>
      <c r="R12" s="1611"/>
      <c r="S12" s="1617"/>
      <c r="T12" s="1620" t="s">
        <v>1493</v>
      </c>
      <c r="U12" s="1619"/>
      <c r="V12" s="1619"/>
      <c r="W12" s="1619"/>
      <c r="X12" s="1619"/>
      <c r="Y12" s="1619"/>
      <c r="Z12" s="1619"/>
      <c r="AA12" s="1619"/>
      <c r="AB12" s="1619"/>
      <c r="AC12" s="1619"/>
      <c r="AD12" s="1619"/>
      <c r="AE12" s="1619"/>
      <c r="AF12" s="1619"/>
      <c r="AG12" s="1619"/>
      <c r="AH12" s="1619"/>
      <c r="AI12" s="1619"/>
      <c r="AJ12" s="1619"/>
      <c r="AK12" s="1619"/>
      <c r="AM12" s="1029"/>
      <c r="AN12" s="1029" t="str">
        <f>IF(T12="","",T12)</f>
        <v>Добавить централизованную систему для дифференциации</v>
      </c>
      <c r="AO12" s="1029"/>
      <c r="AP12" s="1029"/>
    </row>
    <row s="10863" customFormat="1" customHeight="1" ht="0.75" hidden="1">
      <c r="A13" s="1638"/>
      <c r="B13" s="1638"/>
      <c r="C13" s="1638"/>
      <c r="D13" s="1638"/>
      <c r="E13" s="2424"/>
      <c r="F13" s="1638"/>
      <c r="G13" s="1638"/>
      <c r="H13" s="1638"/>
      <c r="I13" s="1638"/>
      <c r="J13" s="1638"/>
      <c r="K13" s="1638"/>
      <c r="L13" s="1641"/>
      <c r="M13" s="1616"/>
      <c r="N13" s="1616"/>
      <c r="O13" s="755"/>
      <c r="P13" s="610"/>
      <c r="Q13" s="1639"/>
      <c r="R13" s="610"/>
      <c r="S13" s="1617"/>
      <c r="T13" s="1620" t="s">
        <v>1494</v>
      </c>
      <c r="U13" s="1619"/>
      <c r="V13" s="1619"/>
      <c r="W13" s="1619"/>
      <c r="X13" s="1619"/>
      <c r="Y13" s="1619"/>
      <c r="Z13" s="1619"/>
      <c r="AA13" s="1619"/>
      <c r="AB13" s="1619"/>
      <c r="AC13" s="1619"/>
      <c r="AD13" s="1619"/>
      <c r="AE13" s="1619"/>
      <c r="AF13" s="1619"/>
      <c r="AG13" s="1619"/>
      <c r="AH13" s="1619"/>
      <c r="AI13" s="1619"/>
      <c r="AJ13" s="1619"/>
      <c r="AK13" s="1619"/>
      <c r="AM13" s="737"/>
      <c r="AN13" s="737" t="str">
        <f>IF(T13="","",T13)</f>
        <v>Добавить территорию для дифференциации</v>
      </c>
      <c r="AO13" s="737"/>
      <c r="AP13" s="737"/>
    </row>
    <row customHeight="1" ht="14.25" hidden="1">
      <c r="AB14" s="548"/>
      <c r="AI14" s="548"/>
    </row>
    <row customHeight="1" ht="14.25" hidden="1">
      <c r="AC15" s="4098"/>
      <c r="AD15" s="4098"/>
      <c r="AE15" s="4099"/>
      <c r="AF15" s="2432"/>
      <c r="AG15" s="2433" t="s">
        <v>67</v>
      </c>
      <c r="AH15" s="2432"/>
      <c r="AI15" s="2433" t="s">
        <v>67</v>
      </c>
    </row>
    <row customHeight="1" ht="14.25" hidden="1">
      <c r="AC16" s="4098"/>
      <c r="AD16" s="4098"/>
      <c r="AE16" s="4071" t="str">
        <f>AF15&amp;"-"&amp;AH15</f>
        <v>-</v>
      </c>
      <c r="AF16" s="2433"/>
      <c r="AG16" s="2433"/>
      <c r="AH16" s="2433"/>
      <c r="AI16" s="2433"/>
    </row>
    <row customHeight="1" ht="14.25" hidden="1">
      <c r="AI17" s="548"/>
    </row>
    <row s="11074" customFormat="1" customHeight="1" ht="14.25" hidden="1">
      <c r="L18" s="1775"/>
      <c r="M18" s="1658"/>
      <c r="N18" s="1658"/>
      <c r="O18" s="1663" t="s">
        <v>1534</v>
      </c>
      <c r="P18" s="1658"/>
      <c r="Q18" s="1667"/>
      <c r="R18" s="1667"/>
      <c r="S18" s="967"/>
      <c r="Y18" s="1663"/>
      <c r="AA18" s="1663"/>
      <c r="AB18" s="1662"/>
      <c r="AF18" s="1663"/>
      <c r="AH18" s="1663"/>
      <c r="AI18" s="1662"/>
      <c r="AL18" s="748"/>
      <c r="AM18" s="748"/>
      <c r="AN18" s="748"/>
      <c r="AO18" s="748"/>
      <c r="AP18" s="748"/>
    </row>
    <row s="11074" customFormat="1" customHeight="1" ht="14.25" hidden="1">
      <c r="L19" s="1775"/>
      <c r="M19" s="1658"/>
      <c r="N19" s="1658"/>
      <c r="O19" s="1658"/>
      <c r="P19" s="1658"/>
      <c r="Q19" s="1667"/>
      <c r="R19" s="1667"/>
      <c r="S19" s="967"/>
      <c r="AB19" s="1662"/>
      <c r="AI19" s="1662"/>
      <c r="AL19" s="748"/>
      <c r="AM19" s="748"/>
      <c r="AN19" s="748"/>
      <c r="AO19" s="748"/>
      <c r="AP19" s="748"/>
    </row>
    <row s="11074" customFormat="1" customHeight="1" ht="12" hidden="1">
      <c r="L20" s="1775"/>
      <c r="M20" s="1658"/>
      <c r="N20" s="1658"/>
      <c r="O20" s="1660" t="s">
        <v>1535</v>
      </c>
      <c r="P20" s="1658"/>
      <c r="Q20" s="1739"/>
      <c r="R20" s="1739"/>
      <c r="S20" s="967"/>
      <c r="T20" s="1421" t="s">
        <v>1536</v>
      </c>
      <c r="Z20" s="393" t="s">
        <v>1537</v>
      </c>
      <c r="AB20" s="393" t="s">
        <v>1538</v>
      </c>
      <c r="AC20" s="1421" t="s">
        <v>1536</v>
      </c>
      <c r="AG20" s="393" t="s">
        <v>1539</v>
      </c>
      <c r="AI20" s="393" t="s">
        <v>1538</v>
      </c>
    </row>
    <row customHeight="1" ht="14.25" hidden="1">
      <c r="O21" s="1660"/>
    </row>
    <row customHeight="1" ht="14.25" hidden="1">
      <c r="O22" s="1660"/>
    </row>
    <row customHeight="1" ht="14.25">
      <c r="Q23" s="602"/>
      <c r="R23" s="602"/>
      <c r="S23" s="1565"/>
      <c r="T23" s="586"/>
      <c r="U23" s="586"/>
      <c r="V23" s="746"/>
      <c r="W23" s="746"/>
      <c r="X23" s="746"/>
      <c r="Y23" s="746"/>
      <c r="Z23" s="746"/>
      <c r="AA23" s="746"/>
      <c r="AB23" s="746"/>
      <c r="AC23" s="746"/>
      <c r="AD23" s="746"/>
      <c r="AE23" s="746"/>
      <c r="AF23" s="746"/>
      <c r="AG23" s="746"/>
      <c r="AH23" s="746"/>
      <c r="AI23" s="746"/>
    </row>
    <row customHeight="1" ht="32.25">
      <c r="Q24" s="602"/>
      <c r="R24" s="602"/>
      <c r="S24" s="2414" t="str">
        <f>IF(TEMPLATE_GROUP="P",PT_P_FORM_VOTV_4_NAME_FORM,PT_R_FORM_VOTV_16_NAME_FORM)</f>
        <v>Форма 16. Информация о предложении расчетной величины тарифов организации водоотведения об установлении тарифов в сфере водоотведения на очередной период регулирования &lt;1&gt;</v>
      </c>
      <c r="T24" s="2414"/>
      <c r="U24" s="2414"/>
      <c r="V24" s="2414"/>
      <c r="W24" s="2414"/>
      <c r="X24" s="2414"/>
      <c r="Y24" s="2414"/>
      <c r="Z24" s="2414"/>
      <c r="AA24" s="2414"/>
      <c r="AB24" s="2414"/>
      <c r="AC24" s="2414"/>
      <c r="AD24" s="2414"/>
      <c r="AE24" s="2414"/>
      <c r="AF24" s="2414"/>
      <c r="AG24" s="2414"/>
      <c r="AH24" s="2414"/>
      <c r="AI24" s="1521"/>
    </row>
    <row customHeight="1" ht="14.25">
      <c r="Q25" s="602"/>
      <c r="R25" s="602"/>
      <c r="S25" s="2415" t="str">
        <f>IF(org=0,"Не определено",org)</f>
        <v>ООО "СамРЭК-Тепло Жигулевск"</v>
      </c>
      <c r="T25" s="2415"/>
      <c r="U25" s="2415"/>
      <c r="V25" s="2415"/>
      <c r="W25" s="2415"/>
      <c r="X25" s="2415"/>
      <c r="Y25" s="2415"/>
      <c r="Z25" s="2415"/>
      <c r="AA25" s="2415"/>
      <c r="AB25" s="2415"/>
      <c r="AC25" s="2415"/>
      <c r="AD25" s="2415"/>
      <c r="AE25" s="2415"/>
      <c r="AF25" s="2415"/>
      <c r="AG25" s="2415"/>
      <c r="AH25" s="2415"/>
      <c r="AI25" s="1521"/>
    </row>
    <row customHeight="1" ht="14.25" hidden="1">
      <c r="Q26" s="602"/>
      <c r="R26" s="602"/>
      <c r="S26" s="1565"/>
      <c r="T26" s="586"/>
      <c r="U26" s="586"/>
      <c r="V26" s="541"/>
      <c r="W26" s="541"/>
      <c r="X26" s="541"/>
      <c r="Y26" s="541"/>
      <c r="Z26" s="541"/>
      <c r="AA26" s="541"/>
      <c r="AB26" s="541"/>
      <c r="AC26" s="541"/>
      <c r="AD26" s="541"/>
      <c r="AE26" s="541"/>
      <c r="AF26" s="541"/>
      <c r="AG26" s="541"/>
      <c r="AH26" s="541"/>
      <c r="AI26" s="541"/>
      <c r="AJ26" s="746"/>
    </row>
    <row s="10859" customFormat="1" customHeight="1" ht="25.5" hidden="1">
      <c r="A27" s="1664"/>
      <c r="B27" s="1664"/>
      <c r="C27" s="1664"/>
      <c r="D27" s="1664"/>
      <c r="E27" s="1664"/>
      <c r="F27" s="1664"/>
      <c r="G27" s="1664"/>
      <c r="H27" s="1664"/>
      <c r="I27" s="1664"/>
      <c r="J27" s="1664"/>
      <c r="K27" s="1664"/>
      <c r="L27" s="1665"/>
      <c r="M27" s="1664"/>
      <c r="N27" s="1664"/>
      <c r="O27" s="1664"/>
      <c r="S27" s="2416" t="s">
        <v>39</v>
      </c>
      <c r="T27" s="2416"/>
      <c r="U27" s="1668"/>
      <c r="V27" s="2417" t="str">
        <f>IF(TITLE_NAME_OR_PR_CHANGE="",IF(TITLE_NAME_OR_PR="","",TITLE_NAME_OR_PR),TITLE_NAME_OR_PR_CHANGE)</f>
        <v/>
      </c>
      <c r="W27" s="2417"/>
      <c r="X27" s="2417"/>
      <c r="Y27" s="2417"/>
      <c r="Z27" s="2417"/>
      <c r="AA27" s="2417"/>
      <c r="AB27" s="547"/>
      <c r="AC27" s="2417" t="str">
        <f>IF(TITLE_NAME_OR_PR_CHANGE="",IF(TITLE_NAME_OR_PR="","",TITLE_NAME_OR_PR),TITLE_NAME_OR_PR_CHANGE)</f>
        <v/>
      </c>
      <c r="AD27" s="2417"/>
      <c r="AE27" s="2417"/>
      <c r="AF27" s="2417"/>
      <c r="AG27" s="2417"/>
      <c r="AH27" s="2417"/>
      <c r="AI27" s="547"/>
      <c r="AJ27" s="547"/>
      <c r="AK27" s="490"/>
      <c r="AL27" s="593"/>
      <c r="AM27" s="593"/>
      <c r="AN27" s="593"/>
      <c r="AO27" s="593"/>
      <c r="AP27" s="593"/>
    </row>
    <row s="10859" customFormat="1" customHeight="1" ht="18.75" hidden="1">
      <c r="A28" s="1664"/>
      <c r="B28" s="1664"/>
      <c r="C28" s="1664"/>
      <c r="D28" s="1664"/>
      <c r="E28" s="1664"/>
      <c r="F28" s="1664"/>
      <c r="G28" s="1664"/>
      <c r="H28" s="1664"/>
      <c r="I28" s="1664"/>
      <c r="J28" s="1664"/>
      <c r="K28" s="1664"/>
      <c r="L28" s="1665"/>
      <c r="M28" s="1664"/>
      <c r="N28" s="1664"/>
      <c r="O28" s="1664"/>
      <c r="S28" s="2416" t="s">
        <v>1540</v>
      </c>
      <c r="T28" s="2416"/>
      <c r="U28" s="1668"/>
      <c r="V28" s="2417" t="str">
        <f>IF(TITLE_DATE_CHANGE_PERIOD="",IF(TITLE_DATE_PR="","",TITLE_DATE_PR),TITLE_DATE_CHANGE_PERIOD)</f>
        <v/>
      </c>
      <c r="W28" s="2417"/>
      <c r="X28" s="2417"/>
      <c r="Y28" s="2417"/>
      <c r="Z28" s="2417"/>
      <c r="AA28" s="2417"/>
      <c r="AB28" s="547"/>
      <c r="AC28" s="2417" t="str">
        <f>IF(TITLE_DATE_CHANGE_PERIOD="",IF(TITLE_DATE_PR="","",TITLE_DATE_PR),TITLE_DATE_CHANGE_PERIOD)</f>
        <v/>
      </c>
      <c r="AD28" s="2417"/>
      <c r="AE28" s="2417"/>
      <c r="AF28" s="2417"/>
      <c r="AG28" s="2417"/>
      <c r="AH28" s="2417"/>
      <c r="AI28" s="547"/>
      <c r="AJ28" s="547"/>
      <c r="AK28" s="490"/>
      <c r="AL28" s="593"/>
      <c r="AM28" s="593"/>
      <c r="AN28" s="593"/>
      <c r="AO28" s="593"/>
      <c r="AP28" s="593"/>
    </row>
    <row s="10859" customFormat="1" customHeight="1" ht="18.75" hidden="1">
      <c r="A29" s="1664"/>
      <c r="B29" s="1664"/>
      <c r="C29" s="1664"/>
      <c r="D29" s="1664"/>
      <c r="E29" s="1664"/>
      <c r="F29" s="1664"/>
      <c r="G29" s="1664"/>
      <c r="H29" s="1664"/>
      <c r="I29" s="1664"/>
      <c r="J29" s="1664"/>
      <c r="K29" s="1664"/>
      <c r="L29" s="1665"/>
      <c r="M29" s="1664"/>
      <c r="N29" s="1664"/>
      <c r="O29" s="1664"/>
      <c r="S29" s="2416" t="s">
        <v>1541</v>
      </c>
      <c r="T29" s="2416"/>
      <c r="U29" s="1668"/>
      <c r="V29" s="2417" t="str">
        <f>IF(TITLE_NUMBER_PR_CHANGE="",IF(TITLE_NUMBER_PR="","",TITLE_NUMBER_PR),TITLE_NUMBER_PR_CHANGE)</f>
        <v/>
      </c>
      <c r="W29" s="2417"/>
      <c r="X29" s="2417"/>
      <c r="Y29" s="2417"/>
      <c r="Z29" s="2417"/>
      <c r="AA29" s="2417"/>
      <c r="AB29" s="547"/>
      <c r="AC29" s="2417" t="str">
        <f>IF(TITLE_NUMBER_PR_CHANGE="",IF(TITLE_NUMBER_PR="","",TITLE_NUMBER_PR),TITLE_NUMBER_PR_CHANGE)</f>
        <v/>
      </c>
      <c r="AD29" s="2417"/>
      <c r="AE29" s="2417"/>
      <c r="AF29" s="2417"/>
      <c r="AG29" s="2417"/>
      <c r="AH29" s="2417"/>
      <c r="AI29" s="547"/>
      <c r="AJ29" s="547"/>
      <c r="AK29" s="490"/>
      <c r="AL29" s="593"/>
      <c r="AM29" s="593"/>
      <c r="AN29" s="593"/>
      <c r="AO29" s="593"/>
      <c r="AP29" s="593"/>
    </row>
    <row s="10859" customFormat="1" customHeight="1" ht="18.75" hidden="1">
      <c r="A30" s="1664"/>
      <c r="B30" s="1664"/>
      <c r="C30" s="1664"/>
      <c r="D30" s="1664"/>
      <c r="E30" s="1664"/>
      <c r="F30" s="1664"/>
      <c r="G30" s="1664"/>
      <c r="H30" s="1664"/>
      <c r="I30" s="1664"/>
      <c r="J30" s="1664"/>
      <c r="K30" s="1664"/>
      <c r="L30" s="1665"/>
      <c r="M30" s="1664"/>
      <c r="N30" s="1664"/>
      <c r="O30" s="1664"/>
      <c r="S30" s="2416" t="s">
        <v>40</v>
      </c>
      <c r="T30" s="2416"/>
      <c r="U30" s="1668"/>
      <c r="V30" s="2417" t="str">
        <f>IF(TITLE_IST_PUB_CHANGE="",IF(TITLE_IST_PUB="","",TITLE_IST_PUB),TITLE_IST_PUB_CHANGE)</f>
        <v/>
      </c>
      <c r="W30" s="2417"/>
      <c r="X30" s="2417"/>
      <c r="Y30" s="2417"/>
      <c r="Z30" s="2417"/>
      <c r="AA30" s="2417"/>
      <c r="AB30" s="547"/>
      <c r="AC30" s="2417" t="str">
        <f>IF(TITLE_IST_PUB_CHANGE="",IF(TITLE_IST_PUB="","",TITLE_IST_PUB),TITLE_IST_PUB_CHANGE)</f>
        <v/>
      </c>
      <c r="AD30" s="2417"/>
      <c r="AE30" s="2417"/>
      <c r="AF30" s="2417"/>
      <c r="AG30" s="2417"/>
      <c r="AH30" s="2417"/>
      <c r="AI30" s="547"/>
      <c r="AJ30" s="547"/>
      <c r="AK30" s="490"/>
      <c r="AL30" s="593"/>
      <c r="AM30" s="593"/>
      <c r="AN30" s="593"/>
      <c r="AO30" s="593"/>
      <c r="AP30" s="593"/>
    </row>
    <row customHeight="1" ht="14.25" hidden="1">
      <c r="Q31" s="602"/>
      <c r="R31" s="602"/>
      <c r="S31" s="1565"/>
      <c r="T31" s="586"/>
      <c r="U31" s="586"/>
      <c r="V31" s="541"/>
      <c r="W31" s="541"/>
      <c r="X31" s="541"/>
      <c r="Y31" s="541"/>
      <c r="Z31" s="541"/>
      <c r="AA31" s="541"/>
      <c r="AB31" s="541"/>
      <c r="AC31" s="541"/>
      <c r="AD31" s="541"/>
      <c r="AE31" s="541"/>
      <c r="AF31" s="541"/>
      <c r="AG31" s="541"/>
      <c r="AH31" s="541"/>
      <c r="AI31" s="541"/>
      <c r="AJ31" s="746"/>
    </row>
    <row s="10859" customFormat="1" customHeight="1" ht="18.75" hidden="1">
      <c r="A32" s="1664"/>
      <c r="B32" s="1664"/>
      <c r="C32" s="1664"/>
      <c r="D32" s="1664"/>
      <c r="E32" s="1664"/>
      <c r="F32" s="1664"/>
      <c r="G32" s="1664"/>
      <c r="H32" s="1664"/>
      <c r="I32" s="1664"/>
      <c r="J32" s="1664"/>
      <c r="K32" s="1664"/>
      <c r="L32" s="1665"/>
      <c r="M32" s="1664"/>
      <c r="N32" s="1664"/>
      <c r="O32" s="1664"/>
      <c r="S32" s="2416" t="s">
        <v>1542</v>
      </c>
      <c r="T32" s="2416"/>
      <c r="U32" s="1668"/>
      <c r="V32" s="2417" t="str">
        <f>IF(TITLE_DATE_CHANGE_PERIOD="",IF(TITLE_DATE_PR="","",TITLE_DATE_PR),TITLE_DATE_CHANGE_PERIOD)</f>
        <v/>
      </c>
      <c r="W32" s="2417"/>
      <c r="X32" s="2417"/>
      <c r="Y32" s="2417"/>
      <c r="Z32" s="2417"/>
      <c r="AA32" s="2417"/>
      <c r="AB32" s="547"/>
      <c r="AC32" s="2417" t="str">
        <f>IF(TITLE_DATE_CHANGE_PERIOD="",IF(TITLE_DATE_PR="","",TITLE_DATE_PR),TITLE_DATE_CHANGE_PERIOD)</f>
        <v/>
      </c>
      <c r="AD32" s="2417"/>
      <c r="AE32" s="2417"/>
      <c r="AF32" s="2417"/>
      <c r="AG32" s="2417"/>
      <c r="AH32" s="2417"/>
      <c r="AI32" s="547"/>
      <c r="AJ32" s="547"/>
      <c r="AK32" s="490"/>
      <c r="AL32" s="593"/>
      <c r="AM32" s="593"/>
      <c r="AN32" s="593"/>
      <c r="AO32" s="593"/>
      <c r="AP32" s="593"/>
    </row>
    <row s="10859" customFormat="1" customHeight="1" ht="18.75" hidden="1">
      <c r="A33" s="1664"/>
      <c r="B33" s="1664"/>
      <c r="C33" s="1664"/>
      <c r="D33" s="1664"/>
      <c r="E33" s="1664"/>
      <c r="F33" s="1664"/>
      <c r="G33" s="1664"/>
      <c r="H33" s="1664"/>
      <c r="I33" s="1664"/>
      <c r="J33" s="1664"/>
      <c r="K33" s="1664"/>
      <c r="L33" s="1665"/>
      <c r="M33" s="1664"/>
      <c r="N33" s="1664"/>
      <c r="O33" s="1664"/>
      <c r="S33" s="2416" t="s">
        <v>1543</v>
      </c>
      <c r="T33" s="2416"/>
      <c r="U33" s="1668"/>
      <c r="V33" s="2417" t="str">
        <f>IF(TITLE_NUMBER_PR_CHANGE="",IF(TITLE_NUMBER_PR="","",TITLE_NUMBER_PR),TITLE_NUMBER_PR_CHANGE)</f>
        <v/>
      </c>
      <c r="W33" s="2417"/>
      <c r="X33" s="2417"/>
      <c r="Y33" s="2417"/>
      <c r="Z33" s="2417"/>
      <c r="AA33" s="2417"/>
      <c r="AB33" s="547"/>
      <c r="AC33" s="2417" t="str">
        <f>IF(TITLE_NUMBER_PR_CHANGE="",IF(TITLE_NUMBER_PR="","",TITLE_NUMBER_PR),TITLE_NUMBER_PR_CHANGE)</f>
        <v/>
      </c>
      <c r="AD33" s="2417"/>
      <c r="AE33" s="2417"/>
      <c r="AF33" s="2417"/>
      <c r="AG33" s="2417"/>
      <c r="AH33" s="2417"/>
      <c r="AI33" s="547"/>
      <c r="AJ33" s="547"/>
      <c r="AK33" s="490"/>
      <c r="AL33" s="593"/>
      <c r="AM33" s="593"/>
      <c r="AN33" s="593"/>
      <c r="AO33" s="593"/>
      <c r="AP33" s="593"/>
    </row>
    <row s="10859" customFormat="1" customHeight="1" ht="0.75">
      <c r="A34" s="1664"/>
      <c r="B34" s="1664"/>
      <c r="C34" s="1664"/>
      <c r="D34" s="1664"/>
      <c r="E34" s="1664"/>
      <c r="F34" s="1664"/>
      <c r="G34" s="1664"/>
      <c r="H34" s="1664"/>
      <c r="I34" s="1664"/>
      <c r="J34" s="1664"/>
      <c r="K34" s="1664"/>
      <c r="L34" s="1665"/>
      <c r="M34" s="1664"/>
      <c r="N34" s="1664"/>
      <c r="O34" s="1664"/>
      <c r="S34" s="543"/>
      <c r="T34" s="543"/>
      <c r="U34" s="1785"/>
      <c r="V34" s="547"/>
      <c r="W34" s="547"/>
      <c r="X34" s="547"/>
      <c r="Y34" s="547"/>
      <c r="Z34" s="547"/>
      <c r="AA34" s="547"/>
      <c r="AB34" s="488" t="s">
        <v>1544</v>
      </c>
      <c r="AC34" s="547"/>
      <c r="AD34" s="547"/>
      <c r="AE34" s="547"/>
      <c r="AF34" s="547"/>
      <c r="AG34" s="547"/>
      <c r="AH34" s="547"/>
      <c r="AI34" s="488" t="s">
        <v>1544</v>
      </c>
      <c r="AL34" s="593"/>
      <c r="AM34" s="593"/>
      <c r="AN34" s="593"/>
      <c r="AO34" s="593"/>
      <c r="AP34" s="593"/>
    </row>
    <row customHeight="1" ht="14.25">
      <c r="Q35" s="602"/>
      <c r="R35" s="602"/>
      <c r="S35" s="1565"/>
      <c r="T35" s="586"/>
      <c r="U35" s="1522"/>
      <c r="V35" s="2418"/>
      <c r="W35" s="2418"/>
      <c r="X35" s="2418"/>
      <c r="Y35" s="2418"/>
      <c r="Z35" s="2418"/>
      <c r="AA35" s="2418"/>
      <c r="AB35" s="2418"/>
      <c r="AC35" s="2418"/>
      <c r="AD35" s="2418"/>
      <c r="AE35" s="2418"/>
      <c r="AF35" s="2418"/>
      <c r="AG35" s="2418"/>
      <c r="AH35" s="2418"/>
      <c r="AI35" s="2418"/>
    </row>
    <row customHeight="1" ht="14.25">
      <c r="Q36" s="602"/>
      <c r="R36" s="602"/>
      <c r="S36" s="2277" t="s">
        <v>362</v>
      </c>
      <c r="T36" s="2277"/>
      <c r="U36" s="2277"/>
      <c r="V36" s="2277"/>
      <c r="W36" s="2277"/>
      <c r="X36" s="2277"/>
      <c r="Y36" s="2277"/>
      <c r="Z36" s="2277"/>
      <c r="AA36" s="2277"/>
      <c r="AB36" s="2277"/>
      <c r="AC36" s="2277"/>
      <c r="AD36" s="2277"/>
      <c r="AE36" s="2277"/>
      <c r="AF36" s="2277"/>
      <c r="AG36" s="2277"/>
      <c r="AH36" s="2277"/>
      <c r="AI36" s="2277"/>
      <c r="AJ36" s="2277"/>
      <c r="AK36" s="2277" t="s">
        <v>363</v>
      </c>
    </row>
    <row customHeight="1" ht="14.25">
      <c r="Q37" s="602"/>
      <c r="R37" s="602"/>
      <c r="S37" s="2440" t="s">
        <v>88</v>
      </c>
      <c r="T37" s="2301" t="s">
        <v>1545</v>
      </c>
      <c r="U37" s="511"/>
      <c r="V37" s="2441" t="s">
        <v>1546</v>
      </c>
      <c r="W37" s="2442"/>
      <c r="X37" s="2442"/>
      <c r="Y37" s="2442"/>
      <c r="Z37" s="2442"/>
      <c r="AA37" s="2443"/>
      <c r="AB37" s="2444" t="s">
        <v>1547</v>
      </c>
      <c r="AC37" s="2441" t="s">
        <v>1546</v>
      </c>
      <c r="AD37" s="2442"/>
      <c r="AE37" s="2442"/>
      <c r="AF37" s="2442"/>
      <c r="AG37" s="2442"/>
      <c r="AH37" s="2443"/>
      <c r="AI37" s="2444" t="s">
        <v>1548</v>
      </c>
      <c r="AJ37" s="2447" t="s">
        <v>1549</v>
      </c>
      <c r="AK37" s="2277"/>
    </row>
    <row customHeight="1" ht="33.75">
      <c r="Q38" s="602"/>
      <c r="R38" s="602"/>
      <c r="S38" s="2440"/>
      <c r="T38" s="2301"/>
      <c r="U38" s="1289"/>
      <c r="V38" s="1780" t="s">
        <v>1740</v>
      </c>
      <c r="W38" s="2428" t="s">
        <v>1552</v>
      </c>
      <c r="X38" s="2429"/>
      <c r="Y38" s="2434" t="s">
        <v>1553</v>
      </c>
      <c r="Z38" s="2435"/>
      <c r="AA38" s="2436"/>
      <c r="AB38" s="2445"/>
      <c r="AC38" s="1780" t="s">
        <v>1740</v>
      </c>
      <c r="AD38" s="2428" t="s">
        <v>1552</v>
      </c>
      <c r="AE38" s="2429"/>
      <c r="AF38" s="2434" t="s">
        <v>1553</v>
      </c>
      <c r="AG38" s="2435"/>
      <c r="AH38" s="2436"/>
      <c r="AI38" s="2445"/>
      <c r="AJ38" s="2448"/>
      <c r="AK38" s="2277"/>
    </row>
    <row customHeight="1" ht="86.25">
      <c r="A39" s="1666"/>
      <c r="B39" s="1666" t="s">
        <v>212</v>
      </c>
      <c r="C39" s="1666" t="s">
        <v>213</v>
      </c>
      <c r="D39" s="1666" t="s">
        <v>214</v>
      </c>
      <c r="E39" s="1660" t="s">
        <v>1554</v>
      </c>
      <c r="F39" s="1660" t="s">
        <v>1555</v>
      </c>
      <c r="G39" s="1660" t="s">
        <v>1556</v>
      </c>
      <c r="H39" s="1660"/>
      <c r="I39" s="1660" t="s">
        <v>1741</v>
      </c>
      <c r="J39" s="1660" t="s">
        <v>1559</v>
      </c>
      <c r="K39" s="1660" t="s">
        <v>1742</v>
      </c>
      <c r="L39" s="1660" t="s">
        <v>1535</v>
      </c>
      <c r="Q39" s="602"/>
      <c r="R39" s="602"/>
      <c r="S39" s="2440"/>
      <c r="T39" s="2301"/>
      <c r="U39" s="512"/>
      <c r="V39" s="1780" t="s">
        <v>2145</v>
      </c>
      <c r="W39" s="1497" t="s">
        <v>2146</v>
      </c>
      <c r="X39" s="1497" t="s">
        <v>1745</v>
      </c>
      <c r="Y39" s="1786" t="s">
        <v>1563</v>
      </c>
      <c r="Z39" s="2437" t="s">
        <v>1564</v>
      </c>
      <c r="AA39" s="2438"/>
      <c r="AB39" s="2446"/>
      <c r="AC39" s="1780" t="s">
        <v>2145</v>
      </c>
      <c r="AD39" s="1497" t="s">
        <v>2146</v>
      </c>
      <c r="AE39" s="1497" t="s">
        <v>1745</v>
      </c>
      <c r="AF39" s="1786" t="s">
        <v>1563</v>
      </c>
      <c r="AG39" s="2437" t="s">
        <v>1564</v>
      </c>
      <c r="AH39" s="2438"/>
      <c r="AI39" s="2446"/>
      <c r="AJ39" s="2449"/>
      <c r="AK39" s="2277"/>
    </row>
    <row s="10822" customFormat="1" customHeight="1" ht="11.25" hidden="1">
      <c r="A40" s="1666"/>
      <c r="B40" s="1666"/>
      <c r="C40" s="1666"/>
      <c r="D40" s="1666"/>
      <c r="E40" s="1666"/>
      <c r="F40" s="1666"/>
      <c r="G40" s="1666"/>
      <c r="H40" s="1666"/>
      <c r="I40" s="1666"/>
      <c r="J40" s="1666"/>
      <c r="K40" s="1666"/>
      <c r="L40" s="1660"/>
      <c r="M40" s="1658"/>
      <c r="N40" s="1658"/>
      <c r="O40" s="1658"/>
      <c r="P40" s="1524"/>
      <c r="Q40" s="1525"/>
      <c r="R40" s="1540">
        <v>1</v>
      </c>
      <c r="S40" s="1567" t="s">
        <v>109</v>
      </c>
      <c r="T40" s="1541" t="s">
        <v>110</v>
      </c>
      <c r="U40" s="1523" t="str">
        <f>OFFSET(U40,0,-1)</f>
        <v>2</v>
      </c>
      <c r="V40" s="1779">
        <f>OFFSET(V40,0,-1)+1</f>
        <v>3</v>
      </c>
      <c r="W40" s="1779">
        <f>OFFSET(W40,0,-1)+1</f>
        <v>4</v>
      </c>
      <c r="X40" s="1779">
        <f>OFFSET(X40,0,-1)+1</f>
        <v>5</v>
      </c>
      <c r="Y40" s="1779">
        <f>OFFSET(Y40,0,-1)+1</f>
        <v>6</v>
      </c>
      <c r="Z40" s="2439">
        <f>OFFSET(Z40,0,-1)+1</f>
        <v>7</v>
      </c>
      <c r="AA40" s="2439"/>
      <c r="AB40" s="1779">
        <f>OFFSET(AB40,0,-2)+1</f>
        <v>8</v>
      </c>
      <c r="AC40" s="1779">
        <f>OFFSET(AC40,0,-1)+1</f>
        <v>9</v>
      </c>
      <c r="AD40" s="1779">
        <f>OFFSET(AD40,0,-1)+1</f>
        <v>10</v>
      </c>
      <c r="AE40" s="1779">
        <f>OFFSET(AE40,0,-1)+1</f>
        <v>11</v>
      </c>
      <c r="AF40" s="1779">
        <f>OFFSET(AF40,0,-1)+1</f>
        <v>12</v>
      </c>
      <c r="AG40" s="2439">
        <f>OFFSET(AG40,0,-1)+1</f>
        <v>13</v>
      </c>
      <c r="AH40" s="2439"/>
      <c r="AI40" s="1779">
        <f>OFFSET(AI40,0,-2)+1</f>
        <v>14</v>
      </c>
      <c r="AJ40" s="1523">
        <f>OFFSET(AJ40,0,-1)</f>
        <v>14</v>
      </c>
      <c r="AK40" s="1779">
        <f>OFFSET(AK40,0,-1)+1</f>
        <v>15</v>
      </c>
      <c r="AL40" s="748"/>
      <c r="AM40" s="748"/>
      <c r="AN40" s="748"/>
      <c r="AO40" s="748"/>
      <c r="AP40" s="748"/>
    </row>
    <row customHeight="1" ht="23.25">
      <c r="A41" s="1659" t="s">
        <v>333</v>
      </c>
      <c r="B41" s="1659"/>
      <c r="C41" s="1659"/>
      <c r="D41" s="1659"/>
      <c r="E41" s="2424">
        <v>1</v>
      </c>
      <c r="F41" s="1659"/>
      <c r="G41" s="1659"/>
      <c r="H41" s="1659"/>
      <c r="I41" s="1659"/>
      <c r="J41" s="1659"/>
      <c r="K41" s="1659"/>
      <c r="L41" s="1660"/>
      <c r="M41" s="1661"/>
      <c r="N41" s="1661"/>
      <c r="O41" s="1661"/>
      <c r="P41" s="582"/>
      <c r="Q41" s="581"/>
      <c r="R41" s="576"/>
      <c r="S41" s="1790">
        <f>INDEX(PT_DIFFERENTIATION_NUM_NTAR,MATCH(A41,PT_DIFFERENTIATION_NTAR_ID,0))</f>
        <v>0</v>
      </c>
      <c r="T41" s="508" t="s">
        <v>200</v>
      </c>
      <c r="U41" s="510"/>
      <c r="V41" s="4037"/>
      <c r="W41" s="4038"/>
      <c r="X41" s="4038"/>
      <c r="Y41" s="4038"/>
      <c r="Z41" s="4038"/>
      <c r="AA41" s="4038"/>
      <c r="AB41" s="4039"/>
      <c r="AC41" s="4037" t="str">
        <f>INDEX(PT_DIFFERENTIATION_NTAR,MATCH(A41,PT_DIFFERENTIATION_NTAR_ID,0))</f>
        <v/>
      </c>
      <c r="AD41" s="4038"/>
      <c r="AE41" s="4038"/>
      <c r="AF41" s="4038"/>
      <c r="AG41" s="4038"/>
      <c r="AH41" s="4038"/>
      <c r="AI41" s="4038"/>
      <c r="AJ41" s="4039"/>
      <c r="AK41" s="1546"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737"/>
      <c r="AN41" s="737" t="str">
        <f>IF(T41="","",T41)</f>
        <v>Наименование тарифа</v>
      </c>
      <c r="AO41" s="737"/>
      <c r="AP41" s="737"/>
    </row>
    <row customHeight="1" ht="23.25">
      <c r="A42" s="1659" t="s">
        <v>333</v>
      </c>
      <c r="B42" s="1659" t="s">
        <v>334</v>
      </c>
      <c r="C42" s="1659"/>
      <c r="D42" s="1659"/>
      <c r="E42" s="2425"/>
      <c r="F42" s="2424">
        <v>1</v>
      </c>
      <c r="G42" s="1659"/>
      <c r="H42" s="1659"/>
      <c r="I42" s="1659"/>
      <c r="J42" s="1659"/>
      <c r="K42" s="1659"/>
      <c r="L42" s="1660"/>
      <c r="M42" s="1661"/>
      <c r="N42" s="1661"/>
      <c r="O42" s="1661"/>
      <c r="P42" s="1784"/>
      <c r="Q42" s="573"/>
      <c r="R42" s="574"/>
      <c r="S42" s="1790" t="str">
        <f>INDEX(PT_DIFFERENTIATION_NUM_TER,MATCH(B42,PT_DIFFERENTIATION_TER_ID,0))</f>
        <v>.</v>
      </c>
      <c r="T42" s="520" t="s">
        <v>1517</v>
      </c>
      <c r="U42" s="510"/>
      <c r="V42" s="4037"/>
      <c r="W42" s="4038"/>
      <c r="X42" s="4038"/>
      <c r="Y42" s="4038"/>
      <c r="Z42" s="4038"/>
      <c r="AA42" s="4038"/>
      <c r="AB42" s="4039"/>
      <c r="AC42" s="4037" t="str">
        <f>INDEX(PT_DIFFERENTIATION_TER,MATCH(B42,PT_DIFFERENTIATION_TER_ID,0))</f>
        <v/>
      </c>
      <c r="AD42" s="4038"/>
      <c r="AE42" s="4038"/>
      <c r="AF42" s="4038"/>
      <c r="AG42" s="4038"/>
      <c r="AH42" s="4038"/>
      <c r="AI42" s="4038"/>
      <c r="AJ42" s="4039"/>
      <c r="AK42" s="1546" t="s">
        <v>1518</v>
      </c>
      <c r="AM42" s="737"/>
      <c r="AN42" s="737" t="str">
        <f>IF(T42="","",T42)</f>
        <v>Территория действия тарифа</v>
      </c>
      <c r="AO42" s="737"/>
      <c r="AP42" s="737"/>
    </row>
    <row customHeight="1" ht="23.25">
      <c r="A43" s="1659" t="s">
        <v>333</v>
      </c>
      <c r="B43" s="1659" t="s">
        <v>334</v>
      </c>
      <c r="C43" s="1659" t="s">
        <v>335</v>
      </c>
      <c r="D43" s="1659"/>
      <c r="E43" s="2425"/>
      <c r="F43" s="2425"/>
      <c r="G43" s="2424">
        <v>1</v>
      </c>
      <c r="H43" s="1659"/>
      <c r="I43" s="1659"/>
      <c r="J43" s="1659"/>
      <c r="K43" s="1659"/>
      <c r="L43" s="1660"/>
      <c r="M43" s="1661"/>
      <c r="N43" s="1661"/>
      <c r="O43" s="1661"/>
      <c r="P43" s="575"/>
      <c r="Q43" s="573"/>
      <c r="R43" s="574"/>
      <c r="S43" s="1790" t="str">
        <f>INDEX(PT_DIFFERENTIATION_NUM_CS,MATCH(C43,PT_DIFFERENTIATION_CS_ID,0))</f>
        <v>..</v>
      </c>
      <c r="T43" s="521" t="s">
        <v>2143</v>
      </c>
      <c r="U43" s="510"/>
      <c r="V43" s="4037"/>
      <c r="W43" s="4038"/>
      <c r="X43" s="4038"/>
      <c r="Y43" s="4038"/>
      <c r="Z43" s="4038"/>
      <c r="AA43" s="4038"/>
      <c r="AB43" s="4039"/>
      <c r="AC43" s="4037" t="str">
        <f>INDEX(PT_DIFFERENTIATION_CS,MATCH(C43,PT_DIFFERENTIATION_CS_ID,0))</f>
        <v/>
      </c>
      <c r="AD43" s="4038"/>
      <c r="AE43" s="4038"/>
      <c r="AF43" s="4038"/>
      <c r="AG43" s="4038"/>
      <c r="AH43" s="4038"/>
      <c r="AI43" s="4038"/>
      <c r="AJ43" s="4039"/>
      <c r="AK43" s="1546" t="s">
        <v>2144</v>
      </c>
      <c r="AM43" s="737"/>
      <c r="AN43" s="737" t="str">
        <f>IF(T43="","",T43)</f>
        <v>Наименование централизованной системы водоотведения</v>
      </c>
      <c r="AO43" s="737"/>
      <c r="AP43" s="737"/>
    </row>
    <row customHeight="1" ht="23.25">
      <c r="A44" s="1659" t="s">
        <v>333</v>
      </c>
      <c r="B44" s="1659" t="s">
        <v>334</v>
      </c>
      <c r="C44" s="1659" t="s">
        <v>335</v>
      </c>
      <c r="D44" s="1659" t="s">
        <v>2150</v>
      </c>
      <c r="E44" s="2425"/>
      <c r="F44" s="2425"/>
      <c r="G44" s="2425"/>
      <c r="H44" s="2425"/>
      <c r="I44" s="2453" t="str">
        <f>S43&amp;".1"</f>
        <v>...1</v>
      </c>
      <c r="J44" s="1659"/>
      <c r="K44" s="1659"/>
      <c r="L44" s="1660"/>
      <c r="P44" s="2423">
        <v>1</v>
      </c>
      <c r="Q44" s="1778"/>
      <c r="R44" s="577"/>
      <c r="S44" s="1790" t="str">
        <f>$I44</f>
        <v>...1</v>
      </c>
      <c r="T44" s="495" t="s">
        <v>1734</v>
      </c>
      <c r="U44" s="510"/>
      <c r="V44" s="2574"/>
      <c r="W44" s="2575"/>
      <c r="X44" s="2575"/>
      <c r="Y44" s="2575"/>
      <c r="Z44" s="2575"/>
      <c r="AA44" s="2575"/>
      <c r="AB44" s="2576"/>
      <c r="AC44" s="2577"/>
      <c r="AD44" s="2578"/>
      <c r="AE44" s="2578"/>
      <c r="AF44" s="2578"/>
      <c r="AG44" s="2578"/>
      <c r="AH44" s="2578"/>
      <c r="AI44" s="2578"/>
      <c r="AJ44" s="2579"/>
      <c r="AK44" s="1546" t="s">
        <v>1735</v>
      </c>
      <c r="AM44" s="737"/>
      <c r="AN44" s="737" t="str">
        <f>IF(T44="","",T44)</f>
        <v>Наименование признака дифференциации</v>
      </c>
      <c r="AO44" s="737"/>
      <c r="AP44" s="737"/>
    </row>
    <row customHeight="1" ht="23.25">
      <c r="A45" s="1659" t="s">
        <v>333</v>
      </c>
      <c r="B45" s="1659" t="s">
        <v>334</v>
      </c>
      <c r="C45" s="1659" t="s">
        <v>335</v>
      </c>
      <c r="D45" s="1659" t="s">
        <v>2150</v>
      </c>
      <c r="E45" s="2425"/>
      <c r="F45" s="2425"/>
      <c r="G45" s="2425"/>
      <c r="H45" s="2425"/>
      <c r="I45" s="2454"/>
      <c r="J45" s="2422" t="str">
        <f>I44&amp;".1"</f>
        <v>...1.1</v>
      </c>
      <c r="K45" s="1659"/>
      <c r="L45" s="1660" t="s">
        <v>1526</v>
      </c>
      <c r="P45" s="2423"/>
      <c r="Q45" s="2423">
        <v>1</v>
      </c>
      <c r="R45" s="578"/>
      <c r="S45" s="1790" t="str">
        <f>$J45</f>
        <v>...1.1</v>
      </c>
      <c r="T45" s="496" t="s">
        <v>1527</v>
      </c>
      <c r="U45" s="510"/>
      <c r="V45" s="2411"/>
      <c r="W45" s="2412"/>
      <c r="X45" s="2412"/>
      <c r="Y45" s="2412"/>
      <c r="Z45" s="2412"/>
      <c r="AA45" s="2412"/>
      <c r="AB45" s="2413"/>
      <c r="AC45" s="2411"/>
      <c r="AD45" s="2412"/>
      <c r="AE45" s="2412"/>
      <c r="AF45" s="2412"/>
      <c r="AG45" s="2412"/>
      <c r="AH45" s="2412"/>
      <c r="AI45" s="2412"/>
      <c r="AJ45" s="2413"/>
      <c r="AK45" s="1602" t="s">
        <v>1736</v>
      </c>
      <c r="AM45" s="737"/>
      <c r="AN45" s="737" t="str">
        <f>IF(T45="","",T45)</f>
        <v>Группа потребителей</v>
      </c>
      <c r="AO45" s="737"/>
      <c r="AP45" s="737"/>
    </row>
    <row customHeight="1" ht="23.25">
      <c r="A46" s="1659" t="s">
        <v>333</v>
      </c>
      <c r="B46" s="1659" t="s">
        <v>334</v>
      </c>
      <c r="C46" s="1659" t="s">
        <v>335</v>
      </c>
      <c r="D46" s="1659" t="s">
        <v>2150</v>
      </c>
      <c r="E46" s="2425"/>
      <c r="F46" s="2425"/>
      <c r="G46" s="2425"/>
      <c r="H46" s="2425"/>
      <c r="I46" s="2454"/>
      <c r="J46" s="2455"/>
      <c r="K46" s="2422" t="str">
        <f>J45&amp;".1"</f>
        <v>...1.1.1</v>
      </c>
      <c r="L46" s="1660"/>
      <c r="P46" s="2423"/>
      <c r="Q46" s="2423"/>
      <c r="R46" s="578">
        <v>1</v>
      </c>
      <c r="S46" s="1790" t="str">
        <f>$K46</f>
        <v>...1.1.1</v>
      </c>
      <c r="T46" s="1734"/>
      <c r="U46" s="510"/>
      <c r="V46" s="4098"/>
      <c r="W46" s="4098"/>
      <c r="X46" s="4099"/>
      <c r="Y46" s="2432"/>
      <c r="Z46" s="2433" t="s">
        <v>67</v>
      </c>
      <c r="AA46" s="2432"/>
      <c r="AB46" s="2433" t="s">
        <v>67</v>
      </c>
      <c r="AC46" s="4065"/>
      <c r="AD46" s="4065"/>
      <c r="AE46" s="4067"/>
      <c r="AF46" s="2430"/>
      <c r="AG46" s="2142" t="s">
        <v>67</v>
      </c>
      <c r="AH46" s="2456"/>
      <c r="AI46" s="2142" t="s">
        <v>57</v>
      </c>
      <c r="AJ46" s="4569"/>
      <c r="AK46" s="257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748">
        <f>STRCHECKDATE(V47:AJ47)</f>
      </c>
      <c r="AM46" s="737"/>
      <c r="AN46" s="737" t="str">
        <f>IF(T46="","",T46)</f>
        <v/>
      </c>
      <c r="AO46" s="737"/>
      <c r="AP46" s="737"/>
    </row>
    <row customHeight="1" ht="0">
      <c r="A47" s="1659" t="s">
        <v>333</v>
      </c>
      <c r="B47" s="1659" t="s">
        <v>334</v>
      </c>
      <c r="C47" s="1659" t="s">
        <v>335</v>
      </c>
      <c r="D47" s="1659" t="s">
        <v>2150</v>
      </c>
      <c r="E47" s="2425"/>
      <c r="F47" s="2425"/>
      <c r="G47" s="2425"/>
      <c r="H47" s="2425"/>
      <c r="I47" s="2454"/>
      <c r="J47" s="2455"/>
      <c r="K47" s="2422"/>
      <c r="L47" s="1660"/>
      <c r="P47" s="2423"/>
      <c r="Q47" s="2423"/>
      <c r="R47" s="578"/>
      <c r="S47" s="1787"/>
      <c r="T47" s="510"/>
      <c r="U47" s="510"/>
      <c r="V47" s="4098"/>
      <c r="W47" s="4098"/>
      <c r="X47" s="4071" t="str">
        <f>Y46&amp;"-"&amp;AA46</f>
        <v>-</v>
      </c>
      <c r="Y47" s="2433"/>
      <c r="Z47" s="2433"/>
      <c r="AA47" s="2433"/>
      <c r="AB47" s="2433"/>
      <c r="AC47" s="4066"/>
      <c r="AD47" s="4066"/>
      <c r="AE47" s="4071" t="str">
        <f>AF46&amp;"-"&amp;AH46</f>
        <v>-</v>
      </c>
      <c r="AF47" s="2431"/>
      <c r="AG47" s="2142"/>
      <c r="AH47" s="2457"/>
      <c r="AI47" s="2142"/>
      <c r="AJ47" s="4572"/>
      <c r="AK47" s="2573"/>
      <c r="AM47" s="737"/>
      <c r="AN47" s="737" t="str">
        <f>IF(T47="","",T47)</f>
        <v/>
      </c>
      <c r="AO47" s="737"/>
      <c r="AP47" s="737"/>
    </row>
    <row customHeight="1" ht="21">
      <c r="A48" s="1659" t="s">
        <v>333</v>
      </c>
      <c r="B48" s="1659" t="s">
        <v>334</v>
      </c>
      <c r="C48" s="1659" t="s">
        <v>335</v>
      </c>
      <c r="D48" s="1659" t="s">
        <v>2150</v>
      </c>
      <c r="E48" s="2425"/>
      <c r="F48" s="2425"/>
      <c r="G48" s="2425"/>
      <c r="H48" s="2425"/>
      <c r="I48" s="2454"/>
      <c r="J48" s="2422"/>
      <c r="K48" s="1659"/>
      <c r="L48" s="1660"/>
      <c r="P48" s="2423"/>
      <c r="Q48" s="2423"/>
      <c r="R48" s="577"/>
      <c r="S48" s="1568"/>
      <c r="T48" s="497" t="s">
        <v>1737</v>
      </c>
      <c r="U48" s="592"/>
      <c r="V48" s="592"/>
      <c r="W48" s="592"/>
      <c r="X48" s="592"/>
      <c r="Y48" s="592"/>
      <c r="Z48" s="592"/>
      <c r="AA48" s="592"/>
      <c r="AB48" s="592"/>
      <c r="AC48" s="592"/>
      <c r="AD48" s="592"/>
      <c r="AE48" s="592"/>
      <c r="AF48" s="592"/>
      <c r="AG48" s="592"/>
      <c r="AH48" s="592"/>
      <c r="AI48" s="592"/>
      <c r="AJ48" s="592"/>
      <c r="AK48" s="1546" t="s">
        <v>1738</v>
      </c>
      <c r="AM48" s="737"/>
      <c r="AN48" s="737" t="str">
        <f>IF(T48="","",T48)</f>
        <v>Добавить значение признака дифференциации</v>
      </c>
      <c r="AO48" s="737"/>
      <c r="AP48" s="737"/>
    </row>
    <row customHeight="1" ht="21">
      <c r="A49" s="1659" t="s">
        <v>333</v>
      </c>
      <c r="B49" s="1659" t="s">
        <v>334</v>
      </c>
      <c r="C49" s="1659" t="s">
        <v>335</v>
      </c>
      <c r="D49" s="1659" t="s">
        <v>2150</v>
      </c>
      <c r="E49" s="2425"/>
      <c r="F49" s="2425"/>
      <c r="G49" s="2425"/>
      <c r="H49" s="2425"/>
      <c r="I49" s="2453"/>
      <c r="J49" s="1659"/>
      <c r="K49" s="1659"/>
      <c r="L49" s="1660"/>
      <c r="P49" s="2423"/>
      <c r="Q49" s="1778"/>
      <c r="R49" s="577"/>
      <c r="S49" s="1568"/>
      <c r="T49" s="589" t="s">
        <v>1532</v>
      </c>
      <c r="U49" s="592"/>
      <c r="V49" s="592"/>
      <c r="W49" s="592"/>
      <c r="X49" s="592"/>
      <c r="Y49" s="592"/>
      <c r="Z49" s="592"/>
      <c r="AA49" s="592"/>
      <c r="AB49" s="591"/>
      <c r="AC49" s="592"/>
      <c r="AD49" s="592"/>
      <c r="AE49" s="592"/>
      <c r="AF49" s="592"/>
      <c r="AG49" s="592"/>
      <c r="AH49" s="592"/>
      <c r="AI49" s="591"/>
      <c r="AJ49" s="592"/>
      <c r="AK49" s="1737"/>
      <c r="AM49" s="737"/>
      <c r="AN49" s="737" t="str">
        <f>IF(T49="","",T49)</f>
        <v>Добавить группу потребителей</v>
      </c>
      <c r="AO49" s="737"/>
      <c r="AP49" s="737"/>
    </row>
    <row customHeight="1" ht="21">
      <c r="A50" s="1659" t="s">
        <v>333</v>
      </c>
      <c r="B50" s="1659" t="s">
        <v>334</v>
      </c>
      <c r="C50" s="1659" t="s">
        <v>335</v>
      </c>
      <c r="D50" s="1659" t="s">
        <v>2150</v>
      </c>
      <c r="E50" s="2425"/>
      <c r="F50" s="2425"/>
      <c r="G50" s="2425"/>
      <c r="H50" s="2424"/>
      <c r="I50" s="1659"/>
      <c r="J50" s="1659"/>
      <c r="K50" s="1659"/>
      <c r="L50" s="1660"/>
      <c r="M50" s="1661"/>
      <c r="N50" s="1661"/>
      <c r="O50" s="774"/>
      <c r="P50" s="581"/>
      <c r="Q50" s="601"/>
      <c r="R50" s="576"/>
      <c r="S50" s="1568"/>
      <c r="T50" s="597" t="s">
        <v>1739</v>
      </c>
      <c r="U50" s="592"/>
      <c r="V50" s="592"/>
      <c r="W50" s="592"/>
      <c r="X50" s="592"/>
      <c r="Y50" s="592"/>
      <c r="Z50" s="592"/>
      <c r="AA50" s="592"/>
      <c r="AB50" s="591"/>
      <c r="AC50" s="592"/>
      <c r="AD50" s="592"/>
      <c r="AE50" s="592"/>
      <c r="AF50" s="592"/>
      <c r="AG50" s="592"/>
      <c r="AH50" s="592"/>
      <c r="AI50" s="591"/>
      <c r="AJ50" s="592"/>
      <c r="AK50" s="513"/>
      <c r="AM50" s="737"/>
      <c r="AN50" s="737" t="str">
        <f>IF(T50="","",T50)</f>
        <v>Добавить наименование признака дифференциации</v>
      </c>
      <c r="AO50" s="737"/>
      <c r="AP50" s="737"/>
    </row>
    <row s="10863" customFormat="1" customHeight="1" ht="0.75">
      <c r="A51" s="1638" t="s">
        <v>333</v>
      </c>
      <c r="B51" s="1638" t="s">
        <v>334</v>
      </c>
      <c r="C51" s="1609"/>
      <c r="D51" s="1609"/>
      <c r="E51" s="2425"/>
      <c r="F51" s="2424"/>
      <c r="G51" s="1609"/>
      <c r="H51" s="1609"/>
      <c r="I51" s="1609"/>
      <c r="J51" s="1609"/>
      <c r="K51" s="1609"/>
      <c r="L51" s="1791"/>
      <c r="M51" s="1616"/>
      <c r="N51" s="1616"/>
      <c r="P51" s="1611"/>
      <c r="Q51" s="1612"/>
      <c r="R51" s="1611"/>
      <c r="S51" s="1617"/>
      <c r="T51" s="1620" t="s">
        <v>1493</v>
      </c>
      <c r="U51" s="1619"/>
      <c r="V51" s="1619"/>
      <c r="W51" s="1619"/>
      <c r="X51" s="1619"/>
      <c r="Y51" s="1619"/>
      <c r="Z51" s="1619"/>
      <c r="AA51" s="1619"/>
      <c r="AB51" s="1619"/>
      <c r="AC51" s="1619"/>
      <c r="AD51" s="1619"/>
      <c r="AE51" s="1619"/>
      <c r="AF51" s="1619"/>
      <c r="AG51" s="1619"/>
      <c r="AH51" s="1619"/>
      <c r="AI51" s="1619"/>
      <c r="AJ51" s="1619"/>
      <c r="AK51" s="1619"/>
      <c r="AM51" s="1029"/>
      <c r="AN51" s="1029" t="str">
        <f>IF(T51="","",T51)</f>
        <v>Добавить централизованную систему для дифференциации</v>
      </c>
      <c r="AO51" s="1029"/>
      <c r="AP51" s="1029"/>
    </row>
    <row s="10863" customFormat="1" customHeight="1" ht="0.75">
      <c r="A52" s="1638" t="s">
        <v>333</v>
      </c>
      <c r="B52" s="1638"/>
      <c r="C52" s="1638"/>
      <c r="D52" s="1638"/>
      <c r="E52" s="2424"/>
      <c r="F52" s="1638"/>
      <c r="G52" s="1638"/>
      <c r="H52" s="1638"/>
      <c r="I52" s="1638"/>
      <c r="J52" s="1638"/>
      <c r="K52" s="1638"/>
      <c r="L52" s="1641"/>
      <c r="M52" s="1616"/>
      <c r="N52" s="1616"/>
      <c r="O52" s="755"/>
      <c r="P52" s="610"/>
      <c r="Q52" s="1639"/>
      <c r="R52" s="610"/>
      <c r="S52" s="1617"/>
      <c r="T52" s="1620" t="s">
        <v>1494</v>
      </c>
      <c r="U52" s="1619"/>
      <c r="V52" s="1619"/>
      <c r="W52" s="1619"/>
      <c r="X52" s="1619"/>
      <c r="Y52" s="1619"/>
      <c r="Z52" s="1619"/>
      <c r="AA52" s="1619"/>
      <c r="AB52" s="1619"/>
      <c r="AC52" s="1619"/>
      <c r="AD52" s="1619"/>
      <c r="AE52" s="1619"/>
      <c r="AF52" s="1619"/>
      <c r="AG52" s="1619"/>
      <c r="AH52" s="1619"/>
      <c r="AI52" s="1619"/>
      <c r="AJ52" s="1619"/>
      <c r="AK52" s="1619"/>
      <c r="AM52" s="737"/>
      <c r="AN52" s="737" t="str">
        <f>IF(T52="","",T52)</f>
        <v>Добавить территорию для дифференциации</v>
      </c>
      <c r="AO52" s="737"/>
      <c r="AP52" s="737"/>
    </row>
    <row s="10863" customFormat="1" customHeight="1" ht="0.75">
      <c r="A53" s="1609"/>
      <c r="B53" s="1609"/>
      <c r="C53" s="1609"/>
      <c r="D53" s="1609"/>
      <c r="E53" s="1638"/>
      <c r="F53" s="1609"/>
      <c r="G53" s="1609"/>
      <c r="H53" s="1609"/>
      <c r="I53" s="1609"/>
      <c r="J53" s="1609"/>
      <c r="K53" s="1609"/>
      <c r="L53" s="1791"/>
      <c r="M53" s="1616"/>
      <c r="N53" s="1616"/>
      <c r="P53" s="1611"/>
      <c r="Q53" s="1612"/>
      <c r="R53" s="1611"/>
      <c r="S53" s="1617"/>
      <c r="T53" s="1620" t="s">
        <v>1495</v>
      </c>
      <c r="U53" s="1619"/>
      <c r="V53" s="1619"/>
      <c r="W53" s="1619"/>
      <c r="X53" s="1619"/>
      <c r="Y53" s="1619"/>
      <c r="Z53" s="1619"/>
      <c r="AA53" s="1619"/>
      <c r="AB53" s="1619"/>
      <c r="AC53" s="1619"/>
      <c r="AD53" s="1619"/>
      <c r="AE53" s="1619"/>
      <c r="AF53" s="1619"/>
      <c r="AG53" s="1619"/>
      <c r="AH53" s="1619"/>
      <c r="AI53" s="1619"/>
      <c r="AJ53" s="1619"/>
      <c r="AK53" s="1619"/>
      <c r="AM53" s="1029"/>
      <c r="AN53" s="1029" t="str">
        <f>IF(T53="","",T53)</f>
        <v>Добавить наименование тарифа</v>
      </c>
      <c r="AO53" s="1029"/>
      <c r="AP53" s="1029"/>
    </row>
    <row customHeight="1" ht="11.25">
      <c r="M54" s="1421"/>
      <c r="N54" s="1421"/>
      <c r="O54" s="774"/>
      <c r="P54" s="1416"/>
      <c r="Q54" s="1416"/>
      <c r="R54" s="1416"/>
      <c r="S54" s="1416"/>
      <c r="AL54" s="1416"/>
      <c r="AM54" s="1416"/>
      <c r="AN54" s="1416"/>
      <c r="AO54" s="1416"/>
      <c r="AP54" s="1416"/>
    </row>
    <row customHeight="1" ht="14.25">
      <c r="O55" s="774"/>
      <c r="S55" s="1533" t="s">
        <v>1565</v>
      </c>
      <c r="T55" s="2452" t="s">
        <v>2148</v>
      </c>
      <c r="U55" s="2452"/>
      <c r="V55" s="2452"/>
      <c r="W55" s="2452"/>
      <c r="X55" s="2452"/>
      <c r="Y55" s="2452"/>
      <c r="Z55" s="2452"/>
      <c r="AA55" s="2452"/>
      <c r="AB55" s="2452"/>
      <c r="AC55" s="2452"/>
      <c r="AD55" s="2452"/>
      <c r="AE55" s="2452"/>
      <c r="AF55" s="2452"/>
      <c r="AG55" s="2452"/>
      <c r="AH55" s="2452"/>
      <c r="AI55" s="2452"/>
      <c r="AJ55" s="2452"/>
      <c r="AK55" s="2452"/>
    </row>
    <row customHeight="1" ht="14.25">
      <c r="O56" s="774"/>
    </row>
    <row customHeight="1" ht="14.25">
      <c r="O57" s="774"/>
      <c r="S57" s="1533" t="s">
        <v>1565</v>
      </c>
      <c r="T57" s="2452" t="s">
        <v>2149</v>
      </c>
      <c r="U57" s="2452"/>
      <c r="V57" s="2452"/>
      <c r="W57" s="2452"/>
      <c r="X57" s="2452"/>
      <c r="Y57" s="2452"/>
      <c r="Z57" s="2452"/>
      <c r="AA57" s="2452"/>
      <c r="AB57" s="2452"/>
      <c r="AC57" s="2452"/>
      <c r="AD57" s="2452"/>
      <c r="AE57" s="2452"/>
      <c r="AF57" s="2452"/>
      <c r="AG57" s="2452"/>
      <c r="AH57" s="2452"/>
      <c r="AI57" s="2452"/>
      <c r="AJ57" s="2452"/>
      <c r="AK57" s="2452"/>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A7664BC-8141-DE2A-0AAB-F8960F9D6883}" mc:Ignorable="x14ac xr xr2 xr3">
  <sheetPr>
    <tabColor theme="6" tint="0.4"/>
  </sheetPr>
  <dimension ref="A1:BH68"/>
  <sheetViews>
    <sheetView topLeftCell="R27" showGridLines="0" zoomScale="90" workbookViewId="0">
      <selection activeCell="A1" sqref="A1"/>
    </sheetView>
  </sheetViews>
  <sheetFormatPr defaultColWidth="10.57421875" customHeight="1" defaultRowHeight="14.25"/>
  <cols>
    <col min="1" max="1" style="11074" width="11.57421875" hidden="1" customWidth="1"/>
    <col min="2" max="2" style="11074" width="11.00390625" hidden="1" customWidth="1"/>
    <col min="3" max="3" style="11074" width="10.57421875" hidden="1"/>
    <col min="4" max="4" style="11074" width="12.8515625" hidden="1" customWidth="1"/>
    <col min="5" max="5" style="11074" width="10.00390625" hidden="1" customWidth="1"/>
    <col min="6" max="6" style="11074" width="8.7109375" hidden="1" customWidth="1"/>
    <col min="7" max="7" style="11074" width="7.57421875" hidden="1" customWidth="1"/>
    <col min="8" max="8" style="11074" width="11.421875" hidden="1" customWidth="1"/>
    <col min="9" max="9" style="11074" width="12.00390625" hidden="1" customWidth="1"/>
    <col min="10" max="10" style="11074" width="9.8515625" hidden="1" customWidth="1"/>
    <col min="11" max="11" style="11074" width="11.421875" hidden="1" customWidth="1"/>
    <col min="12" max="12" style="11240" width="19.140625" hidden="1" customWidth="1"/>
    <col min="13" max="14" style="9887" width="12.28125" hidden="1" customWidth="1"/>
    <col min="15" max="15" style="9887" width="23.421875" hidden="1" customWidth="1"/>
    <col min="16" max="16" style="9887" width="3.7109375" hidden="1" customWidth="1"/>
    <col min="17" max="17" style="9945" width="3.7109375" hidden="1" customWidth="1"/>
    <col min="18" max="18" style="10046" width="3.7109375" customWidth="1"/>
    <col min="19" max="19" style="11124" width="12.7109375" customWidth="1"/>
    <col min="20" max="20" style="11126" width="32.00390625" customWidth="1"/>
    <col min="21" max="21" style="11126" width="0.140625" customWidth="1"/>
    <col min="22" max="25" style="11126" width="21.7109375" hidden="1" customWidth="1"/>
    <col min="26" max="26" style="11126" width="11.7109375" hidden="1" customWidth="1"/>
    <col min="27" max="27" style="11126" width="3.7109375" hidden="1" customWidth="1"/>
    <col min="28" max="28" style="11126" width="11.7109375" hidden="1" customWidth="1"/>
    <col min="29" max="29" style="11126" width="8.57421875" hidden="1" customWidth="1"/>
    <col min="30" max="32" style="11126" width="3.7109375" customWidth="1"/>
    <col min="33" max="33" style="11126" width="24.7109375" customWidth="1"/>
    <col min="34" max="36" style="11126" width="3.7109375" customWidth="1"/>
    <col min="37" max="37" style="11126" width="24.7109375" customWidth="1"/>
    <col min="38" max="40" style="11126" width="3.7109375" customWidth="1"/>
    <col min="41" max="41" style="11126" width="18.8515625" customWidth="1"/>
    <col min="42" max="44" style="11126" width="3.7109375" customWidth="1"/>
    <col min="45" max="45" style="11126" width="18.8515625" customWidth="1"/>
    <col min="46" max="49" style="11126" width="21.7109375" customWidth="1"/>
    <col min="50" max="50" style="11126" width="11.7109375" customWidth="1"/>
    <col min="51" max="51" style="11126" width="3.7109375" customWidth="1"/>
    <col min="52" max="52" style="11126" width="11.7109375" customWidth="1"/>
    <col min="53" max="53" style="11126" width="8.57421875" hidden="1" customWidth="1"/>
    <col min="54" max="54" style="11126" width="4.7109375" customWidth="1"/>
    <col min="55" max="55" style="11126" width="115.7109375" customWidth="1"/>
    <col min="56" max="57" style="10863" width="10.57421875"/>
    <col min="58" max="58" style="10863" width="11.140625" customWidth="1"/>
    <col min="59" max="60" style="10863" width="10.57421875"/>
  </cols>
  <sheetData>
    <row customHeight="1" ht="14.25" hidden="1">
      <c r="W1" s="548"/>
      <c r="Y1" s="548"/>
      <c r="Z1" s="548"/>
      <c r="AW1" s="548"/>
      <c r="AX1" s="548"/>
    </row>
    <row customHeight="1" ht="21" hidden="1">
      <c r="A2" s="1659"/>
      <c r="B2" s="1659"/>
      <c r="C2" s="1659"/>
      <c r="D2" s="1659"/>
      <c r="E2" s="2424">
        <v>1</v>
      </c>
      <c r="F2" s="1659"/>
      <c r="G2" s="1659"/>
      <c r="H2" s="1659"/>
      <c r="I2" s="1659"/>
      <c r="J2" s="1659"/>
      <c r="K2" s="1659"/>
      <c r="L2" s="1660"/>
      <c r="M2" s="1661"/>
      <c r="N2" s="1661"/>
      <c r="O2" s="1661"/>
      <c r="P2" s="1706"/>
      <c r="Q2" s="1120"/>
      <c r="R2" s="576"/>
      <c r="S2" s="1790">
        <f>INDEX(PT_DIFFERENTIATION_NUM_NTAR,MATCH(A2,PT_DIFFERENTIATION_NTAR_ID,0))</f>
      </c>
      <c r="T2" s="508" t="s">
        <v>200</v>
      </c>
      <c r="U2" s="510"/>
      <c r="V2" s="4038"/>
      <c r="W2" s="4038"/>
      <c r="X2" s="4038"/>
      <c r="Y2" s="4038"/>
      <c r="Z2" s="4038"/>
      <c r="AA2" s="4038"/>
      <c r="AB2" s="4038"/>
      <c r="AC2" s="4039"/>
      <c r="AD2" s="4037">
        <f>INDEX(PT_DIFFERENTIATION_NTAR,MATCH(A2,PT_DIFFERENTIATION_NTAR_ID,0))</f>
      </c>
      <c r="AE2" s="4038"/>
      <c r="AF2" s="4038"/>
      <c r="AG2" s="4038"/>
      <c r="AH2" s="4038"/>
      <c r="AI2" s="4038"/>
      <c r="AJ2" s="4038"/>
      <c r="AK2" s="4038"/>
      <c r="AL2" s="4038"/>
      <c r="AM2" s="4038"/>
      <c r="AN2" s="4038"/>
      <c r="AO2" s="4038"/>
      <c r="AP2" s="4038"/>
      <c r="AQ2" s="4038"/>
      <c r="AR2" s="4038"/>
      <c r="AS2" s="4038"/>
      <c r="AT2" s="4038"/>
      <c r="AU2" s="4038"/>
      <c r="AV2" s="4038"/>
      <c r="AW2" s="4038"/>
      <c r="AX2" s="4038"/>
      <c r="AY2" s="4038"/>
      <c r="AZ2" s="4038"/>
      <c r="BA2" s="4038"/>
      <c r="BB2" s="4039"/>
      <c r="BC2" s="1546"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737"/>
      <c r="BF2" s="737" t="str">
        <f>IF(T2="","",T2)</f>
        <v>Наименование тарифа</v>
      </c>
      <c r="BG2" s="737"/>
      <c r="BH2" s="737"/>
    </row>
    <row customHeight="1" ht="21" hidden="1">
      <c r="A3" s="1659"/>
      <c r="B3" s="1659"/>
      <c r="C3" s="1659"/>
      <c r="D3" s="1659"/>
      <c r="E3" s="2425"/>
      <c r="F3" s="2424">
        <v>1</v>
      </c>
      <c r="G3" s="1659"/>
      <c r="H3" s="1659"/>
      <c r="I3" s="1659"/>
      <c r="J3" s="1659"/>
      <c r="K3" s="1659"/>
      <c r="L3" s="1660"/>
      <c r="M3" s="1661"/>
      <c r="N3" s="1661"/>
      <c r="O3" s="1661"/>
      <c r="P3" s="1707"/>
      <c r="Q3" s="1708"/>
      <c r="R3" s="574"/>
      <c r="S3" s="1790">
        <f>INDEX(PT_DIFFERENTIATION_NUM_TER,MATCH(B3,PT_DIFFERENTIATION_TER_ID,0))</f>
      </c>
      <c r="T3" s="520" t="s">
        <v>1517</v>
      </c>
      <c r="U3" s="510"/>
      <c r="V3" s="4038"/>
      <c r="W3" s="4038"/>
      <c r="X3" s="4038"/>
      <c r="Y3" s="4038"/>
      <c r="Z3" s="4038"/>
      <c r="AA3" s="4038"/>
      <c r="AB3" s="4038"/>
      <c r="AC3" s="4039"/>
      <c r="AD3" s="4037">
        <f>INDEX(PT_DIFFERENTIATION_TER,MATCH(B3,PT_DIFFERENTIATION_TER_ID,0))</f>
      </c>
      <c r="AE3" s="4038"/>
      <c r="AF3" s="4038"/>
      <c r="AG3" s="4038"/>
      <c r="AH3" s="4038"/>
      <c r="AI3" s="4038"/>
      <c r="AJ3" s="4038"/>
      <c r="AK3" s="4038"/>
      <c r="AL3" s="4038"/>
      <c r="AM3" s="4038"/>
      <c r="AN3" s="4038"/>
      <c r="AO3" s="4038"/>
      <c r="AP3" s="4038"/>
      <c r="AQ3" s="4038"/>
      <c r="AR3" s="4038"/>
      <c r="AS3" s="4038"/>
      <c r="AT3" s="4038"/>
      <c r="AU3" s="4038"/>
      <c r="AV3" s="4038"/>
      <c r="AW3" s="4038"/>
      <c r="AX3" s="4038"/>
      <c r="AY3" s="4038"/>
      <c r="AZ3" s="4038"/>
      <c r="BA3" s="4038"/>
      <c r="BB3" s="4039"/>
      <c r="BC3" s="1546" t="s">
        <v>1518</v>
      </c>
      <c r="BE3" s="737"/>
      <c r="BF3" s="737" t="str">
        <f>IF(T3="","",T3)</f>
        <v>Территория действия тарифа</v>
      </c>
      <c r="BG3" s="737"/>
      <c r="BH3" s="737"/>
    </row>
    <row customHeight="1" ht="33.75" hidden="1">
      <c r="A4" s="1659"/>
      <c r="B4" s="1659"/>
      <c r="C4" s="1659"/>
      <c r="D4" s="1659"/>
      <c r="E4" s="2425"/>
      <c r="F4" s="2425"/>
      <c r="G4" s="2424">
        <v>1</v>
      </c>
      <c r="H4" s="1659"/>
      <c r="I4" s="1659"/>
      <c r="J4" s="1659"/>
      <c r="K4" s="1659"/>
      <c r="L4" s="1660"/>
      <c r="M4" s="1661"/>
      <c r="N4" s="1661"/>
      <c r="O4" s="1661"/>
      <c r="P4" s="1709"/>
      <c r="Q4" s="1708"/>
      <c r="R4" s="574"/>
      <c r="S4" s="1790">
        <f>INDEX(PT_DIFFERENTIATION_NUM_CS,MATCH(C4,PT_DIFFERENTIATION_CS_ID,0))</f>
      </c>
      <c r="T4" s="521" t="s">
        <v>2143</v>
      </c>
      <c r="U4" s="510"/>
      <c r="V4" s="4038"/>
      <c r="W4" s="4038"/>
      <c r="X4" s="4038"/>
      <c r="Y4" s="4038"/>
      <c r="Z4" s="4038"/>
      <c r="AA4" s="4038"/>
      <c r="AB4" s="4038"/>
      <c r="AC4" s="4039"/>
      <c r="AD4" s="4037">
        <f>INDEX(PT_DIFFERENTIATION_CS,MATCH(C4,PT_DIFFERENTIATION_CS_ID,0))</f>
      </c>
      <c r="AE4" s="4038"/>
      <c r="AF4" s="4038"/>
      <c r="AG4" s="4038"/>
      <c r="AH4" s="4038"/>
      <c r="AI4" s="4038"/>
      <c r="AJ4" s="4038"/>
      <c r="AK4" s="4038"/>
      <c r="AL4" s="4038"/>
      <c r="AM4" s="4038"/>
      <c r="AN4" s="4038"/>
      <c r="AO4" s="4038"/>
      <c r="AP4" s="4038"/>
      <c r="AQ4" s="4038"/>
      <c r="AR4" s="4038"/>
      <c r="AS4" s="4038"/>
      <c r="AT4" s="4038"/>
      <c r="AU4" s="4038"/>
      <c r="AV4" s="4038"/>
      <c r="AW4" s="4038"/>
      <c r="AX4" s="4038"/>
      <c r="AY4" s="4038"/>
      <c r="AZ4" s="4038"/>
      <c r="BA4" s="4038"/>
      <c r="BB4" s="4039"/>
      <c r="BC4" s="1546" t="s">
        <v>2144</v>
      </c>
      <c r="BE4" s="737"/>
      <c r="BF4" s="737" t="str">
        <f>IF(T4="","",T4)</f>
        <v>Наименование централизованной системы водоотведения</v>
      </c>
      <c r="BG4" s="737"/>
      <c r="BH4" s="737"/>
    </row>
    <row s="10863" customFormat="1" customHeight="1" ht="14.25" hidden="1">
      <c r="A5" s="1638"/>
      <c r="B5" s="1638"/>
      <c r="C5" s="1638"/>
      <c r="D5" s="1638"/>
      <c r="E5" s="2425"/>
      <c r="F5" s="2425"/>
      <c r="G5" s="2425"/>
      <c r="H5" s="2424">
        <v>1</v>
      </c>
      <c r="I5" s="1638"/>
      <c r="J5" s="1638"/>
      <c r="K5" s="1638"/>
      <c r="L5" s="1641"/>
      <c r="M5" s="1610"/>
      <c r="N5" s="1610"/>
      <c r="O5" s="1610"/>
      <c r="P5" s="1794"/>
      <c r="Q5" s="1795"/>
      <c r="R5" s="578"/>
      <c r="S5" s="1300"/>
      <c r="T5" s="1796"/>
      <c r="U5" s="1680"/>
      <c r="V5" s="2464"/>
      <c r="W5" s="2464"/>
      <c r="X5" s="2464"/>
      <c r="Y5" s="2464"/>
      <c r="Z5" s="2464"/>
      <c r="AA5" s="2464"/>
      <c r="AB5" s="2464"/>
      <c r="AC5" s="2465"/>
      <c r="AD5" s="2463"/>
      <c r="AE5" s="2464"/>
      <c r="AF5" s="2464"/>
      <c r="AG5" s="2464"/>
      <c r="AH5" s="2464"/>
      <c r="AI5" s="2464"/>
      <c r="AJ5" s="2464"/>
      <c r="AK5" s="2464"/>
      <c r="AL5" s="2464"/>
      <c r="AM5" s="2464"/>
      <c r="AN5" s="2464"/>
      <c r="AO5" s="2464"/>
      <c r="AP5" s="2464"/>
      <c r="AQ5" s="2464"/>
      <c r="AR5" s="2464"/>
      <c r="AS5" s="2464"/>
      <c r="AT5" s="2464"/>
      <c r="AU5" s="2464"/>
      <c r="AV5" s="2464"/>
      <c r="AW5" s="2464"/>
      <c r="AX5" s="2464"/>
      <c r="AY5" s="2464"/>
      <c r="AZ5" s="2464"/>
      <c r="BA5" s="2464"/>
      <c r="BB5" s="2465"/>
      <c r="BC5" s="1681" t="s">
        <v>1522</v>
      </c>
      <c r="BE5" s="737"/>
      <c r="BF5" s="737" t="str">
        <f>IF(T5="","",T5)</f>
        <v/>
      </c>
      <c r="BG5" s="737"/>
      <c r="BH5" s="737"/>
    </row>
    <row s="10863" customFormat="1" customHeight="1" ht="14.25" hidden="1">
      <c r="A6" s="1638"/>
      <c r="B6" s="1638"/>
      <c r="C6" s="1638"/>
      <c r="D6" s="1638"/>
      <c r="E6" s="2425"/>
      <c r="F6" s="2425"/>
      <c r="G6" s="2425"/>
      <c r="H6" s="2425"/>
      <c r="I6" s="2453" t="str">
        <f>S5&amp;".1"</f>
        <v>.1</v>
      </c>
      <c r="J6" s="1638"/>
      <c r="K6" s="1638"/>
      <c r="L6" s="1641" t="s">
        <v>1523</v>
      </c>
      <c r="M6" s="747"/>
      <c r="N6" s="747"/>
      <c r="O6" s="747"/>
      <c r="P6" s="2423">
        <v>1</v>
      </c>
      <c r="Q6" s="1778"/>
      <c r="R6" s="577"/>
      <c r="S6" s="1300"/>
      <c r="T6" s="1679"/>
      <c r="U6" s="1680"/>
      <c r="V6" s="2464"/>
      <c r="W6" s="2464"/>
      <c r="X6" s="2464"/>
      <c r="Y6" s="2464"/>
      <c r="Z6" s="2464"/>
      <c r="AA6" s="2464"/>
      <c r="AB6" s="2464"/>
      <c r="AC6" s="2465"/>
      <c r="AD6" s="2463"/>
      <c r="AE6" s="2464"/>
      <c r="AF6" s="2464"/>
      <c r="AG6" s="2464"/>
      <c r="AH6" s="2464"/>
      <c r="AI6" s="2464"/>
      <c r="AJ6" s="2464"/>
      <c r="AK6" s="2464"/>
      <c r="AL6" s="2464"/>
      <c r="AM6" s="2464"/>
      <c r="AN6" s="2464"/>
      <c r="AO6" s="2464"/>
      <c r="AP6" s="2464"/>
      <c r="AQ6" s="2464"/>
      <c r="AR6" s="2464"/>
      <c r="AS6" s="2464"/>
      <c r="AT6" s="2464"/>
      <c r="AU6" s="2464"/>
      <c r="AV6" s="2464"/>
      <c r="AW6" s="2464"/>
      <c r="AX6" s="2464"/>
      <c r="AY6" s="2464"/>
      <c r="AZ6" s="2464"/>
      <c r="BA6" s="2464"/>
      <c r="BB6" s="2465"/>
      <c r="BC6" s="1681"/>
      <c r="BE6" s="737"/>
      <c r="BF6" s="737" t="str">
        <f>IF(T6="","",T6)</f>
        <v/>
      </c>
      <c r="BG6" s="737"/>
      <c r="BH6" s="737"/>
    </row>
    <row s="10863" customFormat="1" customHeight="1" ht="14.25" hidden="1">
      <c r="A7" s="1638"/>
      <c r="B7" s="1638"/>
      <c r="C7" s="1638"/>
      <c r="D7" s="1638"/>
      <c r="E7" s="2425"/>
      <c r="F7" s="2425"/>
      <c r="G7" s="2425"/>
      <c r="H7" s="2425"/>
      <c r="I7" s="2454"/>
      <c r="J7" s="2422" t="str">
        <f>S5&amp;".1"</f>
        <v>.1</v>
      </c>
      <c r="K7" s="1638"/>
      <c r="L7" s="1641"/>
      <c r="M7" s="747"/>
      <c r="N7" s="747"/>
      <c r="O7" s="747"/>
      <c r="P7" s="2423"/>
      <c r="Q7" s="2423">
        <v>1</v>
      </c>
      <c r="R7" s="578"/>
      <c r="S7" s="1300"/>
      <c r="T7" s="1695"/>
      <c r="U7" s="1680"/>
      <c r="V7" s="2464"/>
      <c r="W7" s="2464"/>
      <c r="X7" s="2464"/>
      <c r="Y7" s="2464"/>
      <c r="Z7" s="2464"/>
      <c r="AA7" s="2464"/>
      <c r="AB7" s="2464"/>
      <c r="AC7" s="2465"/>
      <c r="AD7" s="2463"/>
      <c r="AE7" s="2464"/>
      <c r="AF7" s="2464"/>
      <c r="AG7" s="2464"/>
      <c r="AH7" s="2464"/>
      <c r="AI7" s="2464"/>
      <c r="AJ7" s="2464"/>
      <c r="AK7" s="2464"/>
      <c r="AL7" s="2464"/>
      <c r="AM7" s="2464"/>
      <c r="AN7" s="2464"/>
      <c r="AO7" s="2464"/>
      <c r="AP7" s="2464"/>
      <c r="AQ7" s="2464"/>
      <c r="AR7" s="2464"/>
      <c r="AS7" s="2464"/>
      <c r="AT7" s="2464"/>
      <c r="AU7" s="2464"/>
      <c r="AV7" s="2464"/>
      <c r="AW7" s="2464"/>
      <c r="AX7" s="2464"/>
      <c r="AY7" s="2464"/>
      <c r="AZ7" s="2464"/>
      <c r="BA7" s="2464"/>
      <c r="BB7" s="2465"/>
      <c r="BC7" s="1681"/>
      <c r="BE7" s="737"/>
      <c r="BF7" s="737" t="str">
        <f>IF(T7="","",T7)</f>
        <v/>
      </c>
      <c r="BG7" s="737"/>
      <c r="BH7" s="737"/>
    </row>
    <row customHeight="1" ht="11.25" hidden="1">
      <c r="A8" s="1659"/>
      <c r="B8" s="1659"/>
      <c r="C8" s="1659"/>
      <c r="D8" s="1659"/>
      <c r="E8" s="2425"/>
      <c r="F8" s="2425"/>
      <c r="G8" s="2425"/>
      <c r="H8" s="2425"/>
      <c r="I8" s="2454"/>
      <c r="J8" s="2455"/>
      <c r="K8" s="2422">
        <f>S4&amp;".1"</f>
      </c>
      <c r="L8" s="1660"/>
      <c r="P8" s="2423"/>
      <c r="Q8" s="2423"/>
      <c r="R8" s="2513">
        <v>1</v>
      </c>
      <c r="S8" s="2507">
        <f>$K8</f>
      </c>
      <c r="T8" s="2585"/>
      <c r="U8" s="510"/>
      <c r="V8" s="4065"/>
      <c r="W8" s="4067"/>
      <c r="X8" s="4065"/>
      <c r="Y8" s="4067"/>
      <c r="Z8" s="2049"/>
      <c r="AA8" s="1766" t="s">
        <v>67</v>
      </c>
      <c r="AB8" s="2049"/>
      <c r="AC8" s="1766" t="s">
        <v>67</v>
      </c>
      <c r="AD8" s="2232" t="s">
        <v>67</v>
      </c>
      <c r="AE8" s="2496"/>
      <c r="AF8" s="2497">
        <v>1</v>
      </c>
      <c r="AG8" s="2589"/>
      <c r="AH8" s="2142" t="s">
        <v>67</v>
      </c>
      <c r="AI8" s="2496"/>
      <c r="AJ8" s="2497">
        <v>1</v>
      </c>
      <c r="AK8" s="2588" t="s">
        <v>17</v>
      </c>
      <c r="AL8" s="2142" t="s">
        <v>67</v>
      </c>
      <c r="AM8" s="2580"/>
      <c r="AN8" s="2497">
        <v>1</v>
      </c>
      <c r="AO8" s="2582"/>
      <c r="AP8" s="2583" t="s">
        <v>67</v>
      </c>
      <c r="AQ8" s="523"/>
      <c r="AR8" s="1783">
        <v>1</v>
      </c>
      <c r="AS8" s="1789" t="s">
        <v>17</v>
      </c>
      <c r="AT8" s="4065"/>
      <c r="AU8" s="4067"/>
      <c r="AV8" s="4065"/>
      <c r="AW8" s="4067"/>
      <c r="AX8" s="2049"/>
      <c r="AY8" s="1766" t="s">
        <v>67</v>
      </c>
      <c r="AZ8" s="2049"/>
      <c r="BA8" s="1766" t="s">
        <v>67</v>
      </c>
      <c r="BB8" s="4166"/>
      <c r="BC8" s="2419" t="s">
        <v>1752</v>
      </c>
      <c r="BE8" s="737"/>
      <c r="BF8" s="737" t="str">
        <f>IF(T8="","",T8)</f>
        <v/>
      </c>
      <c r="BG8" s="737"/>
      <c r="BH8" s="737"/>
    </row>
    <row customHeight="1" ht="11.25" hidden="1">
      <c r="A9" s="1659"/>
      <c r="B9" s="1659"/>
      <c r="C9" s="1659"/>
      <c r="D9" s="1659"/>
      <c r="E9" s="2425"/>
      <c r="F9" s="2425"/>
      <c r="G9" s="2425"/>
      <c r="H9" s="2425"/>
      <c r="I9" s="2454"/>
      <c r="J9" s="2455"/>
      <c r="K9" s="2422"/>
      <c r="L9" s="1660"/>
      <c r="P9" s="2423"/>
      <c r="Q9" s="2423"/>
      <c r="R9" s="2513"/>
      <c r="S9" s="2508"/>
      <c r="T9" s="2586"/>
      <c r="U9" s="510"/>
      <c r="V9" s="4225"/>
      <c r="W9" s="4281"/>
      <c r="X9" s="4225"/>
      <c r="Y9" s="4281"/>
      <c r="Z9" s="4225"/>
      <c r="AA9" s="4225"/>
      <c r="AB9" s="4225"/>
      <c r="AC9" s="4225"/>
      <c r="AD9" s="2233"/>
      <c r="AE9" s="2496"/>
      <c r="AF9" s="2497"/>
      <c r="AG9" s="2589"/>
      <c r="AH9" s="2142"/>
      <c r="AI9" s="2496"/>
      <c r="AJ9" s="2497"/>
      <c r="AK9" s="2588"/>
      <c r="AL9" s="2142"/>
      <c r="AM9" s="2581"/>
      <c r="AN9" s="2497"/>
      <c r="AO9" s="2582"/>
      <c r="AP9" s="2584"/>
      <c r="AQ9" s="530"/>
      <c r="AR9" s="652"/>
      <c r="AS9" s="652" t="s">
        <v>1753</v>
      </c>
      <c r="AT9" s="4225"/>
      <c r="AU9" s="4281"/>
      <c r="AV9" s="4225"/>
      <c r="AW9" s="4281"/>
      <c r="AX9" s="4225"/>
      <c r="AY9" s="4225"/>
      <c r="AZ9" s="4225"/>
      <c r="BA9" s="4225"/>
      <c r="BB9" s="4279"/>
      <c r="BC9" s="2420"/>
      <c r="BE9" s="737"/>
      <c r="BF9" s="737"/>
      <c r="BG9" s="737"/>
      <c r="BH9" s="737"/>
    </row>
    <row customHeight="1" ht="11.25" hidden="1">
      <c r="A10" s="1659"/>
      <c r="B10" s="1659"/>
      <c r="C10" s="1659"/>
      <c r="D10" s="1659"/>
      <c r="E10" s="2425"/>
      <c r="F10" s="2425"/>
      <c r="G10" s="2425"/>
      <c r="H10" s="2425"/>
      <c r="I10" s="2454"/>
      <c r="J10" s="2455"/>
      <c r="K10" s="2422"/>
      <c r="L10" s="1660"/>
      <c r="P10" s="2423"/>
      <c r="Q10" s="2423"/>
      <c r="R10" s="2513"/>
      <c r="S10" s="2508"/>
      <c r="T10" s="2586"/>
      <c r="U10" s="510"/>
      <c r="V10" s="4225"/>
      <c r="W10" s="4281"/>
      <c r="X10" s="4225"/>
      <c r="Y10" s="4281"/>
      <c r="Z10" s="4225"/>
      <c r="AA10" s="4225"/>
      <c r="AB10" s="4225"/>
      <c r="AC10" s="4225"/>
      <c r="AD10" s="2233"/>
      <c r="AE10" s="2496"/>
      <c r="AF10" s="2497"/>
      <c r="AG10" s="2589"/>
      <c r="AH10" s="2142"/>
      <c r="AI10" s="2496"/>
      <c r="AJ10" s="2497"/>
      <c r="AK10" s="2588"/>
      <c r="AL10" s="2142"/>
      <c r="AM10" s="530"/>
      <c r="AN10" s="1797"/>
      <c r="AO10" s="1797" t="s">
        <v>2151</v>
      </c>
      <c r="AP10" s="652"/>
      <c r="AQ10" s="652"/>
      <c r="AR10" s="652"/>
      <c r="AS10" s="4225"/>
      <c r="AT10" s="4225"/>
      <c r="AU10" s="4281"/>
      <c r="AV10" s="4225"/>
      <c r="AW10" s="4281"/>
      <c r="AX10" s="4225"/>
      <c r="AY10" s="4225"/>
      <c r="AZ10" s="4225"/>
      <c r="BA10" s="4225"/>
      <c r="BB10" s="4279"/>
      <c r="BC10" s="2420"/>
      <c r="BE10" s="737"/>
      <c r="BF10" s="737"/>
      <c r="BG10" s="737"/>
      <c r="BH10" s="737"/>
    </row>
    <row customHeight="1" ht="11.25" hidden="1">
      <c r="A11" s="1659"/>
      <c r="B11" s="1659"/>
      <c r="C11" s="1659"/>
      <c r="D11" s="1659"/>
      <c r="E11" s="2425"/>
      <c r="F11" s="2425"/>
      <c r="G11" s="2425"/>
      <c r="H11" s="2425"/>
      <c r="I11" s="2454"/>
      <c r="J11" s="2455"/>
      <c r="K11" s="2422"/>
      <c r="L11" s="1660"/>
      <c r="P11" s="2423"/>
      <c r="Q11" s="2423"/>
      <c r="R11" s="2513"/>
      <c r="S11" s="2508"/>
      <c r="T11" s="2586"/>
      <c r="U11" s="510"/>
      <c r="V11" s="4225"/>
      <c r="W11" s="4281"/>
      <c r="X11" s="4225"/>
      <c r="Y11" s="4281"/>
      <c r="Z11" s="4225"/>
      <c r="AA11" s="4225"/>
      <c r="AB11" s="4225"/>
      <c r="AC11" s="4225"/>
      <c r="AD11" s="2233"/>
      <c r="AE11" s="2496"/>
      <c r="AF11" s="2497"/>
      <c r="AG11" s="2589"/>
      <c r="AH11" s="2142"/>
      <c r="AI11" s="504"/>
      <c r="AJ11" s="651"/>
      <c r="AK11" s="525" t="s">
        <v>2152</v>
      </c>
      <c r="AL11" s="4225"/>
      <c r="AM11" s="4225"/>
      <c r="AN11" s="4225"/>
      <c r="AO11" s="4225"/>
      <c r="AP11" s="4225"/>
      <c r="AQ11" s="4225"/>
      <c r="AR11" s="4225"/>
      <c r="AS11" s="4225"/>
      <c r="AT11" s="4225"/>
      <c r="AU11" s="4281"/>
      <c r="AV11" s="4225"/>
      <c r="AW11" s="4281"/>
      <c r="AX11" s="4225"/>
      <c r="AY11" s="4225"/>
      <c r="AZ11" s="4225"/>
      <c r="BA11" s="4225"/>
      <c r="BB11" s="4279"/>
      <c r="BC11" s="2420"/>
      <c r="BE11" s="737"/>
      <c r="BF11" s="737"/>
      <c r="BG11" s="737"/>
      <c r="BH11" s="737"/>
    </row>
    <row customHeight="1" ht="11.25" hidden="1">
      <c r="A12" s="1659"/>
      <c r="B12" s="1659"/>
      <c r="C12" s="1659"/>
      <c r="D12" s="1659"/>
      <c r="E12" s="2425"/>
      <c r="F12" s="2425"/>
      <c r="G12" s="2425"/>
      <c r="H12" s="2425"/>
      <c r="I12" s="2454"/>
      <c r="J12" s="2455"/>
      <c r="K12" s="2422"/>
      <c r="L12" s="1660"/>
      <c r="P12" s="2423"/>
      <c r="Q12" s="2423"/>
      <c r="R12" s="2513"/>
      <c r="S12" s="2509"/>
      <c r="T12" s="2587"/>
      <c r="U12" s="510"/>
      <c r="V12" s="4225"/>
      <c r="W12" s="4226" t="str">
        <f>Z8&amp;"-"&amp;AB8</f>
        <v>-</v>
      </c>
      <c r="X12" s="4225"/>
      <c r="Y12" s="4226" t="str">
        <f>AB8&amp;"-"&amp;AD8</f>
        <v>-да</v>
      </c>
      <c r="Z12" s="4225"/>
      <c r="AA12" s="4225"/>
      <c r="AB12" s="4225"/>
      <c r="AC12" s="4225"/>
      <c r="AD12" s="2147"/>
      <c r="AE12" s="524"/>
      <c r="AF12" s="526"/>
      <c r="AG12" s="652" t="s">
        <v>1756</v>
      </c>
      <c r="AH12" s="4225"/>
      <c r="AI12" s="4225"/>
      <c r="AJ12" s="4225"/>
      <c r="AK12" s="4225"/>
      <c r="AL12" s="4225"/>
      <c r="AM12" s="4225"/>
      <c r="AN12" s="4225"/>
      <c r="AO12" s="4225"/>
      <c r="AP12" s="4225"/>
      <c r="AQ12" s="4225"/>
      <c r="AR12" s="4225"/>
      <c r="AS12" s="4225"/>
      <c r="AT12" s="4225"/>
      <c r="AU12" s="4226" t="str">
        <f>AX8&amp;"-"&amp;AZ8</f>
        <v>-</v>
      </c>
      <c r="AV12" s="4225"/>
      <c r="AW12" s="4226" t="str">
        <f>AZ8&amp;"-"&amp;BB8</f>
        <v>-</v>
      </c>
      <c r="AX12" s="4225"/>
      <c r="AY12" s="4225"/>
      <c r="AZ12" s="4225"/>
      <c r="BA12" s="4225"/>
      <c r="BB12" s="4286" t="str">
        <f>BE8&amp;"-"&amp;BG8</f>
        <v>-</v>
      </c>
      <c r="BC12" s="2420"/>
      <c r="BE12" s="737"/>
      <c r="BF12" s="737" t="str">
        <f>IF(T12="","",T12)</f>
        <v/>
      </c>
      <c r="BG12" s="737"/>
      <c r="BH12" s="737"/>
    </row>
    <row customHeight="1" ht="11.25" hidden="1">
      <c r="A13" s="1659"/>
      <c r="B13" s="1659"/>
      <c r="C13" s="1659"/>
      <c r="D13" s="1659"/>
      <c r="E13" s="2425"/>
      <c r="F13" s="2425"/>
      <c r="G13" s="2425"/>
      <c r="H13" s="2425"/>
      <c r="I13" s="2454"/>
      <c r="J13" s="2422"/>
      <c r="K13" s="1659"/>
      <c r="L13" s="1660"/>
      <c r="P13" s="2423"/>
      <c r="Q13" s="2423"/>
      <c r="R13" s="577"/>
      <c r="S13" s="1568"/>
      <c r="T13" s="497" t="s">
        <v>1597</v>
      </c>
      <c r="U13" s="592"/>
      <c r="V13" s="592"/>
      <c r="W13" s="592"/>
      <c r="X13" s="592"/>
      <c r="Y13" s="592"/>
      <c r="Z13" s="592"/>
      <c r="AA13" s="592"/>
      <c r="AB13" s="592"/>
      <c r="AC13" s="592"/>
      <c r="AD13" s="1802"/>
      <c r="AE13" s="592"/>
      <c r="AF13" s="592"/>
      <c r="AG13" s="592"/>
      <c r="AH13" s="592"/>
      <c r="AI13" s="592"/>
      <c r="AJ13" s="592"/>
      <c r="AK13" s="592"/>
      <c r="AL13" s="592"/>
      <c r="AM13" s="592"/>
      <c r="AN13" s="592"/>
      <c r="AO13" s="592"/>
      <c r="AP13" s="592"/>
      <c r="AQ13" s="592"/>
      <c r="AR13" s="592"/>
      <c r="AS13" s="592"/>
      <c r="AT13" s="592"/>
      <c r="AU13" s="592"/>
      <c r="AV13" s="592"/>
      <c r="AW13" s="592"/>
      <c r="AX13" s="592"/>
      <c r="AY13" s="592"/>
      <c r="AZ13" s="592"/>
      <c r="BA13" s="592"/>
      <c r="BB13" s="544"/>
      <c r="BC13" s="2421"/>
      <c r="BE13" s="737"/>
      <c r="BF13" s="737" t="str">
        <f>IF(T13="","",T13)</f>
        <v>Добавить строку</v>
      </c>
      <c r="BG13" s="737"/>
      <c r="BH13" s="737"/>
    </row>
    <row s="10863" customFormat="1" customHeight="1" ht="14.25" hidden="1">
      <c r="A14" s="1638"/>
      <c r="B14" s="1638"/>
      <c r="C14" s="1638"/>
      <c r="D14" s="1638"/>
      <c r="E14" s="2425"/>
      <c r="F14" s="2425"/>
      <c r="G14" s="2425"/>
      <c r="H14" s="2425"/>
      <c r="I14" s="2453"/>
      <c r="J14" s="1638"/>
      <c r="K14" s="1638"/>
      <c r="L14" s="1641"/>
      <c r="M14" s="747"/>
      <c r="N14" s="747"/>
      <c r="O14" s="747"/>
      <c r="P14" s="2423"/>
      <c r="Q14" s="1778"/>
      <c r="R14" s="577"/>
      <c r="S14" s="1682"/>
      <c r="T14" s="1683"/>
      <c r="U14" s="1684"/>
      <c r="V14" s="1684"/>
      <c r="W14" s="1684"/>
      <c r="X14" s="1684"/>
      <c r="Y14" s="1684"/>
      <c r="Z14" s="1684"/>
      <c r="AA14" s="1684"/>
      <c r="AB14" s="1684"/>
      <c r="AC14" s="1684"/>
      <c r="AD14" s="1684"/>
      <c r="AE14" s="1684"/>
      <c r="AF14" s="1684"/>
      <c r="AG14" s="1684"/>
      <c r="AH14" s="1684"/>
      <c r="AI14" s="1684"/>
      <c r="AJ14" s="1684"/>
      <c r="AK14" s="1684"/>
      <c r="AL14" s="1684"/>
      <c r="AM14" s="1684"/>
      <c r="AN14" s="1684"/>
      <c r="AO14" s="1684"/>
      <c r="AP14" s="1684"/>
      <c r="AQ14" s="1684"/>
      <c r="AR14" s="1684"/>
      <c r="AS14" s="1684"/>
      <c r="AT14" s="1684"/>
      <c r="AU14" s="1684"/>
      <c r="AV14" s="1684"/>
      <c r="AW14" s="1684"/>
      <c r="AX14" s="1684"/>
      <c r="AY14" s="1684"/>
      <c r="AZ14" s="1684"/>
      <c r="BA14" s="1684"/>
      <c r="BB14" s="1684"/>
      <c r="BC14" s="1685"/>
      <c r="BE14" s="737"/>
      <c r="BF14" s="737" t="str">
        <f>IF(T14="","",T14)</f>
        <v/>
      </c>
      <c r="BG14" s="737"/>
      <c r="BH14" s="737"/>
    </row>
    <row s="10863" customFormat="1" customHeight="1" ht="14.25" hidden="1">
      <c r="A15" s="1638"/>
      <c r="B15" s="1638"/>
      <c r="C15" s="1638"/>
      <c r="D15" s="1638"/>
      <c r="E15" s="2425"/>
      <c r="F15" s="2425"/>
      <c r="G15" s="2425"/>
      <c r="H15" s="2424"/>
      <c r="I15" s="1638"/>
      <c r="J15" s="1638"/>
      <c r="K15" s="1638"/>
      <c r="L15" s="1641"/>
      <c r="M15" s="1610"/>
      <c r="N15" s="1610"/>
      <c r="O15" s="755"/>
      <c r="P15" s="610"/>
      <c r="Q15" s="1639"/>
      <c r="R15" s="1697"/>
      <c r="S15" s="1682"/>
      <c r="T15" s="1683"/>
      <c r="U15" s="1684"/>
      <c r="V15" s="1684"/>
      <c r="W15" s="1684"/>
      <c r="X15" s="1684"/>
      <c r="Y15" s="1684"/>
      <c r="Z15" s="1684"/>
      <c r="AA15" s="1684"/>
      <c r="AB15" s="1684"/>
      <c r="AC15" s="1684"/>
      <c r="AD15" s="1684"/>
      <c r="AE15" s="1684"/>
      <c r="AF15" s="1684"/>
      <c r="AG15" s="1684"/>
      <c r="AH15" s="1684"/>
      <c r="AI15" s="1684"/>
      <c r="AJ15" s="1684"/>
      <c r="AK15" s="1684"/>
      <c r="AL15" s="1684"/>
      <c r="AM15" s="1684"/>
      <c r="AN15" s="1684"/>
      <c r="AO15" s="1684"/>
      <c r="AP15" s="1684"/>
      <c r="AQ15" s="1684"/>
      <c r="AR15" s="1684"/>
      <c r="AS15" s="1684"/>
      <c r="AT15" s="1684"/>
      <c r="AU15" s="1684"/>
      <c r="AV15" s="1684"/>
      <c r="AW15" s="1684"/>
      <c r="AX15" s="1684"/>
      <c r="AY15" s="1684"/>
      <c r="AZ15" s="1684"/>
      <c r="BA15" s="1684"/>
      <c r="BB15" s="1684"/>
      <c r="BC15" s="1685"/>
      <c r="BE15" s="737"/>
      <c r="BF15" s="737" t="str">
        <f>IF(T15="","",T15)</f>
        <v/>
      </c>
      <c r="BG15" s="737"/>
      <c r="BH15" s="737"/>
    </row>
    <row s="10863" customFormat="1" customHeight="1" ht="14.25" hidden="1">
      <c r="A16" s="1638"/>
      <c r="B16" s="1638"/>
      <c r="C16" s="1638"/>
      <c r="D16" s="1609"/>
      <c r="E16" s="2425"/>
      <c r="F16" s="2425"/>
      <c r="G16" s="2424"/>
      <c r="H16" s="1609"/>
      <c r="I16" s="1609"/>
      <c r="J16" s="1609"/>
      <c r="K16" s="1609"/>
      <c r="L16" s="1791"/>
      <c r="M16" s="1610"/>
      <c r="N16" s="1610"/>
      <c r="P16" s="1611"/>
      <c r="Q16" s="1612"/>
      <c r="R16" s="1611"/>
      <c r="S16" s="1617"/>
      <c r="T16" s="1620"/>
      <c r="U16" s="1619"/>
      <c r="V16" s="1619"/>
      <c r="W16" s="1619"/>
      <c r="X16" s="1619"/>
      <c r="Y16" s="1619"/>
      <c r="Z16" s="1619"/>
      <c r="AA16" s="1619"/>
      <c r="AB16" s="1619"/>
      <c r="AC16" s="1619"/>
      <c r="AD16" s="1619"/>
      <c r="AE16" s="1619"/>
      <c r="AF16" s="1619"/>
      <c r="AG16" s="1619"/>
      <c r="AH16" s="1619"/>
      <c r="AI16" s="1619"/>
      <c r="AJ16" s="1619"/>
      <c r="AK16" s="1619"/>
      <c r="AL16" s="1619"/>
      <c r="AM16" s="1619"/>
      <c r="AN16" s="1619"/>
      <c r="AO16" s="1619"/>
      <c r="AP16" s="1619"/>
      <c r="AQ16" s="1619"/>
      <c r="AR16" s="1619"/>
      <c r="AS16" s="1619"/>
      <c r="AT16" s="1619"/>
      <c r="AU16" s="1619"/>
      <c r="AV16" s="1619"/>
      <c r="AW16" s="1619"/>
      <c r="AX16" s="1619"/>
      <c r="AY16" s="1619"/>
      <c r="AZ16" s="1619"/>
      <c r="BA16" s="1619"/>
      <c r="BB16" s="1619"/>
      <c r="BC16" s="1619"/>
      <c r="BE16" s="1029"/>
      <c r="BF16" s="1029" t="str">
        <f>IF(T16="","",T16)</f>
        <v/>
      </c>
      <c r="BG16" s="1029"/>
      <c r="BH16" s="1029"/>
    </row>
    <row s="10863" customFormat="1" customHeight="1" ht="14.25" hidden="1">
      <c r="A17" s="1638"/>
      <c r="B17" s="1638"/>
      <c r="C17" s="1609"/>
      <c r="D17" s="1609"/>
      <c r="E17" s="2425"/>
      <c r="F17" s="2424"/>
      <c r="G17" s="1609"/>
      <c r="H17" s="1609"/>
      <c r="I17" s="1609"/>
      <c r="J17" s="1609"/>
      <c r="K17" s="1609"/>
      <c r="L17" s="1791"/>
      <c r="M17" s="1616"/>
      <c r="N17" s="1616"/>
      <c r="P17" s="1611"/>
      <c r="Q17" s="1612"/>
      <c r="R17" s="1611"/>
      <c r="S17" s="1617"/>
      <c r="T17" s="1620" t="s">
        <v>1493</v>
      </c>
      <c r="U17" s="1619"/>
      <c r="V17" s="1619"/>
      <c r="W17" s="1619"/>
      <c r="X17" s="1619"/>
      <c r="Y17" s="1619"/>
      <c r="Z17" s="1619"/>
      <c r="AA17" s="1619"/>
      <c r="AB17" s="1619"/>
      <c r="AC17" s="1619"/>
      <c r="AD17" s="1619"/>
      <c r="AE17" s="1619"/>
      <c r="AF17" s="1619"/>
      <c r="AG17" s="1619"/>
      <c r="AH17" s="1619"/>
      <c r="AI17" s="1619"/>
      <c r="AJ17" s="1619"/>
      <c r="AK17" s="1619"/>
      <c r="AL17" s="1619"/>
      <c r="AM17" s="1619"/>
      <c r="AN17" s="1619"/>
      <c r="AO17" s="1619"/>
      <c r="AP17" s="1619"/>
      <c r="AQ17" s="1619"/>
      <c r="AR17" s="1619"/>
      <c r="AS17" s="1619"/>
      <c r="AT17" s="1619"/>
      <c r="AU17" s="1619"/>
      <c r="AV17" s="1619"/>
      <c r="AW17" s="1619"/>
      <c r="AX17" s="1619"/>
      <c r="AY17" s="1619"/>
      <c r="AZ17" s="1619"/>
      <c r="BA17" s="1619"/>
      <c r="BB17" s="1619"/>
      <c r="BC17" s="1619"/>
      <c r="BE17" s="1029"/>
      <c r="BF17" s="1029" t="str">
        <f>IF(T17="","",T17)</f>
        <v>Добавить централизованную систему для дифференциации</v>
      </c>
      <c r="BG17" s="1029"/>
      <c r="BH17" s="1029"/>
    </row>
    <row s="10863" customFormat="1" customHeight="1" ht="14.25" hidden="1">
      <c r="A18" s="1638"/>
      <c r="B18" s="1638"/>
      <c r="C18" s="1638"/>
      <c r="D18" s="1638"/>
      <c r="E18" s="2424"/>
      <c r="F18" s="1638"/>
      <c r="G18" s="1638"/>
      <c r="H18" s="1638"/>
      <c r="I18" s="1638"/>
      <c r="J18" s="1638"/>
      <c r="K18" s="1638"/>
      <c r="L18" s="1641"/>
      <c r="M18" s="1616"/>
      <c r="N18" s="1616"/>
      <c r="O18" s="755"/>
      <c r="P18" s="610"/>
      <c r="Q18" s="1639"/>
      <c r="R18" s="610"/>
      <c r="S18" s="1617"/>
      <c r="T18" s="1620" t="s">
        <v>1494</v>
      </c>
      <c r="U18" s="1619"/>
      <c r="V18" s="1619"/>
      <c r="W18" s="1619"/>
      <c r="X18" s="1619"/>
      <c r="Y18" s="1619"/>
      <c r="Z18" s="1619"/>
      <c r="AA18" s="1619"/>
      <c r="AB18" s="1619"/>
      <c r="AC18" s="1619"/>
      <c r="AD18" s="1619"/>
      <c r="AE18" s="1619"/>
      <c r="AF18" s="1619"/>
      <c r="AG18" s="1619"/>
      <c r="AH18" s="1619"/>
      <c r="AI18" s="1619"/>
      <c r="AJ18" s="1619"/>
      <c r="AK18" s="1619"/>
      <c r="AL18" s="1619"/>
      <c r="AM18" s="1619"/>
      <c r="AN18" s="1619"/>
      <c r="AO18" s="1619"/>
      <c r="AP18" s="1619"/>
      <c r="AQ18" s="1619"/>
      <c r="AR18" s="1619"/>
      <c r="AS18" s="1619"/>
      <c r="AT18" s="1619"/>
      <c r="AU18" s="1619"/>
      <c r="AV18" s="1619"/>
      <c r="AW18" s="1619"/>
      <c r="AX18" s="1619"/>
      <c r="AY18" s="1619"/>
      <c r="AZ18" s="1619"/>
      <c r="BA18" s="1619"/>
      <c r="BB18" s="1619"/>
      <c r="BC18" s="1619"/>
      <c r="BE18" s="737"/>
      <c r="BF18" s="737" t="str">
        <f>IF(T18="","",T18)</f>
        <v>Добавить территорию для дифференциации</v>
      </c>
      <c r="BG18" s="737"/>
      <c r="BH18" s="737"/>
    </row>
    <row customHeight="1" ht="14.25" hidden="1">
      <c r="AC19" s="548"/>
      <c r="BA19" s="548"/>
    </row>
    <row customHeight="1" ht="14.25" hidden="1">
      <c r="AD20" s="1619" t="s">
        <v>57</v>
      </c>
      <c r="AE20" s="1798"/>
      <c r="AF20" s="785">
        <v>1</v>
      </c>
      <c r="AG20" s="1799"/>
      <c r="AH20" s="1619" t="s">
        <v>57</v>
      </c>
      <c r="AI20" s="1798"/>
      <c r="AJ20" s="785">
        <v>1</v>
      </c>
      <c r="AK20" s="1799"/>
      <c r="AL20" s="1619" t="s">
        <v>57</v>
      </c>
      <c r="AM20" s="1800"/>
      <c r="AN20" s="785">
        <v>1</v>
      </c>
      <c r="AO20" s="1801"/>
      <c r="AP20" s="1619" t="s">
        <v>57</v>
      </c>
      <c r="AQ20" s="1800"/>
      <c r="AR20" s="785">
        <v>1</v>
      </c>
      <c r="AS20" s="1801"/>
      <c r="AT20" s="4066"/>
      <c r="AU20" s="4186"/>
      <c r="AV20" s="4066"/>
      <c r="AW20" s="4186"/>
      <c r="AX20" s="2051"/>
      <c r="AY20" s="1782" t="s">
        <v>67</v>
      </c>
      <c r="AZ20" s="2051"/>
      <c r="BA20" s="1782" t="s">
        <v>67</v>
      </c>
    </row>
    <row customHeight="1" ht="14.25" hidden="1">
      <c r="BD21" s="733"/>
      <c r="BE21" s="733"/>
      <c r="BF21" s="733"/>
      <c r="BG21" s="733"/>
      <c r="BH21" s="733"/>
    </row>
    <row customHeight="1" ht="14.25" hidden="1">
      <c r="O22" s="1663" t="s">
        <v>1534</v>
      </c>
      <c r="Z22" s="1640"/>
      <c r="AB22" s="1640"/>
      <c r="AC22" s="548"/>
      <c r="AX22" s="1640"/>
      <c r="AZ22" s="1640"/>
      <c r="BA22" s="548"/>
      <c r="BD22" s="733"/>
      <c r="BE22" s="733"/>
      <c r="BF22" s="733"/>
      <c r="BG22" s="733"/>
      <c r="BH22" s="733"/>
    </row>
    <row customHeight="1" ht="14.25" hidden="1">
      <c r="AC23" s="548"/>
      <c r="BA23" s="548"/>
      <c r="BD23" s="733"/>
      <c r="BE23" s="733"/>
      <c r="BF23" s="733"/>
      <c r="BG23" s="733"/>
      <c r="BH23" s="733"/>
    </row>
    <row s="9928" customFormat="1" customHeight="1" ht="14.25" hidden="1">
      <c r="M24" s="1805"/>
      <c r="N24" s="1805"/>
      <c r="O24" s="1806" t="s">
        <v>1535</v>
      </c>
      <c r="P24" s="1805"/>
      <c r="Q24" s="1807"/>
      <c r="R24" s="1807"/>
      <c r="AA24" s="1804" t="s">
        <v>1537</v>
      </c>
      <c r="AC24" s="1804" t="s">
        <v>1538</v>
      </c>
      <c r="AD24" s="1804" t="s">
        <v>1598</v>
      </c>
      <c r="AH24" s="1804" t="s">
        <v>1598</v>
      </c>
      <c r="AK24" s="1804" t="s">
        <v>1757</v>
      </c>
      <c r="AL24" s="1804" t="s">
        <v>1598</v>
      </c>
      <c r="AP24" s="1804" t="s">
        <v>1598</v>
      </c>
      <c r="AY24" s="1804" t="s">
        <v>1537</v>
      </c>
      <c r="BA24" s="1804" t="s">
        <v>1538</v>
      </c>
      <c r="BD24" s="1808"/>
      <c r="BE24" s="1808"/>
      <c r="BF24" s="1808"/>
      <c r="BG24" s="1808"/>
      <c r="BH24" s="1808"/>
    </row>
    <row customHeight="1" ht="14.25" hidden="1">
      <c r="O25" s="1660"/>
      <c r="BD25" s="733"/>
      <c r="BE25" s="733"/>
      <c r="BF25" s="733"/>
      <c r="BG25" s="733"/>
      <c r="BH25" s="733"/>
    </row>
    <row customHeight="1" ht="14.25" hidden="1">
      <c r="O26" s="1660"/>
      <c r="BD26" s="733"/>
      <c r="BE26" s="733"/>
      <c r="BF26" s="733"/>
      <c r="BG26" s="733"/>
      <c r="BH26" s="733"/>
    </row>
    <row customHeight="1" ht="14.25">
      <c r="Q27" s="501"/>
      <c r="R27" s="602"/>
      <c r="S27" s="1565"/>
      <c r="T27" s="586"/>
      <c r="U27" s="586"/>
      <c r="V27" s="746"/>
      <c r="W27" s="746"/>
      <c r="X27" s="746"/>
      <c r="Y27" s="746"/>
      <c r="Z27" s="746"/>
      <c r="AA27" s="746"/>
      <c r="AB27" s="746"/>
      <c r="AC27" s="746"/>
      <c r="AD27" s="746"/>
      <c r="AE27" s="746"/>
      <c r="AF27" s="746"/>
      <c r="AG27" s="746"/>
      <c r="AH27" s="746"/>
      <c r="AI27" s="746"/>
      <c r="AJ27" s="746"/>
      <c r="AK27" s="746"/>
      <c r="AL27" s="746"/>
      <c r="AM27" s="746"/>
      <c r="AN27" s="746"/>
      <c r="AO27" s="746"/>
      <c r="AP27" s="746"/>
      <c r="AQ27" s="746"/>
      <c r="AR27" s="746"/>
      <c r="AS27" s="746"/>
      <c r="AT27" s="746"/>
      <c r="AU27" s="746"/>
      <c r="AV27" s="746"/>
      <c r="AW27" s="746"/>
      <c r="AX27" s="746"/>
      <c r="AY27" s="746"/>
      <c r="AZ27" s="746"/>
      <c r="BA27" s="746"/>
    </row>
    <row customHeight="1" ht="33.75">
      <c r="Q28" s="501"/>
      <c r="R28" s="602"/>
      <c r="S28" s="2414" t="str">
        <f>IF(TEMPLATE_GROUP="P",PT_P_FORM_VOTV_5_NAME_FORM,PT_R_FORM_VOTV_17_NAME_FORM)</f>
        <v>Форма 17. Информация о предложении расчетной величины тарифов на подключение к централизованной системе водоотведения &lt;1&gt;</v>
      </c>
      <c r="T28" s="2414"/>
      <c r="U28" s="2414"/>
      <c r="V28" s="2414"/>
      <c r="W28" s="2414"/>
      <c r="X28" s="2414"/>
      <c r="Y28" s="2414"/>
      <c r="Z28" s="2414"/>
      <c r="AA28" s="2414"/>
      <c r="AB28" s="2414"/>
      <c r="AC28" s="2414"/>
      <c r="AD28" s="2414"/>
      <c r="AE28" s="2414"/>
      <c r="AF28" s="2414"/>
      <c r="AG28" s="2414"/>
      <c r="AH28" s="2414"/>
      <c r="AI28" s="2414"/>
      <c r="AJ28" s="2414"/>
      <c r="AK28" s="2414"/>
      <c r="AL28" s="2414"/>
      <c r="AM28" s="2414"/>
      <c r="AN28" s="2414"/>
      <c r="AO28" s="2414"/>
      <c r="AP28" s="2414"/>
      <c r="AQ28" s="2414"/>
      <c r="AR28" s="2414"/>
      <c r="AS28" s="2414"/>
      <c r="AT28" s="2414"/>
      <c r="AU28" s="2414"/>
      <c r="AV28" s="2414"/>
      <c r="AW28" s="2414"/>
      <c r="AX28" s="2414"/>
      <c r="AY28" s="2414"/>
      <c r="AZ28" s="2414"/>
      <c r="BA28" s="1521"/>
    </row>
    <row customHeight="1" ht="14.25">
      <c r="Q29" s="501"/>
      <c r="R29" s="602"/>
      <c r="S29" s="2415" t="str">
        <f>IF(org=0,"Не определено",org)</f>
        <v>ООО "СамРЭК-Тепло Жигулевск"</v>
      </c>
      <c r="T29" s="2415"/>
      <c r="U29" s="2415"/>
      <c r="V29" s="2415"/>
      <c r="W29" s="2415"/>
      <c r="X29" s="2415"/>
      <c r="Y29" s="2415"/>
      <c r="Z29" s="2415"/>
      <c r="AA29" s="2415"/>
      <c r="AB29" s="2415"/>
      <c r="AC29" s="2415"/>
      <c r="AD29" s="2415"/>
      <c r="AE29" s="2415"/>
      <c r="AF29" s="2415"/>
      <c r="AG29" s="2415"/>
      <c r="AH29" s="2415"/>
      <c r="AI29" s="2415"/>
      <c r="AJ29" s="2415"/>
      <c r="AK29" s="2415"/>
      <c r="AL29" s="2415"/>
      <c r="AM29" s="2415"/>
      <c r="AN29" s="2415"/>
      <c r="AO29" s="2415"/>
      <c r="AP29" s="2415"/>
      <c r="AQ29" s="2415"/>
      <c r="AR29" s="2415"/>
      <c r="AS29" s="2415"/>
      <c r="AT29" s="2415"/>
      <c r="AU29" s="2415"/>
      <c r="AV29" s="2415"/>
      <c r="AW29" s="2415"/>
      <c r="AX29" s="2415"/>
      <c r="AY29" s="2415"/>
      <c r="AZ29" s="2415"/>
      <c r="BA29" s="1521"/>
    </row>
    <row customHeight="1" ht="14.25" hidden="1">
      <c r="Q30" s="501"/>
      <c r="R30" s="602"/>
      <c r="S30" s="1565"/>
      <c r="T30" s="586"/>
      <c r="U30" s="586"/>
      <c r="V30" s="541"/>
      <c r="W30" s="541"/>
      <c r="X30" s="541"/>
      <c r="Y30" s="541"/>
      <c r="Z30" s="541"/>
      <c r="AA30" s="541"/>
      <c r="AB30" s="541"/>
      <c r="AC30" s="541"/>
      <c r="AD30" s="541"/>
      <c r="AE30" s="541"/>
      <c r="AF30" s="541"/>
      <c r="AG30" s="541"/>
      <c r="AH30" s="541"/>
      <c r="AI30" s="541"/>
      <c r="AJ30" s="541"/>
      <c r="AK30" s="541"/>
      <c r="AL30" s="541"/>
      <c r="AM30" s="541"/>
      <c r="AN30" s="541"/>
      <c r="AO30" s="541"/>
      <c r="AP30" s="541"/>
      <c r="AQ30" s="541"/>
      <c r="AR30" s="541"/>
      <c r="AS30" s="541"/>
      <c r="AT30" s="541"/>
      <c r="AU30" s="541"/>
      <c r="AV30" s="541"/>
      <c r="AW30" s="541"/>
      <c r="AX30" s="541"/>
      <c r="AY30" s="541"/>
      <c r="AZ30" s="541"/>
      <c r="BA30" s="541"/>
      <c r="BB30" s="746"/>
    </row>
    <row s="10859" customFormat="1" customHeight="1" ht="25.5" hidden="1">
      <c r="A31" s="1664"/>
      <c r="B31" s="1664"/>
      <c r="C31" s="1664"/>
      <c r="D31" s="1664"/>
      <c r="E31" s="1664"/>
      <c r="F31" s="1664"/>
      <c r="G31" s="1664"/>
      <c r="H31" s="1664"/>
      <c r="I31" s="1664"/>
      <c r="J31" s="1664"/>
      <c r="K31" s="1664"/>
      <c r="L31" s="1665"/>
      <c r="M31" s="1664"/>
      <c r="N31" s="1664"/>
      <c r="O31" s="1664"/>
      <c r="P31" s="1664"/>
      <c r="Q31" s="1664"/>
      <c r="S31" s="2416" t="s">
        <v>39</v>
      </c>
      <c r="T31" s="2416"/>
      <c r="U31" s="1668"/>
      <c r="V31" s="2417"/>
      <c r="W31" s="2417"/>
      <c r="X31" s="2417"/>
      <c r="Y31" s="2417"/>
      <c r="Z31" s="2417"/>
      <c r="AA31" s="2417"/>
      <c r="AB31" s="2417"/>
      <c r="AC31" s="547"/>
      <c r="AD31" s="2417" t="str">
        <f>IF(TITLE_NAME_OR_PR_CHANGE="",IF(TITLE_NAME_OR_PR="","",TITLE_NAME_OR_PR),TITLE_NAME_OR_PR_CHANGE)</f>
        <v/>
      </c>
      <c r="AE31" s="2417"/>
      <c r="AF31" s="2417"/>
      <c r="AG31" s="2417"/>
      <c r="AH31" s="2417"/>
      <c r="AI31" s="2417"/>
      <c r="AJ31" s="2417"/>
      <c r="AK31" s="2417"/>
      <c r="AL31" s="2417"/>
      <c r="AM31" s="2417"/>
      <c r="AN31" s="2417"/>
      <c r="AO31" s="2417"/>
      <c r="AP31" s="2417"/>
      <c r="AQ31" s="2417"/>
      <c r="AR31" s="2417"/>
      <c r="AS31" s="2417"/>
      <c r="AT31" s="2417"/>
      <c r="AU31" s="2417"/>
      <c r="AV31" s="2417"/>
      <c r="AW31" s="2417"/>
      <c r="AX31" s="2417"/>
      <c r="AY31" s="2417"/>
      <c r="AZ31" s="2417"/>
      <c r="BA31" s="547"/>
      <c r="BB31" s="547"/>
      <c r="BC31" s="490"/>
      <c r="BD31" s="593"/>
      <c r="BE31" s="593"/>
      <c r="BF31" s="593"/>
      <c r="BG31" s="593"/>
      <c r="BH31" s="593"/>
    </row>
    <row s="10859" customFormat="1" customHeight="1" ht="18.75" hidden="1">
      <c r="A32" s="1664"/>
      <c r="B32" s="1664"/>
      <c r="C32" s="1664"/>
      <c r="D32" s="1664"/>
      <c r="E32" s="1664"/>
      <c r="F32" s="1664"/>
      <c r="G32" s="1664"/>
      <c r="H32" s="1664"/>
      <c r="I32" s="1664"/>
      <c r="J32" s="1664"/>
      <c r="K32" s="1664"/>
      <c r="L32" s="1665"/>
      <c r="M32" s="1664"/>
      <c r="N32" s="1664"/>
      <c r="O32" s="1664"/>
      <c r="P32" s="1664"/>
      <c r="Q32" s="1664"/>
      <c r="S32" s="2416" t="s">
        <v>1540</v>
      </c>
      <c r="T32" s="2416"/>
      <c r="U32" s="1668"/>
      <c r="V32" s="2417"/>
      <c r="W32" s="2417"/>
      <c r="X32" s="2417"/>
      <c r="Y32" s="2417"/>
      <c r="Z32" s="2417"/>
      <c r="AA32" s="2417"/>
      <c r="AB32" s="2417"/>
      <c r="AC32" s="547"/>
      <c r="AD32" s="2417" t="str">
        <f>IF(TITLE_DATE_CHANGE_PERIOD="",IF(TITLE_DATE_PR="","",TITLE_DATE_PR),TITLE_DATE_CHANGE_PERIOD)</f>
        <v/>
      </c>
      <c r="AE32" s="2417"/>
      <c r="AF32" s="2417"/>
      <c r="AG32" s="2417"/>
      <c r="AH32" s="2417"/>
      <c r="AI32" s="2417"/>
      <c r="AJ32" s="2417"/>
      <c r="AK32" s="2417"/>
      <c r="AL32" s="2417"/>
      <c r="AM32" s="2417"/>
      <c r="AN32" s="2417"/>
      <c r="AO32" s="2417"/>
      <c r="AP32" s="2417"/>
      <c r="AQ32" s="2417"/>
      <c r="AR32" s="2417"/>
      <c r="AS32" s="2417"/>
      <c r="AT32" s="2417"/>
      <c r="AU32" s="2417"/>
      <c r="AV32" s="2417"/>
      <c r="AW32" s="2417"/>
      <c r="AX32" s="2417"/>
      <c r="AY32" s="2417"/>
      <c r="AZ32" s="2417"/>
      <c r="BA32" s="547"/>
      <c r="BB32" s="547"/>
      <c r="BC32" s="490"/>
      <c r="BD32" s="593"/>
      <c r="BE32" s="593"/>
      <c r="BF32" s="593"/>
      <c r="BG32" s="593"/>
      <c r="BH32" s="593"/>
    </row>
    <row s="10859" customFormat="1" customHeight="1" ht="18.75" hidden="1">
      <c r="A33" s="1664"/>
      <c r="B33" s="1664"/>
      <c r="C33" s="1664"/>
      <c r="D33" s="1664"/>
      <c r="E33" s="1664"/>
      <c r="F33" s="1664"/>
      <c r="G33" s="1664"/>
      <c r="H33" s="1664"/>
      <c r="I33" s="1664"/>
      <c r="J33" s="1664"/>
      <c r="K33" s="1664"/>
      <c r="L33" s="1665"/>
      <c r="M33" s="1664"/>
      <c r="N33" s="1664"/>
      <c r="O33" s="1664"/>
      <c r="P33" s="1664"/>
      <c r="Q33" s="1664"/>
      <c r="S33" s="2416" t="s">
        <v>1541</v>
      </c>
      <c r="T33" s="2416"/>
      <c r="U33" s="1668"/>
      <c r="V33" s="2417"/>
      <c r="W33" s="2417"/>
      <c r="X33" s="2417"/>
      <c r="Y33" s="2417"/>
      <c r="Z33" s="2417"/>
      <c r="AA33" s="2417"/>
      <c r="AB33" s="2417"/>
      <c r="AC33" s="547"/>
      <c r="AD33" s="2417" t="str">
        <f>IF(TITLE_NUMBER_PR_CHANGE="",IF(TITLE_NUMBER_PR="","",TITLE_NUMBER_PR),TITLE_NUMBER_PR_CHANGE)</f>
        <v/>
      </c>
      <c r="AE33" s="2417"/>
      <c r="AF33" s="2417"/>
      <c r="AG33" s="2417"/>
      <c r="AH33" s="2417"/>
      <c r="AI33" s="2417"/>
      <c r="AJ33" s="2417"/>
      <c r="AK33" s="2417"/>
      <c r="AL33" s="2417"/>
      <c r="AM33" s="2417"/>
      <c r="AN33" s="2417"/>
      <c r="AO33" s="2417"/>
      <c r="AP33" s="2417"/>
      <c r="AQ33" s="2417"/>
      <c r="AR33" s="2417"/>
      <c r="AS33" s="2417"/>
      <c r="AT33" s="2417"/>
      <c r="AU33" s="2417"/>
      <c r="AV33" s="2417"/>
      <c r="AW33" s="2417"/>
      <c r="AX33" s="2417"/>
      <c r="AY33" s="2417"/>
      <c r="AZ33" s="2417"/>
      <c r="BA33" s="547"/>
      <c r="BB33" s="547"/>
      <c r="BC33" s="490"/>
      <c r="BD33" s="593"/>
      <c r="BE33" s="593"/>
      <c r="BF33" s="593"/>
      <c r="BG33" s="593"/>
      <c r="BH33" s="593"/>
    </row>
    <row s="10859" customFormat="1" customHeight="1" ht="18.75" hidden="1">
      <c r="A34" s="1664"/>
      <c r="B34" s="1664"/>
      <c r="C34" s="1664"/>
      <c r="D34" s="1664"/>
      <c r="E34" s="1664"/>
      <c r="F34" s="1664"/>
      <c r="G34" s="1664"/>
      <c r="H34" s="1664"/>
      <c r="I34" s="1664"/>
      <c r="J34" s="1664"/>
      <c r="K34" s="1664"/>
      <c r="L34" s="1665"/>
      <c r="M34" s="1664"/>
      <c r="N34" s="1664"/>
      <c r="O34" s="1664"/>
      <c r="P34" s="1664"/>
      <c r="Q34" s="1664"/>
      <c r="S34" s="2416" t="s">
        <v>40</v>
      </c>
      <c r="T34" s="2416"/>
      <c r="U34" s="1668"/>
      <c r="V34" s="2417"/>
      <c r="W34" s="2417"/>
      <c r="X34" s="2417"/>
      <c r="Y34" s="2417"/>
      <c r="Z34" s="2417"/>
      <c r="AA34" s="2417"/>
      <c r="AB34" s="2417"/>
      <c r="AC34" s="547"/>
      <c r="AD34" s="2417" t="str">
        <f>IF(TITLE_IST_PUB_CHANGE="",IF(TITLE_IST_PUB="","",TITLE_IST_PUB),TITLE_IST_PUB_CHANGE)</f>
        <v/>
      </c>
      <c r="AE34" s="2417"/>
      <c r="AF34" s="2417"/>
      <c r="AG34" s="2417"/>
      <c r="AH34" s="2417"/>
      <c r="AI34" s="2417"/>
      <c r="AJ34" s="2417"/>
      <c r="AK34" s="2417"/>
      <c r="AL34" s="2417"/>
      <c r="AM34" s="2417"/>
      <c r="AN34" s="2417"/>
      <c r="AO34" s="2417"/>
      <c r="AP34" s="2417"/>
      <c r="AQ34" s="2417"/>
      <c r="AR34" s="2417"/>
      <c r="AS34" s="2417"/>
      <c r="AT34" s="2417"/>
      <c r="AU34" s="2417"/>
      <c r="AV34" s="2417"/>
      <c r="AW34" s="2417"/>
      <c r="AX34" s="2417"/>
      <c r="AY34" s="2417"/>
      <c r="AZ34" s="2417"/>
      <c r="BA34" s="547"/>
      <c r="BB34" s="547"/>
      <c r="BC34" s="490"/>
      <c r="BD34" s="593"/>
      <c r="BE34" s="593"/>
      <c r="BF34" s="593"/>
      <c r="BG34" s="593"/>
      <c r="BH34" s="593"/>
    </row>
    <row customHeight="1" ht="14.25" hidden="1">
      <c r="Q35" s="501"/>
      <c r="R35" s="602"/>
      <c r="S35" s="1565"/>
      <c r="T35" s="586"/>
      <c r="U35" s="586"/>
      <c r="V35" s="541"/>
      <c r="W35" s="541"/>
      <c r="X35" s="541"/>
      <c r="Y35" s="541"/>
      <c r="Z35" s="541"/>
      <c r="AA35" s="541"/>
      <c r="AB35" s="541"/>
      <c r="AC35" s="541"/>
      <c r="AD35" s="541"/>
      <c r="AE35" s="541"/>
      <c r="AF35" s="541"/>
      <c r="AG35" s="541"/>
      <c r="AH35" s="541"/>
      <c r="AI35" s="541"/>
      <c r="AJ35" s="541"/>
      <c r="AK35" s="541"/>
      <c r="AL35" s="541"/>
      <c r="AM35" s="541"/>
      <c r="AN35" s="541"/>
      <c r="AO35" s="541"/>
      <c r="AP35" s="541"/>
      <c r="AQ35" s="541"/>
      <c r="AR35" s="541"/>
      <c r="AS35" s="541"/>
      <c r="AT35" s="541"/>
      <c r="AU35" s="541"/>
      <c r="AV35" s="541"/>
      <c r="AW35" s="541"/>
      <c r="AX35" s="541"/>
      <c r="AY35" s="541"/>
      <c r="AZ35" s="541"/>
      <c r="BA35" s="541"/>
      <c r="BB35" s="746"/>
    </row>
    <row s="10859" customFormat="1" customHeight="1" ht="18.75" hidden="1">
      <c r="A36" s="1664"/>
      <c r="B36" s="1664"/>
      <c r="C36" s="1664"/>
      <c r="D36" s="1664"/>
      <c r="E36" s="1664"/>
      <c r="F36" s="1664"/>
      <c r="G36" s="1664"/>
      <c r="H36" s="1664"/>
      <c r="I36" s="1664"/>
      <c r="J36" s="1664"/>
      <c r="K36" s="1664"/>
      <c r="L36" s="1665"/>
      <c r="M36" s="1664"/>
      <c r="N36" s="1664"/>
      <c r="O36" s="1664"/>
      <c r="P36" s="1664"/>
      <c r="Q36" s="1664"/>
      <c r="S36" s="2416" t="s">
        <v>1540</v>
      </c>
      <c r="T36" s="2416"/>
      <c r="U36" s="1668"/>
      <c r="V36" s="2417"/>
      <c r="W36" s="2417"/>
      <c r="X36" s="2417"/>
      <c r="Y36" s="2417"/>
      <c r="Z36" s="2417"/>
      <c r="AA36" s="2417"/>
      <c r="AB36" s="2417"/>
      <c r="AC36" s="547"/>
      <c r="AD36" s="2417" t="str">
        <f>IF(TITLE_DATE_CHANGE_PERIOD="",IF(TITLE_DATE_PR="","",TITLE_DATE_PR),TITLE_DATE_CHANGE_PERIOD)</f>
        <v/>
      </c>
      <c r="AE36" s="2417"/>
      <c r="AF36" s="2417"/>
      <c r="AG36" s="2417"/>
      <c r="AH36" s="2417"/>
      <c r="AI36" s="2417"/>
      <c r="AJ36" s="2417"/>
      <c r="AK36" s="2417"/>
      <c r="AL36" s="2417"/>
      <c r="AM36" s="2417"/>
      <c r="AN36" s="2417"/>
      <c r="AO36" s="2417"/>
      <c r="AP36" s="2417"/>
      <c r="AQ36" s="2417"/>
      <c r="AR36" s="2417"/>
      <c r="AS36" s="2417"/>
      <c r="AT36" s="2417"/>
      <c r="AU36" s="2417"/>
      <c r="AV36" s="2417"/>
      <c r="AW36" s="2417"/>
      <c r="AX36" s="2417"/>
      <c r="AY36" s="2417"/>
      <c r="AZ36" s="2417"/>
      <c r="BA36" s="547"/>
      <c r="BB36" s="547"/>
      <c r="BC36" s="490"/>
      <c r="BD36" s="593"/>
      <c r="BE36" s="593"/>
      <c r="BF36" s="593"/>
      <c r="BG36" s="593"/>
      <c r="BH36" s="593"/>
    </row>
    <row s="10859" customFormat="1" customHeight="1" ht="18.75" hidden="1">
      <c r="A37" s="1664"/>
      <c r="B37" s="1664"/>
      <c r="C37" s="1664"/>
      <c r="D37" s="1664"/>
      <c r="E37" s="1664"/>
      <c r="F37" s="1664"/>
      <c r="G37" s="1664"/>
      <c r="H37" s="1664"/>
      <c r="I37" s="1664"/>
      <c r="J37" s="1664"/>
      <c r="K37" s="1664"/>
      <c r="L37" s="1665"/>
      <c r="M37" s="1664"/>
      <c r="N37" s="1664"/>
      <c r="O37" s="1664"/>
      <c r="P37" s="1664"/>
      <c r="Q37" s="1664"/>
      <c r="S37" s="2416" t="s">
        <v>1541</v>
      </c>
      <c r="T37" s="2416"/>
      <c r="U37" s="1668"/>
      <c r="V37" s="2417"/>
      <c r="W37" s="2417"/>
      <c r="X37" s="2417"/>
      <c r="Y37" s="2417"/>
      <c r="Z37" s="2417"/>
      <c r="AA37" s="2417"/>
      <c r="AB37" s="2417"/>
      <c r="AC37" s="547"/>
      <c r="AD37" s="2417" t="str">
        <f>IF(TITLE_NUMBER_PR_CHANGE="",IF(TITLE_NUMBER_PR="","",TITLE_NUMBER_PR),TITLE_NUMBER_PR_CHANGE)</f>
        <v/>
      </c>
      <c r="AE37" s="2417"/>
      <c r="AF37" s="2417"/>
      <c r="AG37" s="2417"/>
      <c r="AH37" s="2417"/>
      <c r="AI37" s="2417"/>
      <c r="AJ37" s="2417"/>
      <c r="AK37" s="2417"/>
      <c r="AL37" s="2417"/>
      <c r="AM37" s="2417"/>
      <c r="AN37" s="2417"/>
      <c r="AO37" s="2417"/>
      <c r="AP37" s="2417"/>
      <c r="AQ37" s="2417"/>
      <c r="AR37" s="2417"/>
      <c r="AS37" s="2417"/>
      <c r="AT37" s="2417"/>
      <c r="AU37" s="2417"/>
      <c r="AV37" s="2417"/>
      <c r="AW37" s="2417"/>
      <c r="AX37" s="2417"/>
      <c r="AY37" s="2417"/>
      <c r="AZ37" s="2417"/>
      <c r="BA37" s="547"/>
      <c r="BB37" s="547"/>
      <c r="BC37" s="490"/>
      <c r="BD37" s="593"/>
      <c r="BE37" s="593"/>
      <c r="BF37" s="593"/>
      <c r="BG37" s="593"/>
      <c r="BH37" s="593"/>
    </row>
    <row s="10859" customFormat="1" customHeight="1" ht="0">
      <c r="A38" s="1664"/>
      <c r="B38" s="1664"/>
      <c r="C38" s="1664"/>
      <c r="D38" s="1664"/>
      <c r="E38" s="1664"/>
      <c r="F38" s="1664"/>
      <c r="G38" s="1664"/>
      <c r="H38" s="1664"/>
      <c r="I38" s="1664"/>
      <c r="J38" s="1664"/>
      <c r="K38" s="1664"/>
      <c r="L38" s="1665"/>
      <c r="M38" s="1664"/>
      <c r="N38" s="1664"/>
      <c r="O38" s="1664"/>
      <c r="P38" s="1664"/>
      <c r="Q38" s="1664"/>
      <c r="S38" s="543"/>
      <c r="T38" s="543"/>
      <c r="U38" s="1785"/>
      <c r="V38" s="547"/>
      <c r="W38" s="547"/>
      <c r="X38" s="547"/>
      <c r="Y38" s="547"/>
      <c r="Z38" s="547"/>
      <c r="AA38" s="547"/>
      <c r="AB38" s="547"/>
      <c r="AC38" s="488" t="s">
        <v>1544</v>
      </c>
      <c r="AD38" s="547"/>
      <c r="AE38" s="547"/>
      <c r="AF38" s="547"/>
      <c r="AG38" s="547"/>
      <c r="AH38" s="547"/>
      <c r="AI38" s="547"/>
      <c r="AJ38" s="547"/>
      <c r="AK38" s="547"/>
      <c r="AL38" s="547"/>
      <c r="AM38" s="547"/>
      <c r="AN38" s="547"/>
      <c r="AO38" s="547"/>
      <c r="AP38" s="547"/>
      <c r="AQ38" s="547"/>
      <c r="AR38" s="547"/>
      <c r="AS38" s="547"/>
      <c r="AT38" s="547"/>
      <c r="AU38" s="547"/>
      <c r="AV38" s="547"/>
      <c r="AW38" s="547"/>
      <c r="AX38" s="547"/>
      <c r="AY38" s="547"/>
      <c r="AZ38" s="547"/>
      <c r="BA38" s="488" t="s">
        <v>1544</v>
      </c>
      <c r="BD38" s="593"/>
      <c r="BE38" s="593"/>
      <c r="BF38" s="593"/>
      <c r="BG38" s="593"/>
      <c r="BH38" s="593"/>
    </row>
    <row customHeight="1" ht="14.25">
      <c r="Q39" s="501"/>
      <c r="R39" s="602"/>
      <c r="S39" s="1565"/>
      <c r="T39" s="586"/>
      <c r="U39" s="1522"/>
      <c r="V39" s="2418"/>
      <c r="W39" s="2418"/>
      <c r="X39" s="2418"/>
      <c r="Y39" s="2418"/>
      <c r="Z39" s="2418"/>
      <c r="AA39" s="2418"/>
      <c r="AB39" s="2418"/>
      <c r="AC39" s="2418"/>
      <c r="AD39" s="2418"/>
      <c r="AE39" s="2418"/>
      <c r="AF39" s="2418"/>
      <c r="AG39" s="2418"/>
      <c r="AH39" s="2418"/>
      <c r="AI39" s="2418"/>
      <c r="AJ39" s="2418"/>
      <c r="AK39" s="2418"/>
      <c r="AL39" s="2418"/>
      <c r="AM39" s="2418"/>
      <c r="AN39" s="2418"/>
      <c r="AO39" s="2418"/>
      <c r="AP39" s="2418"/>
      <c r="AQ39" s="2418"/>
      <c r="AR39" s="2418"/>
      <c r="AS39" s="2418"/>
      <c r="AT39" s="2418"/>
      <c r="AU39" s="2418"/>
      <c r="AV39" s="2418"/>
      <c r="AW39" s="2418"/>
      <c r="AX39" s="2418"/>
      <c r="AY39" s="2418"/>
      <c r="AZ39" s="2418"/>
      <c r="BA39" s="2418"/>
    </row>
    <row customHeight="1" ht="14.25">
      <c r="Q40" s="501"/>
      <c r="R40" s="602"/>
      <c r="S40" s="2277" t="s">
        <v>362</v>
      </c>
      <c r="T40" s="2277"/>
      <c r="U40" s="2277"/>
      <c r="V40" s="2277"/>
      <c r="W40" s="2277"/>
      <c r="X40" s="2277"/>
      <c r="Y40" s="2277"/>
      <c r="Z40" s="2277"/>
      <c r="AA40" s="2277"/>
      <c r="AB40" s="2277"/>
      <c r="AC40" s="2277"/>
      <c r="AD40" s="2277"/>
      <c r="AE40" s="2277"/>
      <c r="AF40" s="2277"/>
      <c r="AG40" s="2277"/>
      <c r="AH40" s="2277"/>
      <c r="AI40" s="2277"/>
      <c r="AJ40" s="2277"/>
      <c r="AK40" s="2277"/>
      <c r="AL40" s="2277"/>
      <c r="AM40" s="2277"/>
      <c r="AN40" s="2277"/>
      <c r="AO40" s="2277"/>
      <c r="AP40" s="2277"/>
      <c r="AQ40" s="2277"/>
      <c r="AR40" s="2277"/>
      <c r="AS40" s="2277"/>
      <c r="AT40" s="2277"/>
      <c r="AU40" s="2277"/>
      <c r="AV40" s="2277"/>
      <c r="AW40" s="2277"/>
      <c r="AX40" s="2277"/>
      <c r="AY40" s="2277"/>
      <c r="AZ40" s="2277"/>
      <c r="BA40" s="2277"/>
      <c r="BB40" s="2277"/>
      <c r="BC40" s="2277" t="s">
        <v>363</v>
      </c>
    </row>
    <row customHeight="1" ht="14.25">
      <c r="Q41" s="501"/>
      <c r="R41" s="602"/>
      <c r="S41" s="2440" t="s">
        <v>88</v>
      </c>
      <c r="T41" s="2301" t="s">
        <v>1758</v>
      </c>
      <c r="U41" s="511"/>
      <c r="V41" s="2441" t="s">
        <v>1546</v>
      </c>
      <c r="W41" s="2442"/>
      <c r="X41" s="2442"/>
      <c r="Y41" s="2442"/>
      <c r="Z41" s="2442"/>
      <c r="AA41" s="2442"/>
      <c r="AB41" s="2443"/>
      <c r="AC41" s="2444" t="s">
        <v>1547</v>
      </c>
      <c r="AD41" s="2499" t="s">
        <v>2153</v>
      </c>
      <c r="AE41" s="2458"/>
      <c r="AF41" s="2458"/>
      <c r="AG41" s="2500"/>
      <c r="AH41" s="2499" t="s">
        <v>2154</v>
      </c>
      <c r="AI41" s="2458"/>
      <c r="AJ41" s="2458"/>
      <c r="AK41" s="2500"/>
      <c r="AL41" s="2499" t="s">
        <v>2155</v>
      </c>
      <c r="AM41" s="2458"/>
      <c r="AN41" s="2458"/>
      <c r="AO41" s="2500"/>
      <c r="AP41" s="2499" t="s">
        <v>1762</v>
      </c>
      <c r="AQ41" s="2458"/>
      <c r="AR41" s="2458"/>
      <c r="AS41" s="2500"/>
      <c r="AT41" s="2441" t="s">
        <v>1546</v>
      </c>
      <c r="AU41" s="2442"/>
      <c r="AV41" s="2442"/>
      <c r="AW41" s="2442"/>
      <c r="AX41" s="2442"/>
      <c r="AY41" s="2442"/>
      <c r="AZ41" s="2443"/>
      <c r="BA41" s="2444" t="s">
        <v>1547</v>
      </c>
      <c r="BB41" s="2447" t="s">
        <v>1549</v>
      </c>
      <c r="BC41" s="2277"/>
    </row>
    <row customHeight="1" ht="33.75">
      <c r="Q42" s="501"/>
      <c r="R42" s="602"/>
      <c r="S42" s="2440"/>
      <c r="T42" s="2301"/>
      <c r="U42" s="1289"/>
      <c r="V42" s="2290" t="s">
        <v>1763</v>
      </c>
      <c r="W42" s="2291"/>
      <c r="X42" s="2290" t="s">
        <v>1764</v>
      </c>
      <c r="Y42" s="2291"/>
      <c r="Z42" s="2477" t="s">
        <v>1765</v>
      </c>
      <c r="AA42" s="2478"/>
      <c r="AB42" s="2479"/>
      <c r="AC42" s="2445"/>
      <c r="AD42" s="2501"/>
      <c r="AE42" s="2502"/>
      <c r="AF42" s="2502"/>
      <c r="AG42" s="2503"/>
      <c r="AH42" s="2501"/>
      <c r="AI42" s="2502"/>
      <c r="AJ42" s="2502"/>
      <c r="AK42" s="2503"/>
      <c r="AL42" s="2501"/>
      <c r="AM42" s="2502"/>
      <c r="AN42" s="2502"/>
      <c r="AO42" s="2503"/>
      <c r="AP42" s="2501"/>
      <c r="AQ42" s="2502"/>
      <c r="AR42" s="2502"/>
      <c r="AS42" s="2503"/>
      <c r="AT42" s="2290" t="s">
        <v>2156</v>
      </c>
      <c r="AU42" s="2291"/>
      <c r="AV42" s="2290" t="s">
        <v>2157</v>
      </c>
      <c r="AW42" s="2291"/>
      <c r="AX42" s="2477" t="s">
        <v>1765</v>
      </c>
      <c r="AY42" s="2478"/>
      <c r="AZ42" s="2479"/>
      <c r="BA42" s="2445"/>
      <c r="BB42" s="2448"/>
      <c r="BC42" s="2277"/>
    </row>
    <row customHeight="1" ht="14.25">
      <c r="Q43" s="501"/>
      <c r="R43" s="602"/>
      <c r="S43" s="2440"/>
      <c r="T43" s="2301"/>
      <c r="U43" s="1289"/>
      <c r="V43" s="2292"/>
      <c r="W43" s="2293"/>
      <c r="X43" s="2292"/>
      <c r="Y43" s="2293"/>
      <c r="Z43" s="2480"/>
      <c r="AA43" s="2481"/>
      <c r="AB43" s="2482"/>
      <c r="AC43" s="2445"/>
      <c r="AD43" s="2501"/>
      <c r="AE43" s="2502"/>
      <c r="AF43" s="2502"/>
      <c r="AG43" s="2503"/>
      <c r="AH43" s="2501"/>
      <c r="AI43" s="2502"/>
      <c r="AJ43" s="2502"/>
      <c r="AK43" s="2503"/>
      <c r="AL43" s="2501"/>
      <c r="AM43" s="2502"/>
      <c r="AN43" s="2502"/>
      <c r="AO43" s="2503"/>
      <c r="AP43" s="2501"/>
      <c r="AQ43" s="2502"/>
      <c r="AR43" s="2502"/>
      <c r="AS43" s="2503"/>
      <c r="AT43" s="2292"/>
      <c r="AU43" s="2293"/>
      <c r="AV43" s="2292"/>
      <c r="AW43" s="2293"/>
      <c r="AX43" s="2480"/>
      <c r="AY43" s="2481"/>
      <c r="AZ43" s="2482"/>
      <c r="BA43" s="2445"/>
      <c r="BB43" s="2448"/>
      <c r="BC43" s="2277"/>
    </row>
    <row customHeight="1" ht="14.25">
      <c r="A44" s="1666"/>
      <c r="B44" s="1666" t="s">
        <v>212</v>
      </c>
      <c r="C44" s="1666" t="s">
        <v>213</v>
      </c>
      <c r="D44" s="1666" t="s">
        <v>214</v>
      </c>
      <c r="E44" s="1660" t="s">
        <v>1554</v>
      </c>
      <c r="F44" s="1660" t="s">
        <v>1555</v>
      </c>
      <c r="G44" s="1660" t="s">
        <v>1556</v>
      </c>
      <c r="H44" s="1660" t="s">
        <v>1557</v>
      </c>
      <c r="I44" s="1660" t="s">
        <v>1558</v>
      </c>
      <c r="J44" s="1660" t="s">
        <v>1559</v>
      </c>
      <c r="K44" s="1660" t="s">
        <v>1560</v>
      </c>
      <c r="L44" s="1660" t="s">
        <v>1535</v>
      </c>
      <c r="Q44" s="501"/>
      <c r="R44" s="602"/>
      <c r="S44" s="2440"/>
      <c r="T44" s="2301"/>
      <c r="U44" s="512"/>
      <c r="V44" s="1776" t="s">
        <v>1606</v>
      </c>
      <c r="W44" s="1776" t="s">
        <v>1607</v>
      </c>
      <c r="X44" s="1776" t="s">
        <v>1606</v>
      </c>
      <c r="Y44" s="1776" t="s">
        <v>1607</v>
      </c>
      <c r="Z44" s="1786" t="s">
        <v>1563</v>
      </c>
      <c r="AA44" s="2437" t="s">
        <v>1564</v>
      </c>
      <c r="AB44" s="2438"/>
      <c r="AC44" s="2446"/>
      <c r="AD44" s="2504"/>
      <c r="AE44" s="2505"/>
      <c r="AF44" s="2505"/>
      <c r="AG44" s="2506"/>
      <c r="AH44" s="2504"/>
      <c r="AI44" s="2505"/>
      <c r="AJ44" s="2505"/>
      <c r="AK44" s="2506"/>
      <c r="AL44" s="2504"/>
      <c r="AM44" s="2505"/>
      <c r="AN44" s="2505"/>
      <c r="AO44" s="2506"/>
      <c r="AP44" s="2504"/>
      <c r="AQ44" s="2505"/>
      <c r="AR44" s="2505"/>
      <c r="AS44" s="2506"/>
      <c r="AT44" s="1776" t="s">
        <v>1606</v>
      </c>
      <c r="AU44" s="1776" t="s">
        <v>1607</v>
      </c>
      <c r="AV44" s="1776" t="s">
        <v>1606</v>
      </c>
      <c r="AW44" s="1776" t="s">
        <v>1607</v>
      </c>
      <c r="AX44" s="1786" t="s">
        <v>1563</v>
      </c>
      <c r="AY44" s="2437" t="s">
        <v>1564</v>
      </c>
      <c r="AZ44" s="2438"/>
      <c r="BA44" s="2446"/>
      <c r="BB44" s="2449"/>
      <c r="BC44" s="2277"/>
    </row>
    <row s="10822" customFormat="1" customHeight="1" ht="11.25" hidden="1">
      <c r="A45" s="1666"/>
      <c r="B45" s="1666"/>
      <c r="C45" s="1666"/>
      <c r="D45" s="1666"/>
      <c r="E45" s="1666"/>
      <c r="F45" s="1666"/>
      <c r="G45" s="1666"/>
      <c r="H45" s="1666"/>
      <c r="I45" s="1666"/>
      <c r="J45" s="1666"/>
      <c r="K45" s="1666"/>
      <c r="L45" s="1660"/>
      <c r="M45" s="1658"/>
      <c r="N45" s="1658"/>
      <c r="O45" s="1658"/>
      <c r="P45" s="747"/>
      <c r="Q45" s="1540"/>
      <c r="R45" s="1540">
        <v>1</v>
      </c>
      <c r="S45" s="1567" t="s">
        <v>109</v>
      </c>
      <c r="T45" s="1541" t="s">
        <v>110</v>
      </c>
      <c r="U45" s="1523" t="str">
        <f>OFFSET(U45,0,-1)</f>
        <v>2</v>
      </c>
      <c r="V45" s="1779">
        <f>OFFSET(V45,0,-1)+1</f>
        <v>3</v>
      </c>
      <c r="W45" s="1779">
        <f>OFFSET(W45,0,-1)+1</f>
        <v>4</v>
      </c>
      <c r="X45" s="1779">
        <f>OFFSET(X45,0,-1)+1</f>
        <v>5</v>
      </c>
      <c r="Y45" s="1779">
        <f>OFFSET(Y45,0,-1)+1</f>
        <v>6</v>
      </c>
      <c r="Z45" s="1779">
        <f>OFFSET(Z45,0,-1)+1</f>
        <v>7</v>
      </c>
      <c r="AA45" s="2439">
        <f>OFFSET(AA45,0,-1)+1</f>
        <v>8</v>
      </c>
      <c r="AB45" s="2439"/>
      <c r="AC45" s="1779">
        <f>OFFSET(AC45,0,-2)+1</f>
        <v>9</v>
      </c>
      <c r="AD45" s="1779">
        <f>OFFSET(AD45,0,-1)+1</f>
        <v>10</v>
      </c>
      <c r="AE45" s="1779"/>
      <c r="AF45" s="1779"/>
      <c r="AG45" s="1779"/>
      <c r="AH45" s="1779"/>
      <c r="AI45" s="1779"/>
      <c r="AJ45" s="1779"/>
      <c r="AK45" s="1779"/>
      <c r="AL45" s="1779"/>
      <c r="AM45" s="1779"/>
      <c r="AN45" s="1779"/>
      <c r="AO45" s="1779"/>
      <c r="AP45" s="1779"/>
      <c r="AQ45" s="1779"/>
      <c r="AR45" s="1779"/>
      <c r="AS45" s="1779"/>
      <c r="AT45" s="1779"/>
      <c r="AU45" s="1779"/>
      <c r="AV45" s="1779"/>
      <c r="AW45" s="1779">
        <f>OFFSET(AW45,0,-1)+1</f>
        <v>1</v>
      </c>
      <c r="AX45" s="1779">
        <f>OFFSET(AX45,0,-1)+1</f>
        <v>2</v>
      </c>
      <c r="AY45" s="2439">
        <f>OFFSET(AY45,0,-1)+1</f>
        <v>3</v>
      </c>
      <c r="AZ45" s="2439"/>
      <c r="BA45" s="1779">
        <f>OFFSET(BA45,0,-2)+1</f>
        <v>4</v>
      </c>
      <c r="BB45" s="1523">
        <f>OFFSET(BB45,0,-1)</f>
        <v>4</v>
      </c>
      <c r="BC45" s="1779">
        <f>OFFSET(BC45,0,-1)+1</f>
        <v>5</v>
      </c>
      <c r="BD45" s="748"/>
      <c r="BE45" s="748"/>
      <c r="BF45" s="748"/>
      <c r="BG45" s="748"/>
      <c r="BH45" s="748"/>
    </row>
    <row customHeight="1" ht="21">
      <c r="A46" s="1659" t="s">
        <v>338</v>
      </c>
      <c r="B46" s="1659"/>
      <c r="C46" s="1659"/>
      <c r="D46" s="1659"/>
      <c r="E46" s="2424">
        <v>1</v>
      </c>
      <c r="F46" s="1659"/>
      <c r="G46" s="1659"/>
      <c r="H46" s="1659"/>
      <c r="I46" s="1659"/>
      <c r="J46" s="1659"/>
      <c r="K46" s="1659"/>
      <c r="L46" s="1660"/>
      <c r="M46" s="1661"/>
      <c r="N46" s="1661"/>
      <c r="O46" s="1661"/>
      <c r="P46" s="1706"/>
      <c r="Q46" s="1120"/>
      <c r="R46" s="576"/>
      <c r="S46" s="1790">
        <f>INDEX(PT_DIFFERENTIATION_NUM_NTAR,MATCH(A46,PT_DIFFERENTIATION_NTAR_ID,0))</f>
        <v>0</v>
      </c>
      <c r="T46" s="508" t="s">
        <v>200</v>
      </c>
      <c r="U46" s="510"/>
      <c r="V46" s="4038"/>
      <c r="W46" s="4038"/>
      <c r="X46" s="4038"/>
      <c r="Y46" s="4038"/>
      <c r="Z46" s="4038"/>
      <c r="AA46" s="4038"/>
      <c r="AB46" s="4038"/>
      <c r="AC46" s="4039"/>
      <c r="AD46" s="4037" t="str">
        <f>INDEX(PT_DIFFERENTIATION_NTAR,MATCH(A46,PT_DIFFERENTIATION_NTAR_ID,0))</f>
        <v/>
      </c>
      <c r="AE46" s="4038"/>
      <c r="AF46" s="4038"/>
      <c r="AG46" s="4038"/>
      <c r="AH46" s="4038"/>
      <c r="AI46" s="4038"/>
      <c r="AJ46" s="4038"/>
      <c r="AK46" s="4038"/>
      <c r="AL46" s="4038"/>
      <c r="AM46" s="4038"/>
      <c r="AN46" s="4038"/>
      <c r="AO46" s="4038"/>
      <c r="AP46" s="4038"/>
      <c r="AQ46" s="4038"/>
      <c r="AR46" s="4038"/>
      <c r="AS46" s="4038"/>
      <c r="AT46" s="4038"/>
      <c r="AU46" s="4038"/>
      <c r="AV46" s="4038"/>
      <c r="AW46" s="4038"/>
      <c r="AX46" s="4038"/>
      <c r="AY46" s="4038"/>
      <c r="AZ46" s="4038"/>
      <c r="BA46" s="4038"/>
      <c r="BB46" s="4039"/>
      <c r="BC46" s="1546"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737"/>
      <c r="BF46" s="737" t="str">
        <f>IF(T46="","",T46)</f>
        <v>Наименование тарифа</v>
      </c>
      <c r="BG46" s="737"/>
      <c r="BH46" s="737"/>
    </row>
    <row customHeight="1" ht="21">
      <c r="A47" s="1659" t="s">
        <v>338</v>
      </c>
      <c r="B47" s="1659" t="s">
        <v>339</v>
      </c>
      <c r="C47" s="1659"/>
      <c r="D47" s="1659"/>
      <c r="E47" s="2425"/>
      <c r="F47" s="2424">
        <v>1</v>
      </c>
      <c r="G47" s="1659"/>
      <c r="H47" s="1659"/>
      <c r="I47" s="1659"/>
      <c r="J47" s="1659"/>
      <c r="K47" s="1659"/>
      <c r="L47" s="1660"/>
      <c r="M47" s="1661"/>
      <c r="N47" s="1661"/>
      <c r="O47" s="1661"/>
      <c r="P47" s="1707"/>
      <c r="Q47" s="1708"/>
      <c r="R47" s="574"/>
      <c r="S47" s="1790" t="str">
        <f>INDEX(PT_DIFFERENTIATION_NUM_TER,MATCH(B47,PT_DIFFERENTIATION_TER_ID,0))</f>
        <v>.</v>
      </c>
      <c r="T47" s="520" t="s">
        <v>1517</v>
      </c>
      <c r="U47" s="510"/>
      <c r="V47" s="4038"/>
      <c r="W47" s="4038"/>
      <c r="X47" s="4038"/>
      <c r="Y47" s="4038"/>
      <c r="Z47" s="4038"/>
      <c r="AA47" s="4038"/>
      <c r="AB47" s="4038"/>
      <c r="AC47" s="4039"/>
      <c r="AD47" s="4037" t="str">
        <f>INDEX(PT_DIFFERENTIATION_TER,MATCH(B47,PT_DIFFERENTIATION_TER_ID,0))</f>
        <v/>
      </c>
      <c r="AE47" s="4038"/>
      <c r="AF47" s="4038"/>
      <c r="AG47" s="4038"/>
      <c r="AH47" s="4038"/>
      <c r="AI47" s="4038"/>
      <c r="AJ47" s="4038"/>
      <c r="AK47" s="4038"/>
      <c r="AL47" s="4038"/>
      <c r="AM47" s="4038"/>
      <c r="AN47" s="4038"/>
      <c r="AO47" s="4038"/>
      <c r="AP47" s="4038"/>
      <c r="AQ47" s="4038"/>
      <c r="AR47" s="4038"/>
      <c r="AS47" s="4038"/>
      <c r="AT47" s="4038"/>
      <c r="AU47" s="4038"/>
      <c r="AV47" s="4038"/>
      <c r="AW47" s="4038"/>
      <c r="AX47" s="4038"/>
      <c r="AY47" s="4038"/>
      <c r="AZ47" s="4038"/>
      <c r="BA47" s="4038"/>
      <c r="BB47" s="4039"/>
      <c r="BC47" s="1546" t="s">
        <v>1518</v>
      </c>
      <c r="BE47" s="737"/>
      <c r="BF47" s="737" t="str">
        <f>IF(T47="","",T47)</f>
        <v>Территория действия тарифа</v>
      </c>
      <c r="BG47" s="737"/>
      <c r="BH47" s="737"/>
    </row>
    <row customHeight="1" ht="33.75">
      <c r="A48" s="1659" t="s">
        <v>338</v>
      </c>
      <c r="B48" s="1659" t="s">
        <v>339</v>
      </c>
      <c r="C48" s="1659" t="s">
        <v>340</v>
      </c>
      <c r="D48" s="1659"/>
      <c r="E48" s="2425"/>
      <c r="F48" s="2425"/>
      <c r="G48" s="2424">
        <v>1</v>
      </c>
      <c r="H48" s="1659"/>
      <c r="I48" s="1659"/>
      <c r="J48" s="1659"/>
      <c r="K48" s="1659"/>
      <c r="L48" s="1660"/>
      <c r="M48" s="1661"/>
      <c r="N48" s="1661"/>
      <c r="O48" s="1661"/>
      <c r="P48" s="1709"/>
      <c r="Q48" s="1708"/>
      <c r="R48" s="574"/>
      <c r="S48" s="1790" t="str">
        <f>INDEX(PT_DIFFERENTIATION_NUM_CS,MATCH(C48,PT_DIFFERENTIATION_CS_ID,0))</f>
        <v>..</v>
      </c>
      <c r="T48" s="521" t="s">
        <v>2143</v>
      </c>
      <c r="U48" s="510"/>
      <c r="V48" s="4038"/>
      <c r="W48" s="4038"/>
      <c r="X48" s="4038"/>
      <c r="Y48" s="4038"/>
      <c r="Z48" s="4038"/>
      <c r="AA48" s="4038"/>
      <c r="AB48" s="4038"/>
      <c r="AC48" s="4039"/>
      <c r="AD48" s="4037" t="str">
        <f>INDEX(PT_DIFFERENTIATION_CS,MATCH(C48,PT_DIFFERENTIATION_CS_ID,0))</f>
        <v/>
      </c>
      <c r="AE48" s="4038"/>
      <c r="AF48" s="4038"/>
      <c r="AG48" s="4038"/>
      <c r="AH48" s="4038"/>
      <c r="AI48" s="4038"/>
      <c r="AJ48" s="4038"/>
      <c r="AK48" s="4038"/>
      <c r="AL48" s="4038"/>
      <c r="AM48" s="4038"/>
      <c r="AN48" s="4038"/>
      <c r="AO48" s="4038"/>
      <c r="AP48" s="4038"/>
      <c r="AQ48" s="4038"/>
      <c r="AR48" s="4038"/>
      <c r="AS48" s="4038"/>
      <c r="AT48" s="4038"/>
      <c r="AU48" s="4038"/>
      <c r="AV48" s="4038"/>
      <c r="AW48" s="4038"/>
      <c r="AX48" s="4038"/>
      <c r="AY48" s="4038"/>
      <c r="AZ48" s="4038"/>
      <c r="BA48" s="4038"/>
      <c r="BB48" s="4039"/>
      <c r="BC48" s="1546" t="s">
        <v>2144</v>
      </c>
      <c r="BE48" s="737"/>
      <c r="BF48" s="737" t="str">
        <f>IF(T48="","",T48)</f>
        <v>Наименование централизованной системы водоотведения</v>
      </c>
      <c r="BG48" s="737"/>
      <c r="BH48" s="737"/>
    </row>
    <row s="10863" customFormat="1" customHeight="1" ht="0">
      <c r="A49" s="1638" t="s">
        <v>338</v>
      </c>
      <c r="B49" s="1638" t="s">
        <v>339</v>
      </c>
      <c r="C49" s="1638" t="s">
        <v>340</v>
      </c>
      <c r="D49" s="1638" t="s">
        <v>2158</v>
      </c>
      <c r="E49" s="2425"/>
      <c r="F49" s="2425"/>
      <c r="G49" s="2425"/>
      <c r="H49" s="2424">
        <v>1</v>
      </c>
      <c r="I49" s="1638"/>
      <c r="J49" s="1638"/>
      <c r="K49" s="1638"/>
      <c r="L49" s="1641"/>
      <c r="M49" s="1610"/>
      <c r="N49" s="1610"/>
      <c r="O49" s="1610"/>
      <c r="P49" s="1794"/>
      <c r="Q49" s="1795"/>
      <c r="R49" s="578"/>
      <c r="S49" s="1300"/>
      <c r="T49" s="1796"/>
      <c r="U49" s="1680"/>
      <c r="V49" s="2464"/>
      <c r="W49" s="2464"/>
      <c r="X49" s="2464"/>
      <c r="Y49" s="2464"/>
      <c r="Z49" s="2464"/>
      <c r="AA49" s="2464"/>
      <c r="AB49" s="2464"/>
      <c r="AC49" s="2465"/>
      <c r="AD49" s="2463"/>
      <c r="AE49" s="2464"/>
      <c r="AF49" s="2464"/>
      <c r="AG49" s="2464"/>
      <c r="AH49" s="2464"/>
      <c r="AI49" s="2464"/>
      <c r="AJ49" s="2464"/>
      <c r="AK49" s="2464"/>
      <c r="AL49" s="2464"/>
      <c r="AM49" s="2464"/>
      <c r="AN49" s="2464"/>
      <c r="AO49" s="2464"/>
      <c r="AP49" s="2464"/>
      <c r="AQ49" s="2464"/>
      <c r="AR49" s="2464"/>
      <c r="AS49" s="2464"/>
      <c r="AT49" s="2464"/>
      <c r="AU49" s="2464"/>
      <c r="AV49" s="2464"/>
      <c r="AW49" s="2464"/>
      <c r="AX49" s="2464"/>
      <c r="AY49" s="2464"/>
      <c r="AZ49" s="2464"/>
      <c r="BA49" s="2464"/>
      <c r="BB49" s="2465"/>
      <c r="BC49" s="1681" t="s">
        <v>1522</v>
      </c>
      <c r="BE49" s="737"/>
      <c r="BF49" s="737" t="str">
        <f>IF(T49="","",T49)</f>
        <v/>
      </c>
      <c r="BG49" s="737"/>
      <c r="BH49" s="737"/>
    </row>
    <row s="10863" customFormat="1" customHeight="1" ht="0">
      <c r="A50" s="1638" t="s">
        <v>338</v>
      </c>
      <c r="B50" s="1638" t="s">
        <v>339</v>
      </c>
      <c r="C50" s="1638" t="s">
        <v>340</v>
      </c>
      <c r="D50" s="1638" t="s">
        <v>2158</v>
      </c>
      <c r="E50" s="2425"/>
      <c r="F50" s="2425"/>
      <c r="G50" s="2425"/>
      <c r="H50" s="2425"/>
      <c r="I50" s="2453" t="str">
        <f>S49&amp;".1"</f>
        <v>.1</v>
      </c>
      <c r="J50" s="1638"/>
      <c r="K50" s="1638"/>
      <c r="L50" s="1641" t="s">
        <v>1523</v>
      </c>
      <c r="M50" s="747"/>
      <c r="N50" s="747"/>
      <c r="O50" s="747"/>
      <c r="P50" s="2423">
        <v>1</v>
      </c>
      <c r="Q50" s="1778"/>
      <c r="R50" s="577"/>
      <c r="S50" s="1300"/>
      <c r="T50" s="1679"/>
      <c r="U50" s="1680"/>
      <c r="V50" s="2464"/>
      <c r="W50" s="2464"/>
      <c r="X50" s="2464"/>
      <c r="Y50" s="2464"/>
      <c r="Z50" s="2464"/>
      <c r="AA50" s="2464"/>
      <c r="AB50" s="2464"/>
      <c r="AC50" s="2465"/>
      <c r="AD50" s="2463"/>
      <c r="AE50" s="2464"/>
      <c r="AF50" s="2464"/>
      <c r="AG50" s="2464"/>
      <c r="AH50" s="2464"/>
      <c r="AI50" s="2464"/>
      <c r="AJ50" s="2464"/>
      <c r="AK50" s="2464"/>
      <c r="AL50" s="2464"/>
      <c r="AM50" s="2464"/>
      <c r="AN50" s="2464"/>
      <c r="AO50" s="2464"/>
      <c r="AP50" s="2464"/>
      <c r="AQ50" s="2464"/>
      <c r="AR50" s="2464"/>
      <c r="AS50" s="2464"/>
      <c r="AT50" s="2464"/>
      <c r="AU50" s="2464"/>
      <c r="AV50" s="2464"/>
      <c r="AW50" s="2464"/>
      <c r="AX50" s="2464"/>
      <c r="AY50" s="2464"/>
      <c r="AZ50" s="2464"/>
      <c r="BA50" s="2464"/>
      <c r="BB50" s="2465"/>
      <c r="BC50" s="1681"/>
      <c r="BE50" s="737"/>
      <c r="BF50" s="737" t="str">
        <f>IF(T50="","",T50)</f>
        <v/>
      </c>
      <c r="BG50" s="737"/>
      <c r="BH50" s="737"/>
    </row>
    <row s="10863" customFormat="1" customHeight="1" ht="0">
      <c r="A51" s="1638" t="s">
        <v>338</v>
      </c>
      <c r="B51" s="1638" t="s">
        <v>339</v>
      </c>
      <c r="C51" s="1638" t="s">
        <v>340</v>
      </c>
      <c r="D51" s="1638" t="s">
        <v>2158</v>
      </c>
      <c r="E51" s="2425"/>
      <c r="F51" s="2425"/>
      <c r="G51" s="2425"/>
      <c r="H51" s="2425"/>
      <c r="I51" s="2454"/>
      <c r="J51" s="2422" t="str">
        <f>S49&amp;".1"</f>
        <v>.1</v>
      </c>
      <c r="K51" s="1638"/>
      <c r="L51" s="1641"/>
      <c r="M51" s="747"/>
      <c r="N51" s="747"/>
      <c r="O51" s="747"/>
      <c r="P51" s="2423"/>
      <c r="Q51" s="2423">
        <v>1</v>
      </c>
      <c r="R51" s="578"/>
      <c r="S51" s="1300"/>
      <c r="T51" s="1695"/>
      <c r="U51" s="1680"/>
      <c r="V51" s="2464"/>
      <c r="W51" s="2464"/>
      <c r="X51" s="2464"/>
      <c r="Y51" s="2464"/>
      <c r="Z51" s="2464"/>
      <c r="AA51" s="2464"/>
      <c r="AB51" s="2464"/>
      <c r="AC51" s="2465"/>
      <c r="AD51" s="2463"/>
      <c r="AE51" s="2464"/>
      <c r="AF51" s="2464"/>
      <c r="AG51" s="2464"/>
      <c r="AH51" s="2464"/>
      <c r="AI51" s="2464"/>
      <c r="AJ51" s="2464"/>
      <c r="AK51" s="2464"/>
      <c r="AL51" s="2464"/>
      <c r="AM51" s="2464"/>
      <c r="AN51" s="2590"/>
      <c r="AO51" s="2590"/>
      <c r="AP51" s="2464"/>
      <c r="AQ51" s="2464"/>
      <c r="AR51" s="2464"/>
      <c r="AS51" s="2464"/>
      <c r="AT51" s="2464"/>
      <c r="AU51" s="2464"/>
      <c r="AV51" s="2464"/>
      <c r="AW51" s="2464"/>
      <c r="AX51" s="2464"/>
      <c r="AY51" s="2464"/>
      <c r="AZ51" s="2464"/>
      <c r="BA51" s="2464"/>
      <c r="BB51" s="2465"/>
      <c r="BC51" s="1681"/>
      <c r="BE51" s="737"/>
      <c r="BF51" s="737" t="str">
        <f>IF(T51="","",T51)</f>
        <v/>
      </c>
      <c r="BG51" s="737"/>
      <c r="BH51" s="737"/>
    </row>
    <row customHeight="1" ht="11.25">
      <c r="A52" s="1659" t="s">
        <v>338</v>
      </c>
      <c r="B52" s="1659" t="s">
        <v>339</v>
      </c>
      <c r="C52" s="1659" t="s">
        <v>340</v>
      </c>
      <c r="D52" s="1659" t="s">
        <v>2158</v>
      </c>
      <c r="E52" s="2425"/>
      <c r="F52" s="2425"/>
      <c r="G52" s="2425"/>
      <c r="H52" s="2425"/>
      <c r="I52" s="2454"/>
      <c r="J52" s="2455"/>
      <c r="K52" s="2422" t="str">
        <f>S48&amp;".1"</f>
        <v>...1</v>
      </c>
      <c r="L52" s="1660"/>
      <c r="P52" s="2423"/>
      <c r="Q52" s="2423"/>
      <c r="R52" s="578">
        <v>1</v>
      </c>
      <c r="S52" s="2507" t="str">
        <f>$K52</f>
        <v>...1</v>
      </c>
      <c r="T52" s="2585"/>
      <c r="U52" s="510"/>
      <c r="V52" s="4065"/>
      <c r="W52" s="4067"/>
      <c r="X52" s="4065"/>
      <c r="Y52" s="4067"/>
      <c r="Z52" s="2049"/>
      <c r="AA52" s="1766" t="s">
        <v>67</v>
      </c>
      <c r="AB52" s="2049"/>
      <c r="AC52" s="1766" t="s">
        <v>67</v>
      </c>
      <c r="AD52" s="2232" t="s">
        <v>67</v>
      </c>
      <c r="AE52" s="2496"/>
      <c r="AF52" s="2497">
        <v>1</v>
      </c>
      <c r="AG52" s="2589"/>
      <c r="AH52" s="2142" t="s">
        <v>67</v>
      </c>
      <c r="AI52" s="2496"/>
      <c r="AJ52" s="2497">
        <v>1</v>
      </c>
      <c r="AK52" s="2588" t="s">
        <v>17</v>
      </c>
      <c r="AL52" s="2142" t="s">
        <v>67</v>
      </c>
      <c r="AM52" s="2580"/>
      <c r="AN52" s="2497">
        <v>1</v>
      </c>
      <c r="AO52" s="2582"/>
      <c r="AP52" s="2583" t="s">
        <v>67</v>
      </c>
      <c r="AQ52" s="523"/>
      <c r="AR52" s="1783">
        <v>1</v>
      </c>
      <c r="AS52" s="1789" t="s">
        <v>17</v>
      </c>
      <c r="AT52" s="4065"/>
      <c r="AU52" s="4067"/>
      <c r="AV52" s="4065"/>
      <c r="AW52" s="4067"/>
      <c r="AX52" s="2049"/>
      <c r="AY52" s="1766" t="s">
        <v>67</v>
      </c>
      <c r="AZ52" s="2049"/>
      <c r="BA52" s="1766" t="s">
        <v>67</v>
      </c>
      <c r="BB52" s="4166"/>
      <c r="BC52" s="2419" t="s">
        <v>1752</v>
      </c>
      <c r="BE52" s="737"/>
      <c r="BF52" s="737" t="str">
        <f>IF(T52="","",T52)</f>
        <v/>
      </c>
      <c r="BG52" s="737"/>
      <c r="BH52" s="737"/>
    </row>
    <row customHeight="1" ht="11.25">
      <c r="A53" s="1659"/>
      <c r="B53" s="1659"/>
      <c r="C53" s="1659"/>
      <c r="D53" s="1659"/>
      <c r="E53" s="2425"/>
      <c r="F53" s="2425"/>
      <c r="G53" s="2425"/>
      <c r="H53" s="2425"/>
      <c r="I53" s="2454"/>
      <c r="J53" s="2455"/>
      <c r="K53" s="2422"/>
      <c r="L53" s="1660"/>
      <c r="P53" s="2423"/>
      <c r="Q53" s="2423"/>
      <c r="R53" s="578"/>
      <c r="S53" s="2508"/>
      <c r="T53" s="2586"/>
      <c r="U53" s="510"/>
      <c r="V53" s="4225"/>
      <c r="W53" s="4281"/>
      <c r="X53" s="4225"/>
      <c r="Y53" s="4281"/>
      <c r="Z53" s="4225"/>
      <c r="AA53" s="4225"/>
      <c r="AB53" s="4225"/>
      <c r="AC53" s="4225"/>
      <c r="AD53" s="2233"/>
      <c r="AE53" s="2496"/>
      <c r="AF53" s="2497"/>
      <c r="AG53" s="2589"/>
      <c r="AH53" s="2142"/>
      <c r="AI53" s="2496"/>
      <c r="AJ53" s="2497"/>
      <c r="AK53" s="2588"/>
      <c r="AL53" s="2142"/>
      <c r="AM53" s="2581"/>
      <c r="AN53" s="2497"/>
      <c r="AO53" s="2582"/>
      <c r="AP53" s="2584"/>
      <c r="AQ53" s="530"/>
      <c r="AR53" s="652"/>
      <c r="AS53" s="652" t="s">
        <v>1753</v>
      </c>
      <c r="AT53" s="4225"/>
      <c r="AU53" s="4281"/>
      <c r="AV53" s="4225"/>
      <c r="AW53" s="4281"/>
      <c r="AX53" s="4225"/>
      <c r="AY53" s="4225"/>
      <c r="AZ53" s="4225"/>
      <c r="BA53" s="4225"/>
      <c r="BB53" s="4279"/>
      <c r="BC53" s="2420"/>
      <c r="BE53" s="737"/>
      <c r="BF53" s="737"/>
      <c r="BG53" s="737"/>
      <c r="BH53" s="737"/>
    </row>
    <row customHeight="1" ht="11.25">
      <c r="A54" s="1659" t="s">
        <v>338</v>
      </c>
      <c r="B54" s="1659"/>
      <c r="C54" s="1659"/>
      <c r="D54" s="1659"/>
      <c r="E54" s="2425"/>
      <c r="F54" s="2425"/>
      <c r="G54" s="2425"/>
      <c r="H54" s="2425"/>
      <c r="I54" s="2454"/>
      <c r="J54" s="2455"/>
      <c r="K54" s="2422"/>
      <c r="L54" s="1660"/>
      <c r="P54" s="2423"/>
      <c r="Q54" s="2423"/>
      <c r="R54" s="578"/>
      <c r="S54" s="2508"/>
      <c r="T54" s="2586"/>
      <c r="U54" s="510"/>
      <c r="V54" s="4225"/>
      <c r="W54" s="4281"/>
      <c r="X54" s="4225"/>
      <c r="Y54" s="4281"/>
      <c r="Z54" s="4225"/>
      <c r="AA54" s="4225"/>
      <c r="AB54" s="4225"/>
      <c r="AC54" s="4225"/>
      <c r="AD54" s="2233"/>
      <c r="AE54" s="2496"/>
      <c r="AF54" s="2497"/>
      <c r="AG54" s="2589"/>
      <c r="AH54" s="2142"/>
      <c r="AI54" s="2496"/>
      <c r="AJ54" s="2497"/>
      <c r="AK54" s="2588"/>
      <c r="AL54" s="2142"/>
      <c r="AM54" s="530"/>
      <c r="AN54" s="1797"/>
      <c r="AO54" s="1797" t="s">
        <v>2151</v>
      </c>
      <c r="AP54" s="652"/>
      <c r="AQ54" s="652"/>
      <c r="AR54" s="652"/>
      <c r="AS54" s="4225"/>
      <c r="AT54" s="4225"/>
      <c r="AU54" s="4281"/>
      <c r="AV54" s="4225"/>
      <c r="AW54" s="4281"/>
      <c r="AX54" s="4225"/>
      <c r="AY54" s="4225"/>
      <c r="AZ54" s="4225"/>
      <c r="BA54" s="4225"/>
      <c r="BB54" s="4279"/>
      <c r="BC54" s="2420"/>
      <c r="BE54" s="737"/>
      <c r="BF54" s="737"/>
      <c r="BG54" s="737"/>
      <c r="BH54" s="737"/>
    </row>
    <row customHeight="1" ht="11.25">
      <c r="A55" s="1659" t="s">
        <v>338</v>
      </c>
      <c r="B55" s="1659"/>
      <c r="C55" s="1659"/>
      <c r="D55" s="1659"/>
      <c r="E55" s="2425"/>
      <c r="F55" s="2425"/>
      <c r="G55" s="2425"/>
      <c r="H55" s="2425"/>
      <c r="I55" s="2454"/>
      <c r="J55" s="2455"/>
      <c r="K55" s="2422"/>
      <c r="L55" s="1660"/>
      <c r="P55" s="2423"/>
      <c r="Q55" s="2423"/>
      <c r="R55" s="578"/>
      <c r="S55" s="2508"/>
      <c r="T55" s="2586"/>
      <c r="U55" s="510"/>
      <c r="V55" s="4225"/>
      <c r="W55" s="4281"/>
      <c r="X55" s="4225"/>
      <c r="Y55" s="4281"/>
      <c r="Z55" s="4225"/>
      <c r="AA55" s="4225"/>
      <c r="AB55" s="4225"/>
      <c r="AC55" s="4225"/>
      <c r="AD55" s="2233"/>
      <c r="AE55" s="2496"/>
      <c r="AF55" s="2497"/>
      <c r="AG55" s="2589"/>
      <c r="AH55" s="2142"/>
      <c r="AI55" s="504"/>
      <c r="AJ55" s="651"/>
      <c r="AK55" s="525" t="s">
        <v>2152</v>
      </c>
      <c r="AL55" s="4225"/>
      <c r="AM55" s="4225"/>
      <c r="AN55" s="4225"/>
      <c r="AO55" s="4225"/>
      <c r="AP55" s="4225"/>
      <c r="AQ55" s="4225"/>
      <c r="AR55" s="4225"/>
      <c r="AS55" s="4225"/>
      <c r="AT55" s="4225"/>
      <c r="AU55" s="4281"/>
      <c r="AV55" s="4225"/>
      <c r="AW55" s="4281"/>
      <c r="AX55" s="4225"/>
      <c r="AY55" s="4225"/>
      <c r="AZ55" s="4225"/>
      <c r="BA55" s="4225"/>
      <c r="BB55" s="4279"/>
      <c r="BC55" s="2420"/>
      <c r="BE55" s="737"/>
      <c r="BF55" s="737"/>
      <c r="BG55" s="737"/>
      <c r="BH55" s="737"/>
    </row>
    <row customHeight="1" ht="11.25">
      <c r="A56" s="1659" t="s">
        <v>338</v>
      </c>
      <c r="B56" s="1659" t="s">
        <v>339</v>
      </c>
      <c r="C56" s="1659" t="s">
        <v>340</v>
      </c>
      <c r="D56" s="1659" t="s">
        <v>2158</v>
      </c>
      <c r="E56" s="2425"/>
      <c r="F56" s="2425"/>
      <c r="G56" s="2425"/>
      <c r="H56" s="2425"/>
      <c r="I56" s="2454"/>
      <c r="J56" s="2455"/>
      <c r="K56" s="2422"/>
      <c r="L56" s="1660"/>
      <c r="P56" s="2423"/>
      <c r="Q56" s="2423"/>
      <c r="R56" s="578"/>
      <c r="S56" s="2509"/>
      <c r="T56" s="2587"/>
      <c r="U56" s="510"/>
      <c r="V56" s="4225"/>
      <c r="W56" s="4226" t="str">
        <f>Z52&amp;"-"&amp;AB52</f>
        <v>-</v>
      </c>
      <c r="X56" s="4225"/>
      <c r="Y56" s="4226" t="str">
        <f>AB52&amp;"-"&amp;AD52</f>
        <v>-да</v>
      </c>
      <c r="Z56" s="4225"/>
      <c r="AA56" s="4225"/>
      <c r="AB56" s="4225"/>
      <c r="AC56" s="4225"/>
      <c r="AD56" s="2147"/>
      <c r="AE56" s="524"/>
      <c r="AF56" s="526"/>
      <c r="AG56" s="652" t="s">
        <v>1756</v>
      </c>
      <c r="AH56" s="4225"/>
      <c r="AI56" s="4225"/>
      <c r="AJ56" s="4225"/>
      <c r="AK56" s="4225"/>
      <c r="AL56" s="4225"/>
      <c r="AM56" s="4225"/>
      <c r="AN56" s="4225"/>
      <c r="AO56" s="4225"/>
      <c r="AP56" s="4225"/>
      <c r="AQ56" s="4225"/>
      <c r="AR56" s="4225"/>
      <c r="AS56" s="4225"/>
      <c r="AT56" s="4225"/>
      <c r="AU56" s="4226" t="str">
        <f>AX52&amp;"-"&amp;AZ52</f>
        <v>-</v>
      </c>
      <c r="AV56" s="4225"/>
      <c r="AW56" s="4226" t="str">
        <f>AZ52&amp;"-"&amp;BB52</f>
        <v>-</v>
      </c>
      <c r="AX56" s="4225"/>
      <c r="AY56" s="4225"/>
      <c r="AZ56" s="4225"/>
      <c r="BA56" s="4225"/>
      <c r="BB56" s="4286" t="str">
        <f>BE52&amp;"-"&amp;BG52</f>
        <v>-</v>
      </c>
      <c r="BC56" s="2420"/>
      <c r="BE56" s="737"/>
      <c r="BF56" s="737" t="str">
        <f>IF(T56="","",T56)</f>
        <v/>
      </c>
      <c r="BG56" s="737"/>
      <c r="BH56" s="737"/>
    </row>
    <row customHeight="1" ht="11.25">
      <c r="A57" s="1659" t="s">
        <v>338</v>
      </c>
      <c r="B57" s="1659" t="s">
        <v>339</v>
      </c>
      <c r="C57" s="1659" t="s">
        <v>340</v>
      </c>
      <c r="D57" s="1659" t="s">
        <v>2158</v>
      </c>
      <c r="E57" s="2425"/>
      <c r="F57" s="2425"/>
      <c r="G57" s="2425"/>
      <c r="H57" s="2425"/>
      <c r="I57" s="2454"/>
      <c r="J57" s="2422"/>
      <c r="K57" s="1659"/>
      <c r="L57" s="1660"/>
      <c r="P57" s="2423"/>
      <c r="Q57" s="2423"/>
      <c r="R57" s="577"/>
      <c r="S57" s="1568"/>
      <c r="T57" s="497" t="s">
        <v>1597</v>
      </c>
      <c r="U57" s="592"/>
      <c r="V57" s="592"/>
      <c r="W57" s="592"/>
      <c r="X57" s="592"/>
      <c r="Y57" s="592"/>
      <c r="Z57" s="592"/>
      <c r="AA57" s="592"/>
      <c r="AB57" s="592"/>
      <c r="AC57" s="544"/>
      <c r="AD57" s="1802"/>
      <c r="AE57" s="592"/>
      <c r="AF57" s="592"/>
      <c r="AG57" s="592"/>
      <c r="AH57" s="592"/>
      <c r="AI57" s="592"/>
      <c r="AJ57" s="592"/>
      <c r="AK57" s="592"/>
      <c r="AL57" s="592"/>
      <c r="AM57" s="592"/>
      <c r="AN57" s="592"/>
      <c r="AO57" s="592"/>
      <c r="AP57" s="592"/>
      <c r="AQ57" s="592"/>
      <c r="AR57" s="592"/>
      <c r="AS57" s="592"/>
      <c r="AT57" s="592"/>
      <c r="AU57" s="592"/>
      <c r="AV57" s="592"/>
      <c r="AW57" s="592"/>
      <c r="AX57" s="592"/>
      <c r="AY57" s="592"/>
      <c r="AZ57" s="592"/>
      <c r="BA57" s="592"/>
      <c r="BB57" s="544"/>
      <c r="BC57" s="2421"/>
      <c r="BE57" s="737"/>
      <c r="BF57" s="737" t="str">
        <f>IF(T57="","",T57)</f>
        <v>Добавить строку</v>
      </c>
      <c r="BG57" s="737"/>
      <c r="BH57" s="737"/>
    </row>
    <row s="10863" customFormat="1" customHeight="1" ht="0">
      <c r="A58" s="1638" t="s">
        <v>338</v>
      </c>
      <c r="B58" s="1638" t="s">
        <v>339</v>
      </c>
      <c r="C58" s="1638" t="s">
        <v>340</v>
      </c>
      <c r="D58" s="1638" t="s">
        <v>2158</v>
      </c>
      <c r="E58" s="2425"/>
      <c r="F58" s="2425"/>
      <c r="G58" s="2425"/>
      <c r="H58" s="2425"/>
      <c r="I58" s="2453"/>
      <c r="J58" s="1638"/>
      <c r="K58" s="1638"/>
      <c r="L58" s="1641"/>
      <c r="M58" s="747"/>
      <c r="N58" s="747"/>
      <c r="O58" s="747"/>
      <c r="P58" s="2423"/>
      <c r="Q58" s="1778"/>
      <c r="R58" s="577"/>
      <c r="S58" s="1682"/>
      <c r="T58" s="1683"/>
      <c r="U58" s="1684"/>
      <c r="V58" s="1684"/>
      <c r="W58" s="1684"/>
      <c r="X58" s="1684"/>
      <c r="Y58" s="1684"/>
      <c r="Z58" s="1684"/>
      <c r="AA58" s="1684"/>
      <c r="AB58" s="1684"/>
      <c r="AC58" s="1684"/>
      <c r="AD58" s="1684"/>
      <c r="AE58" s="1684"/>
      <c r="AF58" s="1684"/>
      <c r="AG58" s="1684"/>
      <c r="AH58" s="1684"/>
      <c r="AI58" s="1684"/>
      <c r="AJ58" s="1684"/>
      <c r="AK58" s="1684"/>
      <c r="AL58" s="1684"/>
      <c r="AM58" s="1684"/>
      <c r="AN58" s="1684"/>
      <c r="AO58" s="1684"/>
      <c r="AP58" s="1684"/>
      <c r="AQ58" s="1684"/>
      <c r="AR58" s="1684"/>
      <c r="AS58" s="1684"/>
      <c r="AT58" s="1684"/>
      <c r="AU58" s="1684"/>
      <c r="AV58" s="1684"/>
      <c r="AW58" s="1684"/>
      <c r="AX58" s="1684"/>
      <c r="AY58" s="1684"/>
      <c r="AZ58" s="1684"/>
      <c r="BA58" s="1684"/>
      <c r="BB58" s="1684"/>
      <c r="BC58" s="1685"/>
      <c r="BE58" s="737"/>
      <c r="BF58" s="737" t="str">
        <f>IF(T58="","",T58)</f>
        <v/>
      </c>
      <c r="BG58" s="737"/>
      <c r="BH58" s="737"/>
    </row>
    <row s="10863" customFormat="1" customHeight="1" ht="0">
      <c r="A59" s="1638" t="s">
        <v>338</v>
      </c>
      <c r="B59" s="1638" t="s">
        <v>339</v>
      </c>
      <c r="C59" s="1638" t="s">
        <v>340</v>
      </c>
      <c r="D59" s="1638" t="s">
        <v>2158</v>
      </c>
      <c r="E59" s="2425"/>
      <c r="F59" s="2425"/>
      <c r="G59" s="2425"/>
      <c r="H59" s="2424"/>
      <c r="I59" s="1638"/>
      <c r="J59" s="1638"/>
      <c r="K59" s="1638"/>
      <c r="L59" s="1641"/>
      <c r="M59" s="1610"/>
      <c r="N59" s="1610"/>
      <c r="O59" s="755"/>
      <c r="P59" s="610"/>
      <c r="Q59" s="1639"/>
      <c r="R59" s="1697"/>
      <c r="S59" s="1682"/>
      <c r="T59" s="1683"/>
      <c r="U59" s="1684"/>
      <c r="V59" s="1684"/>
      <c r="W59" s="1684"/>
      <c r="X59" s="1684"/>
      <c r="Y59" s="1684"/>
      <c r="Z59" s="1684"/>
      <c r="AA59" s="1684"/>
      <c r="AB59" s="1684"/>
      <c r="AC59" s="1684"/>
      <c r="AD59" s="1684"/>
      <c r="AE59" s="1684"/>
      <c r="AF59" s="1684"/>
      <c r="AG59" s="1684"/>
      <c r="AH59" s="1684"/>
      <c r="AI59" s="1684"/>
      <c r="AJ59" s="1684"/>
      <c r="AK59" s="1684"/>
      <c r="AL59" s="1684"/>
      <c r="AM59" s="1684"/>
      <c r="AN59" s="1684"/>
      <c r="AO59" s="1684"/>
      <c r="AP59" s="1684"/>
      <c r="AQ59" s="1684"/>
      <c r="AR59" s="1684"/>
      <c r="AS59" s="1684"/>
      <c r="AT59" s="1684"/>
      <c r="AU59" s="1684"/>
      <c r="AV59" s="1684"/>
      <c r="AW59" s="1684"/>
      <c r="AX59" s="1684"/>
      <c r="AY59" s="1684"/>
      <c r="AZ59" s="1684"/>
      <c r="BA59" s="1684"/>
      <c r="BB59" s="1684"/>
      <c r="BC59" s="1685"/>
      <c r="BE59" s="737"/>
      <c r="BF59" s="737" t="str">
        <f>IF(T59="","",T59)</f>
        <v/>
      </c>
      <c r="BG59" s="737"/>
      <c r="BH59" s="737"/>
    </row>
    <row s="10863" customFormat="1" customHeight="1" ht="0">
      <c r="A60" s="1638" t="s">
        <v>338</v>
      </c>
      <c r="B60" s="1638" t="s">
        <v>339</v>
      </c>
      <c r="C60" s="1638" t="s">
        <v>340</v>
      </c>
      <c r="D60" s="1609"/>
      <c r="E60" s="2425"/>
      <c r="F60" s="2425"/>
      <c r="G60" s="2424"/>
      <c r="H60" s="1609"/>
      <c r="I60" s="1609"/>
      <c r="J60" s="1609"/>
      <c r="K60" s="1609"/>
      <c r="L60" s="1791"/>
      <c r="M60" s="1610"/>
      <c r="N60" s="1610"/>
      <c r="P60" s="1611"/>
      <c r="Q60" s="1612"/>
      <c r="R60" s="1611"/>
      <c r="S60" s="1617"/>
      <c r="T60" s="1620"/>
      <c r="U60" s="1619"/>
      <c r="V60" s="1619"/>
      <c r="W60" s="1619"/>
      <c r="X60" s="1619"/>
      <c r="Y60" s="1619"/>
      <c r="Z60" s="1619"/>
      <c r="AA60" s="1619"/>
      <c r="AB60" s="1619"/>
      <c r="AC60" s="1619"/>
      <c r="AD60" s="1619"/>
      <c r="AE60" s="1619"/>
      <c r="AF60" s="1619"/>
      <c r="AG60" s="1619"/>
      <c r="AH60" s="1619"/>
      <c r="AI60" s="1619"/>
      <c r="AJ60" s="1619"/>
      <c r="AK60" s="1619"/>
      <c r="AL60" s="1619"/>
      <c r="AM60" s="1619"/>
      <c r="AN60" s="1619"/>
      <c r="AO60" s="1619"/>
      <c r="AP60" s="1619"/>
      <c r="AQ60" s="1619"/>
      <c r="AR60" s="1619"/>
      <c r="AS60" s="1619"/>
      <c r="AT60" s="1619"/>
      <c r="AU60" s="1619"/>
      <c r="AV60" s="1619"/>
      <c r="AW60" s="1619"/>
      <c r="AX60" s="1619"/>
      <c r="AY60" s="1619"/>
      <c r="AZ60" s="1619"/>
      <c r="BA60" s="1619"/>
      <c r="BB60" s="1619"/>
      <c r="BC60" s="1619"/>
      <c r="BE60" s="1029"/>
      <c r="BF60" s="1029" t="str">
        <f>IF(T60="","",T60)</f>
        <v/>
      </c>
      <c r="BG60" s="1029"/>
      <c r="BH60" s="1029"/>
    </row>
    <row s="10863" customFormat="1" customHeight="1" ht="0">
      <c r="A61" s="1638" t="s">
        <v>338</v>
      </c>
      <c r="B61" s="1638" t="s">
        <v>339</v>
      </c>
      <c r="C61" s="1609"/>
      <c r="D61" s="1609"/>
      <c r="E61" s="2425"/>
      <c r="F61" s="2424"/>
      <c r="G61" s="1609"/>
      <c r="H61" s="1609"/>
      <c r="I61" s="1609"/>
      <c r="J61" s="1609"/>
      <c r="K61" s="1609"/>
      <c r="L61" s="1791"/>
      <c r="M61" s="1616"/>
      <c r="N61" s="1616"/>
      <c r="P61" s="1611"/>
      <c r="Q61" s="1612"/>
      <c r="R61" s="1611"/>
      <c r="S61" s="1617"/>
      <c r="T61" s="1620" t="s">
        <v>1493</v>
      </c>
      <c r="U61" s="1619"/>
      <c r="V61" s="1619"/>
      <c r="W61" s="1619"/>
      <c r="X61" s="1619"/>
      <c r="Y61" s="1619"/>
      <c r="Z61" s="1619"/>
      <c r="AA61" s="1619"/>
      <c r="AB61" s="1619"/>
      <c r="AC61" s="1619"/>
      <c r="AD61" s="1619"/>
      <c r="AE61" s="1619"/>
      <c r="AF61" s="1619"/>
      <c r="AG61" s="1619"/>
      <c r="AH61" s="1619"/>
      <c r="AI61" s="1619"/>
      <c r="AJ61" s="1619"/>
      <c r="AK61" s="1619"/>
      <c r="AL61" s="1619"/>
      <c r="AM61" s="1619"/>
      <c r="AN61" s="1619"/>
      <c r="AO61" s="1619"/>
      <c r="AP61" s="1619"/>
      <c r="AQ61" s="1619"/>
      <c r="AR61" s="1619"/>
      <c r="AS61" s="1619"/>
      <c r="AT61" s="1619"/>
      <c r="AU61" s="1619"/>
      <c r="AV61" s="1619"/>
      <c r="AW61" s="1619"/>
      <c r="AX61" s="1619"/>
      <c r="AY61" s="1619"/>
      <c r="AZ61" s="1619"/>
      <c r="BA61" s="1619"/>
      <c r="BB61" s="1619"/>
      <c r="BC61" s="1619"/>
      <c r="BE61" s="1029"/>
      <c r="BF61" s="1029" t="str">
        <f>IF(T61="","",T61)</f>
        <v>Добавить централизованную систему для дифференциации</v>
      </c>
      <c r="BG61" s="1029"/>
      <c r="BH61" s="1029"/>
    </row>
    <row s="10863" customFormat="1" customHeight="1" ht="0">
      <c r="A62" s="1638" t="s">
        <v>338</v>
      </c>
      <c r="B62" s="1638"/>
      <c r="C62" s="1638"/>
      <c r="D62" s="1638"/>
      <c r="E62" s="2424"/>
      <c r="F62" s="1638"/>
      <c r="G62" s="1638"/>
      <c r="H62" s="1638"/>
      <c r="I62" s="1638"/>
      <c r="J62" s="1638"/>
      <c r="K62" s="1638"/>
      <c r="L62" s="1641"/>
      <c r="M62" s="1616"/>
      <c r="N62" s="1616"/>
      <c r="O62" s="755"/>
      <c r="P62" s="610"/>
      <c r="Q62" s="1639"/>
      <c r="R62" s="610"/>
      <c r="S62" s="1617"/>
      <c r="T62" s="1620" t="s">
        <v>1494</v>
      </c>
      <c r="U62" s="1619"/>
      <c r="V62" s="1619"/>
      <c r="W62" s="1619"/>
      <c r="X62" s="1619"/>
      <c r="Y62" s="1619"/>
      <c r="Z62" s="1619"/>
      <c r="AA62" s="1619"/>
      <c r="AB62" s="1619"/>
      <c r="AC62" s="1619"/>
      <c r="AD62" s="1619"/>
      <c r="AE62" s="1619"/>
      <c r="AF62" s="1619"/>
      <c r="AG62" s="1619"/>
      <c r="AH62" s="1619"/>
      <c r="AI62" s="1619"/>
      <c r="AJ62" s="1619"/>
      <c r="AK62" s="1619"/>
      <c r="AL62" s="1619"/>
      <c r="AM62" s="1619"/>
      <c r="AN62" s="1619"/>
      <c r="AO62" s="1619"/>
      <c r="AP62" s="1619"/>
      <c r="AQ62" s="1619"/>
      <c r="AR62" s="1619"/>
      <c r="AS62" s="1619"/>
      <c r="AT62" s="1619"/>
      <c r="AU62" s="1619"/>
      <c r="AV62" s="1619"/>
      <c r="AW62" s="1619"/>
      <c r="AX62" s="1619"/>
      <c r="AY62" s="1619"/>
      <c r="AZ62" s="1619"/>
      <c r="BA62" s="1619"/>
      <c r="BB62" s="1619"/>
      <c r="BC62" s="1619"/>
      <c r="BE62" s="737"/>
      <c r="BF62" s="737" t="str">
        <f>IF(T62="","",T62)</f>
        <v>Добавить территорию для дифференциации</v>
      </c>
      <c r="BG62" s="737"/>
      <c r="BH62" s="737"/>
    </row>
    <row s="10863" customFormat="1" customHeight="1" ht="0">
      <c r="A63" s="1609"/>
      <c r="B63" s="1609"/>
      <c r="C63" s="1609"/>
      <c r="D63" s="1609"/>
      <c r="E63" s="1638"/>
      <c r="F63" s="1609"/>
      <c r="G63" s="1609"/>
      <c r="H63" s="1609"/>
      <c r="I63" s="1609"/>
      <c r="J63" s="1609"/>
      <c r="K63" s="1609"/>
      <c r="L63" s="1791"/>
      <c r="M63" s="1616"/>
      <c r="N63" s="1616"/>
      <c r="P63" s="1611"/>
      <c r="Q63" s="1612"/>
      <c r="R63" s="1611"/>
      <c r="S63" s="1617"/>
      <c r="T63" s="1620" t="s">
        <v>1495</v>
      </c>
      <c r="U63" s="1619"/>
      <c r="V63" s="1619"/>
      <c r="W63" s="1619"/>
      <c r="X63" s="1619"/>
      <c r="Y63" s="1619"/>
      <c r="Z63" s="1619"/>
      <c r="AA63" s="1619"/>
      <c r="AB63" s="1619"/>
      <c r="AC63" s="1619"/>
      <c r="AD63" s="1619"/>
      <c r="AE63" s="1619"/>
      <c r="AF63" s="1619"/>
      <c r="AG63" s="1619"/>
      <c r="AH63" s="1619"/>
      <c r="AI63" s="1619"/>
      <c r="AJ63" s="1619"/>
      <c r="AK63" s="1619"/>
      <c r="AL63" s="1619"/>
      <c r="AM63" s="1619"/>
      <c r="AN63" s="1619"/>
      <c r="AO63" s="1619"/>
      <c r="AP63" s="1619"/>
      <c r="AQ63" s="1619"/>
      <c r="AR63" s="1619"/>
      <c r="AS63" s="1619"/>
      <c r="AT63" s="1619"/>
      <c r="AU63" s="1619"/>
      <c r="AV63" s="1619"/>
      <c r="AW63" s="1619"/>
      <c r="AX63" s="1619"/>
      <c r="AY63" s="1619"/>
      <c r="AZ63" s="1619"/>
      <c r="BA63" s="1619"/>
      <c r="BB63" s="1619"/>
      <c r="BC63" s="1619"/>
      <c r="BE63" s="1029"/>
      <c r="BF63" s="1029" t="str">
        <f>IF(T63="","",T63)</f>
        <v>Добавить наименование тарифа</v>
      </c>
      <c r="BG63" s="1029"/>
      <c r="BH63" s="1029"/>
    </row>
    <row customHeight="1" ht="11.25" hidden="1">
      <c r="M64" s="1421"/>
      <c r="N64" s="1421"/>
      <c r="O64" s="774"/>
      <c r="P64" s="1421"/>
      <c r="Q64" s="1421"/>
      <c r="R64" s="1416"/>
      <c r="S64" s="1416"/>
      <c r="BD64" s="1416"/>
      <c r="BE64" s="1416"/>
      <c r="BF64" s="1416"/>
      <c r="BG64" s="1416"/>
      <c r="BH64" s="1416"/>
    </row>
    <row customHeight="1" ht="18.75" hidden="1">
      <c r="O65" s="774"/>
      <c r="S65" s="1533" t="s">
        <v>1565</v>
      </c>
      <c r="T65" s="2452" t="s">
        <v>1767</v>
      </c>
      <c r="U65" s="2452"/>
      <c r="V65" s="2452"/>
      <c r="W65" s="2452"/>
      <c r="X65" s="2452"/>
      <c r="Y65" s="2452"/>
      <c r="Z65" s="2452"/>
      <c r="AA65" s="2452"/>
      <c r="AB65" s="2452"/>
      <c r="AC65" s="2452"/>
      <c r="AD65" s="2452"/>
      <c r="AE65" s="2452"/>
      <c r="AF65" s="2452"/>
      <c r="AG65" s="2452"/>
      <c r="AH65" s="2452"/>
      <c r="AI65" s="2452"/>
      <c r="AJ65" s="2452"/>
      <c r="AK65" s="2452"/>
      <c r="AL65" s="2452"/>
      <c r="AM65" s="2452"/>
      <c r="AN65" s="2452"/>
      <c r="AO65" s="2452"/>
      <c r="AP65" s="2452"/>
      <c r="AQ65" s="2452"/>
      <c r="AR65" s="2452"/>
      <c r="AS65" s="2452"/>
      <c r="AT65" s="2452"/>
      <c r="AU65" s="2452"/>
      <c r="AV65" s="2452"/>
      <c r="AW65" s="2452"/>
      <c r="AX65" s="2452"/>
      <c r="AY65" s="2452"/>
      <c r="AZ65" s="2452"/>
      <c r="BA65" s="2452"/>
      <c r="BB65" s="2452"/>
      <c r="BC65" s="2452"/>
    </row>
    <row customHeight="1" ht="14.25" hidden="1">
      <c r="O66" s="774"/>
      <c r="T66" s="1777"/>
      <c r="U66" s="1777"/>
      <c r="V66" s="1777"/>
      <c r="W66" s="1777"/>
      <c r="X66" s="1777"/>
      <c r="Y66" s="1777"/>
      <c r="Z66" s="1777"/>
      <c r="AA66" s="1777"/>
      <c r="AB66" s="1777"/>
      <c r="AC66" s="1777"/>
      <c r="AD66" s="1777"/>
      <c r="AE66" s="1777"/>
      <c r="AF66" s="1777"/>
      <c r="AG66" s="1777"/>
      <c r="AH66" s="1777"/>
      <c r="AI66" s="1777"/>
      <c r="AJ66" s="1777"/>
      <c r="AK66" s="1777"/>
      <c r="AL66" s="1777"/>
      <c r="AM66" s="1777"/>
      <c r="AN66" s="1777"/>
      <c r="AO66" s="1777"/>
      <c r="AP66" s="1777"/>
      <c r="AQ66" s="1777"/>
      <c r="AR66" s="1777"/>
      <c r="AS66" s="1777"/>
      <c r="AT66" s="1777"/>
      <c r="AU66" s="1777"/>
      <c r="AV66" s="1777"/>
      <c r="AW66" s="1777"/>
      <c r="AX66" s="1777"/>
      <c r="AY66" s="1777"/>
      <c r="AZ66" s="1777"/>
      <c r="BA66" s="1777"/>
      <c r="BB66" s="1777"/>
      <c r="BC66" s="1777"/>
    </row>
    <row customHeight="1" ht="18.75" hidden="1">
      <c r="O67" s="774"/>
      <c r="S67" s="1533" t="s">
        <v>1565</v>
      </c>
      <c r="T67" s="2452" t="s">
        <v>1731</v>
      </c>
      <c r="U67" s="2452"/>
      <c r="V67" s="2452"/>
      <c r="W67" s="2452"/>
      <c r="X67" s="2452"/>
      <c r="Y67" s="2452"/>
      <c r="Z67" s="2452"/>
      <c r="AA67" s="2452"/>
      <c r="AB67" s="2452"/>
      <c r="AC67" s="2452"/>
      <c r="AD67" s="2452"/>
      <c r="AE67" s="2452"/>
      <c r="AF67" s="2452"/>
      <c r="AG67" s="2452"/>
      <c r="AH67" s="2452"/>
      <c r="AI67" s="2452"/>
      <c r="AJ67" s="2452"/>
      <c r="AK67" s="2452"/>
      <c r="AL67" s="2452"/>
      <c r="AM67" s="2452"/>
      <c r="AN67" s="2452"/>
      <c r="AO67" s="2452"/>
      <c r="AP67" s="2452"/>
      <c r="AQ67" s="2452"/>
      <c r="AR67" s="2452"/>
      <c r="AS67" s="2452"/>
      <c r="AT67" s="2452"/>
      <c r="AU67" s="2452"/>
      <c r="AV67" s="2452"/>
      <c r="AW67" s="2452"/>
      <c r="AX67" s="2452"/>
      <c r="AY67" s="2452"/>
      <c r="AZ67" s="2452"/>
      <c r="BA67" s="2452"/>
      <c r="BB67" s="2452"/>
      <c r="BC67" s="2452"/>
    </row>
    <row customHeight="1" ht="14.25">
      <c r="O68" s="774"/>
    </row>
  </sheetData>
  <sheetProtection formatColumns="0" formatRows="0" autoFilter="0" sort="0" insertRows="0" insertColumns="1" deleteRows="0" deleteColumns="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265FC2A-344E-75B2-C323-80EFEE562793}"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3E68BF5-1A9C-4819-F09F-485E78B2408D}"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F8504F2-3641-7558-1373-825C10DF8373}"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770D72F-41BD-B578-FB03-C57000211F56}"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DCD715F-6045-F9E7-1264-E24FDC3D748D}"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D36F41E-6B9A-938B-59B6-BE35D38B3406}"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1CB8D96-D0D9-F636-DF67-6E69001F6448}" mc:Ignorable="x14ac xr xr2 xr3">
  <sheetPr>
    <tabColor rgb="FFEAEBEE"/>
    <pageSetUpPr fitToPage="1"/>
  </sheetPr>
  <dimension ref="A1:L15"/>
  <sheetViews>
    <sheetView topLeftCell="C4" showGridLines="0" zoomScale="90" workbookViewId="0">
      <selection activeCell="A1" sqref="A1"/>
    </sheetView>
  </sheetViews>
  <sheetFormatPr defaultColWidth="9.140625" customHeight="1" defaultRowHeight="14.25"/>
  <cols>
    <col min="1" max="1" style="11251" width="9.140625" hidden="1"/>
    <col min="2" max="2" style="11265" width="9.140625" hidden="1"/>
    <col min="3" max="3" style="11264" width="3.7109375" customWidth="1"/>
    <col min="4" max="4" style="11265" width="7.00390625" customWidth="1"/>
    <col min="5" max="5" style="11265" width="23.140625" customWidth="1"/>
    <col min="6" max="6" style="11265" width="16.00390625" customWidth="1"/>
    <col min="7" max="7" style="11265" width="14.8515625" customWidth="1"/>
    <col min="8" max="8" style="11265" width="47.8515625" customWidth="1"/>
    <col min="9" max="9" style="11265" width="115.7109375" customWidth="1"/>
    <col min="10" max="10" style="11265" width="3.7109375" customWidth="1"/>
    <col min="11" max="12" style="11265" width="9.140625"/>
  </cols>
  <sheetData>
    <row customHeight="1" ht="14.25" hidden="1"/>
    <row customHeight="1" ht="14.25" hidden="1"/>
    <row customHeight="1" ht="14.25" hidden="1"/>
    <row customHeight="1" ht="3"/>
    <row s="11126" customFormat="1" customHeight="1" ht="30">
      <c r="A5" s="320"/>
      <c r="C5" s="292"/>
      <c r="D5" s="2135" t="s">
        <v>2159</v>
      </c>
      <c r="E5" s="2135"/>
      <c r="F5" s="2135"/>
      <c r="G5" s="2135"/>
      <c r="H5" s="2135"/>
      <c r="I5" s="473"/>
    </row>
    <row customHeight="1" ht="3" hidden="1">
      <c r="D6" s="327"/>
      <c r="E6" s="327"/>
      <c r="F6" s="327"/>
      <c r="G6" s="327"/>
      <c r="H6" s="327"/>
      <c r="I6" s="327"/>
    </row>
    <row s="11251" customFormat="1" customHeight="1" ht="14.25">
      <c r="B7" s="324"/>
      <c r="C7" s="325"/>
      <c r="D7" s="328"/>
      <c r="E7" s="328"/>
      <c r="F7" s="328"/>
      <c r="G7" s="328"/>
      <c r="H7" s="991"/>
      <c r="I7" s="328"/>
      <c r="J7" s="329"/>
    </row>
    <row customHeight="1" ht="14.25">
      <c r="D8" s="2692" t="s">
        <v>362</v>
      </c>
      <c r="E8" s="2692"/>
      <c r="F8" s="2692"/>
      <c r="G8" s="2692"/>
      <c r="H8" s="2692"/>
      <c r="I8" s="2692" t="s">
        <v>363</v>
      </c>
    </row>
    <row customHeight="1" ht="27.75">
      <c r="D9" s="2692" t="s">
        <v>88</v>
      </c>
      <c r="E9" s="2692" t="s">
        <v>2160</v>
      </c>
      <c r="F9" s="2692"/>
      <c r="G9" s="2692"/>
      <c r="H9" s="2692"/>
      <c r="I9" s="2692"/>
    </row>
    <row customHeight="1" ht="22.5">
      <c r="D10" s="2692"/>
      <c r="E10" s="332" t="s">
        <v>2161</v>
      </c>
      <c r="F10" s="332" t="s">
        <v>2162</v>
      </c>
      <c r="G10" s="332" t="s">
        <v>2163</v>
      </c>
      <c r="H10" s="332" t="s">
        <v>454</v>
      </c>
      <c r="I10" s="2692"/>
    </row>
    <row customHeight="1" ht="12" hidden="1">
      <c r="D11" s="289" t="s">
        <v>109</v>
      </c>
      <c r="E11" s="289" t="s">
        <v>91</v>
      </c>
      <c r="F11" s="289" t="s">
        <v>111</v>
      </c>
      <c r="G11" s="289" t="s">
        <v>92</v>
      </c>
      <c r="H11" s="289" t="s">
        <v>93</v>
      </c>
      <c r="I11" s="289" t="s">
        <v>112</v>
      </c>
    </row>
    <row s="11265" customFormat="1" customHeight="1" ht="24.75">
      <c r="A12" s="351" t="s">
        <v>90</v>
      </c>
      <c r="B12" s="330" t="s">
        <v>17</v>
      </c>
      <c r="C12" s="331"/>
      <c r="D12" s="333" t="s">
        <v>109</v>
      </c>
      <c r="E12" s="612"/>
      <c r="F12" s="612"/>
      <c r="G12" s="2049" t="s">
        <v>17</v>
      </c>
      <c r="H12" s="613"/>
      <c r="I12" s="2287" t="s">
        <v>2164</v>
      </c>
      <c r="K12" s="480"/>
      <c r="L12" s="481"/>
    </row>
    <row customHeight="1" ht="15">
      <c r="A13" s="326"/>
      <c r="B13" s="326"/>
      <c r="C13" s="326"/>
      <c r="D13" s="314"/>
      <c r="E13" s="335" t="s">
        <v>1597</v>
      </c>
      <c r="F13" s="334"/>
      <c r="G13" s="334"/>
      <c r="H13" s="422"/>
      <c r="I13" s="2289"/>
    </row>
    <row customHeight="1" ht="3">
      <c r="A14" s="326"/>
      <c r="B14" s="326"/>
      <c r="C14" s="326"/>
    </row>
    <row customHeight="1" ht="27.75">
      <c r="E15" s="2691" t="s">
        <v>2165</v>
      </c>
      <c r="F15" s="2691"/>
      <c r="G15" s="2691"/>
      <c r="H15" s="2691"/>
    </row>
  </sheetData>
  <sheetProtection formatColumns="0" formatRows="0" autoFilter="0" sort="0" insertRows="0" insertColumns="1" deleteRows="0" deleteColumns="0"/>
  <mergeCells count="7">
    <mergeCell ref="E15:H15"/>
    <mergeCell ref="D5:H5"/>
    <mergeCell ref="I12:I13"/>
    <mergeCell ref="D8:H8"/>
    <mergeCell ref="I8:I10"/>
    <mergeCell ref="E9:H9"/>
    <mergeCell ref="D9:D10"/>
  </mergeCells>
  <dataValidations count="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1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12">
      <formula1>900</formula1>
    </dataValidation>
    <dataValidation type="textLength" operator="lessThanOrEqual" allowBlank="1" showInputMessage="1" showErrorMessage="1" errorTitle="Ошибка" error="Допускается ввод не более 900 символов!" sqref="E12:F12">
      <formula1>900</formula1>
    </dataValidation>
  </dataValidations>
  <printOptions horizontalCentered="1"/>
  <pageMargins left="0.24" right="0.24" top="0.24" bottom="0.24" header="0.24" footer="0.24"/>
  <pageSetup paperSize="9" scale="67" fitToHeight="0" pageOrder="downThenOver" orientation="landscape"/>
  <headerFooter>
    <oddHeader>&amp;L&amp;C&amp;R</oddHeader>
    <oddFooter>&amp;L&amp;C&amp;R</oddFooter>
    <evenHeader>&amp;L&amp;C&amp;R</evenHeader>
    <evenFooter>&amp;L&amp;C&amp;R</evenFooter>
  </headerFooter>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FC913F5-7608-1FE1-0AFE-3D425CE6CC94}" mc:Ignorable="x14ac xr xr2 xr3">
  <sheetPr>
    <tabColor rgb="FFCCCCFF"/>
    <pageSetUpPr fitToPage="1"/>
  </sheetPr>
  <dimension ref="A1:I15"/>
  <sheetViews>
    <sheetView topLeftCell="C6" showGridLines="0" zoomScale="90" workbookViewId="0">
      <selection activeCell="A1" sqref="A1"/>
    </sheetView>
  </sheetViews>
  <sheetFormatPr defaultColWidth="9.140625" customHeight="1" defaultRowHeight="14.25"/>
  <cols>
    <col min="1" max="2" style="11357" width="9.140625" hidden="1"/>
    <col min="3" max="3" style="11279" width="3.7109375" customWidth="1"/>
    <col min="4" max="4" style="11357" width="6.28125" customWidth="1"/>
    <col min="5" max="5" style="11357" width="94.8515625" customWidth="1"/>
    <col min="6" max="9" style="11357" width="9.140625"/>
  </cols>
  <sheetData>
    <row customHeight="1" ht="14.25" hidden="1"/>
    <row customHeight="1" ht="14.25" hidden="1"/>
    <row customHeight="1" ht="14.25" hidden="1"/>
    <row customHeight="1" ht="14.25" hidden="1"/>
    <row customHeight="1" ht="14.25" hidden="1"/>
    <row customHeight="1" ht="3">
      <c r="C6" s="295"/>
      <c r="D6" s="271"/>
      <c r="E6" s="271"/>
    </row>
    <row customHeight="1" ht="22.5">
      <c r="C7" s="295"/>
      <c r="D7" s="2693" t="s">
        <v>2166</v>
      </c>
      <c r="E7" s="2694"/>
      <c r="F7" s="475"/>
    </row>
    <row customHeight="1" ht="3">
      <c r="C8" s="295"/>
      <c r="D8" s="271"/>
      <c r="E8" s="271"/>
    </row>
    <row customHeight="1" ht="15.75">
      <c r="C9" s="295"/>
      <c r="D9" s="310" t="s">
        <v>88</v>
      </c>
      <c r="E9" s="468" t="s">
        <v>2167</v>
      </c>
    </row>
    <row customHeight="1" ht="12">
      <c r="C10" s="295"/>
      <c r="D10" s="289" t="s">
        <v>109</v>
      </c>
      <c r="E10" s="289" t="s">
        <v>110</v>
      </c>
    </row>
    <row customHeight="1" ht="11.25" hidden="1">
      <c r="C11" s="295"/>
      <c r="D11" s="356">
        <v>0</v>
      </c>
      <c r="E11" s="469"/>
    </row>
    <row customHeight="1" ht="15">
      <c r="C12" s="342"/>
      <c r="D12" s="318">
        <v>1</v>
      </c>
      <c r="E12" s="605"/>
    </row>
    <row customHeight="1" ht="12">
      <c r="C13" s="295"/>
      <c r="D13" s="470"/>
      <c r="E13" s="471" t="s">
        <v>2168</v>
      </c>
    </row>
    <row customHeight="1" ht="3"/>
    <row customHeight="1" ht="22.5">
      <c r="C15" s="343"/>
      <c r="D15" s="2695" t="s">
        <v>2169</v>
      </c>
      <c r="E15" s="2695"/>
      <c r="F15" s="344"/>
      <c r="G15" s="344"/>
      <c r="H15" s="344"/>
      <c r="I15" s="344"/>
    </row>
  </sheetData>
  <sheetProtection formatColumns="0" formatRows="0" sort="0" autoFilter="0" insertRows="0" insertColumns="1" deleteRows="0" deleteColumns="0"/>
  <mergeCells count="2">
    <mergeCell ref="D7:E7"/>
    <mergeCell ref="D15:E15"/>
  </mergeCells>
  <dataValidations count="1">
    <dataValidation type="textLength" operator="lessThanOrEqual" allowBlank="1" showInputMessage="1" showErrorMessage="1" errorTitle="Ошибка" error="Допускается ввод не более 900 символов!" sqref="E11:E12">
      <formula1>900</formula1>
    </dataValidation>
  </dataValidations>
  <pageMargins left="0.75" right="0.75" top="1.00" bottom="1.00" header="0.50" footer="0.50"/>
  <pageSetup paperSize="9" scale="94" pageOrder="downThenOver" orientation="portrait"/>
  <headerFooter>
    <oddHeader>&amp;L&amp;C&amp;R</oddHeader>
    <oddFooter>&amp;L&amp;C&amp;R</oddFooter>
    <evenHeader>&amp;L&amp;C&amp;R</evenHeader>
    <evenFooter>&amp;L&amp;C&amp;R</evenFooter>
  </headerFooter>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5A80BEB-B4B1-55B8-1F37-CF2868697D2D}" mc:Ignorable="x14ac xr xr2 xr3">
  <dimension ref="A1:I24"/>
  <sheetViews>
    <sheetView topLeftCell="C4" showGridLines="0" zoomScale="90" workbookViewId="0">
      <selection activeCell="A1" sqref="A1"/>
    </sheetView>
  </sheetViews>
  <sheetFormatPr defaultColWidth="9.140625" customHeight="1" defaultRowHeight="11.25"/>
  <cols>
    <col min="1" max="2" style="8882" width="15.00390625" hidden="1" customWidth="1"/>
    <col min="3" max="3" style="8929" width="3.7109375" customWidth="1"/>
    <col min="4" max="4" style="8930" width="6.8515625" customWidth="1"/>
    <col min="5" max="5" style="8929" width="52.28125" customWidth="1"/>
    <col min="6" max="6" style="8929" width="48.8515625" customWidth="1"/>
    <col min="7" max="7" style="8929" width="93.421875" customWidth="1"/>
    <col min="8" max="8" style="8929" width="9.140625"/>
    <col min="9" max="9" style="8929" width="65.00390625" customWidth="1"/>
  </cols>
  <sheetData>
    <row customHeight="1" ht="11.25" hidden="1">
      <c r="A1" s="738" t="s">
        <v>361</v>
      </c>
    </row>
    <row customHeight="1" ht="22.5" hidden="1">
      <c r="A2" s="739"/>
      <c r="B2" s="739"/>
      <c r="C2" s="694"/>
      <c r="D2" s="1821"/>
      <c r="E2" s="1827"/>
      <c r="F2" s="1857"/>
      <c r="H2" s="712"/>
    </row>
    <row customHeight="1" ht="11.25" hidden="1"/>
    <row customHeight="1" ht="11.25">
      <c r="A4" s="1858"/>
      <c r="B4" s="1858"/>
    </row>
    <row customHeight="1" ht="36.75">
      <c r="D5" s="2250" t="str">
        <f>"Форма 1. Информация об органе регулирования тарифов в сфере "&amp;IF(TEMPLATE_SPHERE="HEAT","теплоснабжения","водоснабжения и водоотведения")&amp;" (далее – орган регулирования тарифов)"</f>
        <v>Форма 1. Информация об органе регулирования тарифов в сфере теплоснабжения (далее – орган регулирования тарифов)</v>
      </c>
      <c r="E5" s="2251"/>
      <c r="F5" s="2252"/>
      <c r="I5" s="952"/>
    </row>
    <row customHeight="1" ht="17.25">
      <c r="D6" s="2263" t="str">
        <f>IF(region_name=0,"Не определено",region_name)</f>
        <v>Самарская область</v>
      </c>
      <c r="E6" s="2263"/>
      <c r="F6" s="2263"/>
      <c r="I6" s="952"/>
    </row>
    <row s="8844" customFormat="1" customHeight="1" ht="11.25">
      <c r="A7" s="738"/>
      <c r="B7" s="738"/>
      <c r="D7" s="951"/>
      <c r="E7" s="951"/>
      <c r="F7" s="991"/>
      <c r="G7" s="951"/>
    </row>
    <row customHeight="1" ht="11.25" hidden="1">
      <c r="A8" s="739"/>
      <c r="B8" s="739"/>
      <c r="C8" s="694"/>
      <c r="D8" s="700"/>
      <c r="E8" s="2259"/>
      <c r="F8" s="2259"/>
    </row>
    <row customHeight="1" ht="11.25">
      <c r="A9" s="739"/>
      <c r="B9" s="739"/>
      <c r="C9" s="694"/>
      <c r="D9" s="2255" t="s">
        <v>362</v>
      </c>
      <c r="E9" s="2256"/>
      <c r="F9" s="2256"/>
      <c r="G9" s="2260" t="s">
        <v>363</v>
      </c>
    </row>
    <row customHeight="1" ht="11.25">
      <c r="A10" s="739"/>
      <c r="B10" s="739"/>
      <c r="C10" s="694"/>
      <c r="D10" s="1771" t="s">
        <v>88</v>
      </c>
      <c r="E10" s="1773" t="s">
        <v>364</v>
      </c>
      <c r="F10" s="1773" t="s">
        <v>365</v>
      </c>
      <c r="G10" s="2261"/>
    </row>
    <row customHeight="1" ht="12">
      <c r="A11" s="739"/>
      <c r="B11" s="739"/>
      <c r="C11" s="694"/>
      <c r="D11" s="701"/>
      <c r="E11" s="701"/>
      <c r="F11" s="701"/>
      <c r="G11" s="701"/>
    </row>
    <row customHeight="1" ht="22.5">
      <c r="A12" s="739"/>
      <c r="B12" s="739"/>
      <c r="C12" s="694"/>
      <c r="D12" s="1821">
        <v>1</v>
      </c>
      <c r="E12" s="711" t="s">
        <v>2170</v>
      </c>
      <c r="F12" s="1827"/>
      <c r="G12" s="711" t="s">
        <v>2171</v>
      </c>
      <c r="H12" s="1834"/>
    </row>
    <row customHeight="1" ht="18.75">
      <c r="A13" s="739"/>
      <c r="B13" s="739"/>
      <c r="C13" s="694"/>
      <c r="D13" s="1821">
        <v>2</v>
      </c>
      <c r="E13" s="1828" t="s">
        <v>2172</v>
      </c>
      <c r="F13" s="1822" t="s">
        <v>368</v>
      </c>
      <c r="G13" s="711"/>
      <c r="H13" s="1834"/>
    </row>
    <row customHeight="1" ht="18.75">
      <c r="A14" s="739"/>
      <c r="B14" s="739"/>
      <c r="C14" s="694"/>
      <c r="D14" s="1824" t="s">
        <v>570</v>
      </c>
      <c r="E14" s="1825" t="s">
        <v>2173</v>
      </c>
      <c r="F14" s="1827"/>
      <c r="G14" s="1826" t="s">
        <v>2174</v>
      </c>
      <c r="H14" s="1834"/>
    </row>
    <row customHeight="1" ht="18.75">
      <c r="A15" s="739"/>
      <c r="B15" s="739"/>
      <c r="C15" s="694"/>
      <c r="D15" s="1824" t="s">
        <v>369</v>
      </c>
      <c r="E15" s="1825" t="s">
        <v>2175</v>
      </c>
      <c r="F15" s="1827"/>
      <c r="G15" s="1826" t="s">
        <v>2176</v>
      </c>
      <c r="H15" s="1834"/>
    </row>
    <row customHeight="1" ht="36.75">
      <c r="A16" s="739"/>
      <c r="B16" s="739"/>
      <c r="C16" s="694"/>
      <c r="D16" s="1824" t="s">
        <v>372</v>
      </c>
      <c r="E16" s="1823" t="s">
        <v>2177</v>
      </c>
      <c r="F16" s="1832"/>
      <c r="G16" s="711" t="s">
        <v>2178</v>
      </c>
      <c r="H16" s="1834"/>
    </row>
    <row customHeight="1" ht="45">
      <c r="A17" s="739"/>
      <c r="B17" s="739"/>
      <c r="C17" s="694"/>
      <c r="D17" s="1821">
        <v>3</v>
      </c>
      <c r="E17" s="1828" t="s">
        <v>2179</v>
      </c>
      <c r="F17" s="1827"/>
      <c r="G17" s="711" t="s">
        <v>2180</v>
      </c>
      <c r="H17" s="1834"/>
    </row>
    <row customHeight="1" ht="45">
      <c r="A18" s="1772">
        <v>1</v>
      </c>
      <c r="B18" s="739"/>
      <c r="C18" s="1774"/>
      <c r="D18" s="1821" t="s">
        <v>91</v>
      </c>
      <c r="E18" s="1828" t="s">
        <v>2181</v>
      </c>
      <c r="F18" s="1827"/>
      <c r="G18" s="711" t="s">
        <v>2180</v>
      </c>
      <c r="H18" s="1834"/>
      <c r="I18" s="1098"/>
    </row>
    <row customHeight="1" ht="22.5">
      <c r="A19" s="739"/>
      <c r="B19" s="739"/>
      <c r="C19" s="694"/>
      <c r="D19" s="1821" t="s">
        <v>111</v>
      </c>
      <c r="E19" s="1828" t="s">
        <v>2182</v>
      </c>
      <c r="F19" s="1822" t="s">
        <v>368</v>
      </c>
      <c r="G19" s="2696" t="s">
        <v>2183</v>
      </c>
      <c r="H19" s="712"/>
    </row>
    <row s="11297" customFormat="1" customHeight="1" ht="5.25" hidden="1">
      <c r="A20" s="739"/>
      <c r="B20" s="739"/>
      <c r="C20" s="1830"/>
      <c r="D20" s="1829" t="s">
        <v>1680</v>
      </c>
      <c r="E20" s="1270"/>
      <c r="F20" s="1269"/>
      <c r="G20" s="2697"/>
    </row>
    <row customHeight="1" ht="15">
      <c r="A21" s="739"/>
      <c r="B21" s="739"/>
      <c r="C21" s="694"/>
      <c r="D21" s="704"/>
      <c r="E21" s="651" t="s">
        <v>403</v>
      </c>
      <c r="F21" s="706"/>
      <c r="G21" s="2698"/>
      <c r="H21" s="1834"/>
    </row>
    <row s="8882" customFormat="1" customHeight="1" ht="24.75">
      <c r="A22" s="739"/>
      <c r="B22" s="739"/>
      <c r="C22" s="739"/>
      <c r="D22" s="1821" t="s">
        <v>92</v>
      </c>
      <c r="E22" s="711" t="s">
        <v>2184</v>
      </c>
      <c r="F22" s="1827"/>
      <c r="G22" s="711" t="s">
        <v>2185</v>
      </c>
      <c r="H22" s="1833"/>
    </row>
    <row s="8882" customFormat="1" customHeight="1" ht="18.75">
      <c r="A23" s="739"/>
      <c r="B23" s="739"/>
      <c r="C23" s="739"/>
      <c r="D23" s="1821" t="s">
        <v>93</v>
      </c>
      <c r="E23" s="1828" t="s">
        <v>2186</v>
      </c>
      <c r="F23" s="1832"/>
      <c r="G23" s="711" t="s">
        <v>2187</v>
      </c>
      <c r="H23" s="1833"/>
    </row>
    <row customHeight="1" ht="11.25">
      <c r="A24" s="739"/>
      <c r="B24" s="739"/>
      <c r="C24" s="694"/>
    </row>
  </sheetData>
  <sheetProtection formatColumns="0" formatRows="0" autoFilter="0" sort="0" insertRows="0" insertColumns="1" deleteRows="0" deleteColumns="0"/>
  <mergeCells count="6">
    <mergeCell ref="G19:G21"/>
    <mergeCell ref="D5:F5"/>
    <mergeCell ref="D6:F6"/>
    <mergeCell ref="E8:F8"/>
    <mergeCell ref="D9:F9"/>
    <mergeCell ref="G9:G10"/>
  </mergeCells>
  <dataValidations count="1">
    <dataValidation type="textLength" operator="lessThanOrEqual" allowBlank="1" showInputMessage="1" showErrorMessage="1" errorTitle="Ошибка" error="Допускается ввод не более 900 символов!" sqref="F12 F14:F18 F22:F23">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A967C87-B28B-61BB-ADA1-71F024A3CE87}" mc:Ignorable="x14ac xr xr2 xr3">
  <dimension ref="A1:IT23"/>
  <sheetViews>
    <sheetView topLeftCell="D4" showGridLines="0" zoomScale="90" workbookViewId="0">
      <selection activeCell="A1" sqref="A1"/>
    </sheetView>
  </sheetViews>
  <sheetFormatPr defaultColWidth="9.140625" customHeight="1" defaultRowHeight="14.25"/>
  <cols>
    <col min="1" max="1" style="11126" width="9.140625" hidden="1"/>
    <col min="2" max="2" style="11074" width="9.140625" hidden="1"/>
    <col min="3" max="3" style="11126" width="3.7109375" hidden="1" customWidth="1"/>
    <col min="4" max="4" style="11307" width="3.8515625" customWidth="1"/>
    <col min="5" max="5" style="11126" width="6.28125" customWidth="1"/>
    <col min="6" max="6" style="11126" width="46.7109375" customWidth="1"/>
    <col min="7" max="8" style="11126" width="16.7109375" customWidth="1"/>
    <col min="9" max="9" style="11126" width="35.28125" customWidth="1"/>
    <col min="10" max="10" style="11126" width="89.57421875" customWidth="1"/>
    <col min="11" max="11" style="11318" width="3.7109375" customWidth="1"/>
    <col min="12" max="14" style="11318" width="9.140625"/>
    <col min="15" max="15" style="11318" width="25.7109375" customWidth="1"/>
    <col min="16" max="16" style="11318" width="14.421875" customWidth="1"/>
    <col min="17" max="20" style="8548" width="9.140625"/>
    <col min="21" max="254" style="11126" width="9.140625"/>
  </cols>
  <sheetData>
    <row customHeight="1" ht="14.25" hidden="1"/>
    <row s="11403" customFormat="1" customHeight="1" ht="22.5" hidden="1">
      <c r="A2" s="1076"/>
      <c r="B2" s="1421">
        <v>1</v>
      </c>
      <c r="C2" s="1421"/>
      <c r="D2" s="1041"/>
      <c r="E2" s="1781"/>
      <c r="F2" s="1788"/>
      <c r="G2" s="1788"/>
      <c r="H2" s="1788"/>
      <c r="I2" s="1839"/>
      <c r="J2" s="436"/>
      <c r="K2" s="1836">
        <f>MERGEVALUE(F2)</f>
      </c>
      <c r="L2" s="748"/>
      <c r="M2" s="748"/>
      <c r="N2" s="737" t="str">
        <f t="array" ref="N2:N2">IF(ISERROR(MATCH(MID(O2,1,250),MID(note_ter,1,250),0)),"n","y")</f>
        <v>n</v>
      </c>
      <c r="O2" s="748"/>
      <c r="P2" s="737" t="str">
        <f>G2&amp;"("&amp;J2&amp;")"</f>
        <v>()</v>
      </c>
      <c r="Q2" s="1421"/>
      <c r="R2" s="1421"/>
      <c r="S2" s="656"/>
      <c r="T2" s="1421"/>
      <c r="U2" s="1421"/>
      <c r="V2" s="1421"/>
      <c r="W2" s="658"/>
      <c r="X2" s="658"/>
      <c r="Y2" s="655"/>
      <c r="Z2" s="655"/>
      <c r="AA2" s="655"/>
      <c r="AB2" s="655"/>
      <c r="AC2" s="655"/>
      <c r="AD2" s="655"/>
      <c r="AE2" s="655"/>
      <c r="AF2" s="655"/>
      <c r="AG2" s="655"/>
      <c r="AH2" s="655"/>
      <c r="AI2" s="655"/>
      <c r="AJ2" s="655"/>
      <c r="AK2" s="655"/>
      <c r="AL2" s="655"/>
      <c r="AM2" s="655"/>
      <c r="AN2" s="655"/>
      <c r="AO2" s="655"/>
      <c r="AP2" s="655"/>
      <c r="AQ2" s="655"/>
      <c r="AR2" s="655"/>
      <c r="AS2" s="655"/>
      <c r="AT2" s="655"/>
      <c r="AU2" s="655"/>
      <c r="AV2" s="655"/>
      <c r="AW2" s="655"/>
      <c r="AX2" s="655"/>
      <c r="AY2" s="655"/>
      <c r="AZ2" s="655"/>
      <c r="BA2" s="655"/>
      <c r="BB2" s="655"/>
      <c r="BC2" s="655"/>
      <c r="BD2" s="655"/>
      <c r="BE2" s="655"/>
      <c r="BF2" s="655"/>
      <c r="BG2" s="655"/>
      <c r="BH2" s="655"/>
      <c r="BI2" s="655"/>
      <c r="BJ2" s="655"/>
      <c r="BK2" s="655"/>
      <c r="BL2" s="655"/>
      <c r="BM2" s="655"/>
      <c r="BN2" s="655"/>
      <c r="BO2" s="655"/>
      <c r="BP2" s="655"/>
      <c r="BQ2" s="655"/>
      <c r="BR2" s="655"/>
      <c r="BS2" s="655"/>
      <c r="BT2" s="658"/>
      <c r="BU2" s="658"/>
      <c r="BV2" s="658"/>
      <c r="BW2" s="658"/>
      <c r="BX2" s="658"/>
      <c r="BY2" s="658"/>
      <c r="BZ2" s="658"/>
      <c r="CA2" s="658"/>
      <c r="CB2" s="658"/>
      <c r="CC2" s="658"/>
    </row>
    <row s="10863" customFormat="1" customHeight="1" ht="5.25" hidden="1">
      <c r="A3" s="733"/>
      <c r="D3" s="731"/>
      <c r="F3" s="455" t="s">
        <v>83</v>
      </c>
      <c r="G3" s="731" t="s">
        <v>84</v>
      </c>
      <c r="H3" s="731"/>
      <c r="I3" s="731"/>
      <c r="J3" s="435" t="s">
        <v>85</v>
      </c>
      <c r="K3" s="455" t="s">
        <v>83</v>
      </c>
      <c r="L3" s="455"/>
      <c r="M3" s="455"/>
      <c r="N3" s="455"/>
      <c r="O3" s="456"/>
      <c r="P3" s="455"/>
      <c r="Q3" s="455"/>
      <c r="R3" s="455"/>
      <c r="S3" s="455"/>
      <c r="T3" s="455"/>
      <c r="U3" s="435"/>
      <c r="V3" s="435"/>
      <c r="W3" s="435"/>
      <c r="X3" s="435"/>
      <c r="Y3" s="435"/>
      <c r="Z3" s="435"/>
      <c r="AA3" s="435"/>
      <c r="AB3" s="435"/>
      <c r="AC3" s="435"/>
      <c r="AD3" s="435"/>
      <c r="AE3" s="435"/>
      <c r="AF3" s="435"/>
      <c r="AG3" s="435"/>
      <c r="AH3" s="435"/>
      <c r="AI3" s="435"/>
      <c r="AJ3" s="435"/>
      <c r="AK3" s="435"/>
      <c r="AL3" s="435"/>
      <c r="AM3" s="435"/>
      <c r="AN3" s="435"/>
      <c r="AO3" s="435"/>
      <c r="AP3" s="435"/>
      <c r="AQ3" s="435"/>
      <c r="AR3" s="435"/>
      <c r="AS3" s="435"/>
      <c r="AT3" s="435"/>
      <c r="AU3" s="435"/>
      <c r="AV3" s="435"/>
      <c r="AW3" s="435"/>
      <c r="AX3" s="435"/>
      <c r="AY3" s="435"/>
      <c r="AZ3" s="435"/>
      <c r="BA3" s="435"/>
      <c r="BB3" s="435"/>
      <c r="BC3" s="435"/>
      <c r="BD3" s="435"/>
      <c r="BE3" s="435"/>
      <c r="BF3" s="435"/>
      <c r="BG3" s="435"/>
      <c r="BH3" s="435"/>
      <c r="BI3" s="435"/>
      <c r="BJ3" s="435"/>
      <c r="BK3" s="435"/>
      <c r="BL3" s="435"/>
      <c r="BM3" s="435"/>
      <c r="BN3" s="435"/>
      <c r="BO3" s="435"/>
      <c r="BP3" s="435"/>
      <c r="BQ3" s="435"/>
      <c r="BR3" s="435"/>
      <c r="BS3" s="435"/>
      <c r="BT3" s="435"/>
      <c r="BU3" s="435"/>
      <c r="BV3" s="435"/>
      <c r="BW3" s="435"/>
      <c r="BX3" s="435"/>
      <c r="BY3" s="435"/>
      <c r="BZ3" s="435"/>
      <c r="CA3" s="435"/>
      <c r="CB3" s="435"/>
      <c r="CC3" s="435"/>
      <c r="CD3" s="435"/>
      <c r="CE3" s="435"/>
      <c r="CF3" s="435"/>
      <c r="CG3" s="435"/>
      <c r="CH3" s="435"/>
      <c r="CI3" s="435"/>
      <c r="CJ3" s="435"/>
      <c r="CK3" s="435"/>
      <c r="CL3" s="435"/>
      <c r="CM3" s="435"/>
      <c r="CN3" s="435"/>
      <c r="CO3" s="435"/>
      <c r="CP3" s="435"/>
      <c r="CQ3" s="435"/>
      <c r="CR3" s="435"/>
      <c r="CS3" s="435"/>
      <c r="CT3" s="435"/>
      <c r="CU3" s="435"/>
      <c r="CV3" s="435"/>
      <c r="CW3" s="435"/>
      <c r="CX3" s="435"/>
      <c r="CY3" s="435"/>
      <c r="CZ3" s="435"/>
      <c r="DA3" s="435"/>
      <c r="DB3" s="435"/>
      <c r="DC3" s="435"/>
      <c r="DD3" s="435"/>
      <c r="DE3" s="435"/>
      <c r="DF3" s="435"/>
      <c r="DG3" s="435"/>
      <c r="DH3" s="435"/>
      <c r="DI3" s="435"/>
      <c r="DJ3" s="435"/>
      <c r="DK3" s="435"/>
      <c r="DL3" s="435"/>
      <c r="DM3" s="435"/>
      <c r="DN3" s="435"/>
      <c r="DO3" s="435"/>
      <c r="DP3" s="435"/>
      <c r="DQ3" s="435"/>
      <c r="DR3" s="435"/>
      <c r="DS3" s="435"/>
      <c r="DT3" s="435"/>
      <c r="DU3" s="435"/>
      <c r="DV3" s="435"/>
      <c r="DW3" s="435"/>
      <c r="DX3" s="435"/>
      <c r="DY3" s="435"/>
      <c r="DZ3" s="435"/>
      <c r="EA3" s="435"/>
      <c r="EB3" s="435"/>
      <c r="EC3" s="435"/>
      <c r="ED3" s="435"/>
      <c r="EE3" s="435"/>
      <c r="EF3" s="435"/>
      <c r="EG3" s="435"/>
      <c r="EH3" s="435"/>
      <c r="EI3" s="435"/>
      <c r="EJ3" s="435"/>
      <c r="EK3" s="435"/>
      <c r="EL3" s="435"/>
      <c r="EM3" s="435"/>
      <c r="EN3" s="435"/>
      <c r="EO3" s="435"/>
      <c r="EP3" s="435"/>
      <c r="EQ3" s="435"/>
      <c r="ER3" s="435"/>
      <c r="ES3" s="435"/>
      <c r="ET3" s="435"/>
      <c r="EU3" s="435"/>
      <c r="EV3" s="435"/>
      <c r="EW3" s="435"/>
      <c r="EX3" s="435"/>
      <c r="EY3" s="435"/>
      <c r="EZ3" s="435"/>
      <c r="FA3" s="435"/>
      <c r="FB3" s="435"/>
      <c r="FC3" s="435"/>
      <c r="FD3" s="435"/>
      <c r="FE3" s="435"/>
      <c r="FF3" s="435"/>
      <c r="FG3" s="435"/>
      <c r="FH3" s="435"/>
      <c r="FI3" s="435"/>
      <c r="FJ3" s="435"/>
      <c r="FK3" s="435"/>
      <c r="FL3" s="435"/>
      <c r="FM3" s="435"/>
      <c r="FN3" s="435"/>
      <c r="FO3" s="435"/>
      <c r="FP3" s="435"/>
      <c r="FQ3" s="435"/>
      <c r="FR3" s="435"/>
      <c r="FS3" s="435"/>
      <c r="FT3" s="435"/>
      <c r="FU3" s="435"/>
      <c r="FV3" s="435"/>
      <c r="FW3" s="435"/>
      <c r="FX3" s="435"/>
      <c r="FY3" s="435"/>
      <c r="FZ3" s="435"/>
      <c r="GA3" s="435"/>
      <c r="GB3" s="435"/>
      <c r="GC3" s="435"/>
      <c r="GD3" s="435"/>
      <c r="GE3" s="435"/>
      <c r="GF3" s="435"/>
      <c r="GG3" s="435"/>
      <c r="GH3" s="435"/>
      <c r="GI3" s="435"/>
      <c r="GJ3" s="435"/>
      <c r="GK3" s="435"/>
      <c r="GL3" s="435"/>
      <c r="GM3" s="435"/>
      <c r="GN3" s="435"/>
      <c r="GO3" s="435"/>
      <c r="GP3" s="435"/>
      <c r="GQ3" s="435"/>
      <c r="GR3" s="435"/>
      <c r="GS3" s="435"/>
      <c r="GT3" s="435"/>
      <c r="GU3" s="435"/>
      <c r="GV3" s="435"/>
      <c r="GW3" s="435"/>
      <c r="GX3" s="435"/>
      <c r="GY3" s="435"/>
      <c r="GZ3" s="435"/>
      <c r="HA3" s="435"/>
      <c r="HB3" s="435"/>
      <c r="HC3" s="435"/>
      <c r="HD3" s="435"/>
      <c r="HE3" s="435"/>
      <c r="HF3" s="435"/>
      <c r="HG3" s="435"/>
      <c r="HH3" s="435"/>
      <c r="HI3" s="435"/>
      <c r="HJ3" s="435"/>
      <c r="HK3" s="435"/>
      <c r="HL3" s="435"/>
      <c r="HM3" s="435"/>
      <c r="HN3" s="435"/>
      <c r="HO3" s="435"/>
      <c r="HP3" s="435"/>
      <c r="HQ3" s="435"/>
      <c r="HR3" s="435"/>
      <c r="HS3" s="435"/>
      <c r="HT3" s="435"/>
      <c r="HU3" s="435"/>
      <c r="HV3" s="435"/>
      <c r="HW3" s="435"/>
      <c r="HX3" s="435"/>
      <c r="HY3" s="435"/>
      <c r="HZ3" s="435"/>
      <c r="IA3" s="435"/>
      <c r="IB3" s="435"/>
      <c r="IC3" s="435"/>
      <c r="ID3" s="435"/>
      <c r="IE3" s="435"/>
      <c r="IF3" s="435"/>
      <c r="IG3" s="435"/>
      <c r="IH3" s="435"/>
      <c r="II3" s="435"/>
      <c r="IJ3" s="435"/>
      <c r="IK3" s="435"/>
      <c r="IL3" s="435"/>
      <c r="IM3" s="435"/>
      <c r="IN3" s="435"/>
      <c r="IO3" s="435"/>
      <c r="IP3" s="435"/>
      <c r="IQ3" s="435"/>
      <c r="IR3" s="435"/>
      <c r="IS3" s="435"/>
      <c r="IT3" s="435"/>
    </row>
    <row s="9038" customFormat="1" customHeight="1" ht="14.25">
      <c r="A4" s="1416"/>
      <c r="B4" s="1421"/>
      <c r="C4" s="1416"/>
      <c r="D4" s="1792"/>
      <c r="E4" s="746"/>
      <c r="F4" s="746"/>
      <c r="G4" s="746"/>
      <c r="H4" s="746"/>
      <c r="I4" s="746"/>
      <c r="J4" s="374"/>
      <c r="K4" s="455"/>
      <c r="L4" s="737"/>
      <c r="M4" s="737"/>
      <c r="N4" s="737"/>
      <c r="O4" s="434"/>
      <c r="P4" s="737"/>
      <c r="Q4" s="433"/>
      <c r="R4" s="433"/>
      <c r="S4" s="433"/>
      <c r="T4" s="433"/>
    </row>
    <row s="9038" customFormat="1" customHeight="1" ht="25.5">
      <c r="A5" s="1416"/>
      <c r="B5" s="1421"/>
      <c r="C5" s="1416"/>
      <c r="D5" s="1792"/>
      <c r="E5" s="2135" t="str">
        <f>"Форма 2. Перечень "&amp;IF(TEMPLATE_SPHERE="HEAT","регулируемых организаций (единых теплоснабжающих организаций в ценовых зонах теплоснабжения, теплоснабжающих организаций в ценовых зонах теплоснабжения и теплосетевых организаций в ценовых зонах теплоснабжения)","организаций, в отношении которых орган регулирования тарифов осуществляет регулирование тарифов в сфере водоснабжения и водоотведения")</f>
        <v>Форма 2. Перечень регулируемых организаций (единых теплоснабжающих организаций в ценовых зонах теплоснабжения, теплоснабжающих организаций в ценовых зонах теплоснабжения и теплосетевых организаций в ценовых зонах теплоснабжения)</v>
      </c>
      <c r="F5" s="2135"/>
      <c r="G5" s="2135"/>
      <c r="H5" s="2135"/>
      <c r="I5" s="2135"/>
      <c r="J5" s="2135"/>
      <c r="K5" s="455"/>
      <c r="L5" s="737"/>
      <c r="M5" s="737"/>
      <c r="N5" s="737"/>
      <c r="O5" s="434"/>
      <c r="P5" s="737"/>
      <c r="Q5" s="433"/>
      <c r="R5" s="433"/>
      <c r="S5" s="433"/>
      <c r="T5" s="433"/>
    </row>
    <row s="9038" customFormat="1" customHeight="1" ht="14.25">
      <c r="A6" s="1416"/>
      <c r="B6" s="1421"/>
      <c r="C6" s="1416"/>
      <c r="D6" s="1792"/>
      <c r="E6" s="746"/>
      <c r="F6" s="375"/>
      <c r="G6" s="375"/>
      <c r="H6" s="375"/>
      <c r="I6" s="375"/>
      <c r="J6" s="376"/>
      <c r="K6" s="737"/>
      <c r="L6" s="737"/>
      <c r="M6" s="737"/>
      <c r="N6" s="737"/>
      <c r="O6" s="434"/>
      <c r="P6" s="737"/>
      <c r="Q6" s="433"/>
      <c r="R6" s="433"/>
      <c r="S6" s="433"/>
      <c r="T6" s="433"/>
    </row>
    <row s="9038" customFormat="1" customHeight="1" ht="14.25">
      <c r="A7" s="1416"/>
      <c r="B7" s="1421"/>
      <c r="C7" s="1416"/>
      <c r="D7" s="1792"/>
      <c r="E7" s="2136" t="s">
        <v>362</v>
      </c>
      <c r="F7" s="2137"/>
      <c r="G7" s="2137"/>
      <c r="H7" s="2137"/>
      <c r="I7" s="2137"/>
      <c r="J7" s="2699" t="s">
        <v>363</v>
      </c>
      <c r="K7" s="737"/>
      <c r="L7" s="737"/>
      <c r="M7" s="737"/>
      <c r="N7" s="737"/>
      <c r="O7" s="434"/>
      <c r="P7" s="737"/>
      <c r="Q7" s="433"/>
      <c r="R7" s="433"/>
      <c r="S7" s="433"/>
      <c r="T7" s="433"/>
    </row>
    <row s="9038" customFormat="1" customHeight="1" ht="20.25">
      <c r="A8" s="1416"/>
      <c r="B8" s="1421"/>
      <c r="C8" s="1416"/>
      <c r="D8" s="1792"/>
      <c r="E8" s="1856" t="s">
        <v>88</v>
      </c>
      <c r="F8" s="1841" t="s">
        <v>2188</v>
      </c>
      <c r="G8" s="1841" t="s">
        <v>48</v>
      </c>
      <c r="H8" s="1841" t="s">
        <v>50</v>
      </c>
      <c r="I8" s="1841" t="s">
        <v>2189</v>
      </c>
      <c r="J8" s="2700"/>
      <c r="K8" s="737"/>
      <c r="L8" s="737"/>
      <c r="M8" s="737"/>
      <c r="N8" s="737"/>
      <c r="O8" s="434"/>
      <c r="P8" s="737"/>
      <c r="Q8" s="433"/>
      <c r="R8" s="433"/>
      <c r="S8" s="433"/>
      <c r="T8" s="433"/>
    </row>
    <row s="11403" customFormat="1" customHeight="1" ht="22.5">
      <c r="A9" s="2134"/>
      <c r="B9" s="1421">
        <v>1</v>
      </c>
      <c r="C9" s="1421"/>
      <c r="D9" s="1041"/>
      <c r="E9" s="1781">
        <v>1</v>
      </c>
      <c r="F9" s="1855"/>
      <c r="G9" s="1788"/>
      <c r="H9" s="1788"/>
      <c r="I9" s="1839"/>
      <c r="J9" s="2701" t="s">
        <v>2190</v>
      </c>
      <c r="K9" s="1836">
        <f>MERGEVALUE(F9)</f>
      </c>
      <c r="L9" s="748"/>
      <c r="M9" s="748"/>
      <c r="N9" s="737" t="str">
        <f t="array" ref="N9:N9">IF(ISERROR(MATCH(MID(O9,1,250),MID(note_ter,1,250),0)),"n","y")</f>
        <v>n</v>
      </c>
      <c r="O9" s="748"/>
      <c r="P9" s="737" t="str">
        <f>G9&amp;"("&amp;J9&amp;")"</f>
        <v>(Значение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v>
      </c>
      <c r="Q9" s="1421"/>
      <c r="R9" s="1421"/>
      <c r="S9" s="656"/>
      <c r="T9" s="1421"/>
      <c r="U9" s="1421"/>
      <c r="V9" s="1421"/>
      <c r="W9" s="658"/>
      <c r="X9" s="658"/>
      <c r="Y9" s="655"/>
      <c r="Z9" s="655"/>
      <c r="AA9" s="655"/>
      <c r="AB9" s="655"/>
      <c r="AC9" s="655"/>
      <c r="AD9" s="655"/>
      <c r="AE9" s="655"/>
      <c r="AF9" s="655"/>
      <c r="AG9" s="655"/>
      <c r="AH9" s="655"/>
      <c r="AI9" s="655"/>
      <c r="AJ9" s="655"/>
      <c r="AK9" s="655"/>
      <c r="AL9" s="655"/>
      <c r="AM9" s="655"/>
      <c r="AN9" s="655"/>
      <c r="AO9" s="655"/>
      <c r="AP9" s="655"/>
      <c r="AQ9" s="655"/>
      <c r="AR9" s="655"/>
      <c r="AS9" s="655"/>
      <c r="AT9" s="655"/>
      <c r="AU9" s="655"/>
      <c r="AV9" s="655"/>
      <c r="AW9" s="655"/>
      <c r="AX9" s="655"/>
      <c r="AY9" s="655"/>
      <c r="AZ9" s="655"/>
      <c r="BA9" s="655"/>
      <c r="BB9" s="655"/>
      <c r="BC9" s="655"/>
      <c r="BD9" s="655"/>
      <c r="BE9" s="655"/>
      <c r="BF9" s="655"/>
      <c r="BG9" s="655"/>
      <c r="BH9" s="655"/>
      <c r="BI9" s="655"/>
      <c r="BJ9" s="655"/>
      <c r="BK9" s="655"/>
      <c r="BL9" s="655"/>
      <c r="BM9" s="655"/>
      <c r="BN9" s="655"/>
      <c r="BO9" s="655"/>
      <c r="BP9" s="655"/>
      <c r="BQ9" s="655"/>
      <c r="BR9" s="655"/>
      <c r="BS9" s="655"/>
      <c r="BT9" s="658"/>
      <c r="BU9" s="658"/>
      <c r="BV9" s="658"/>
      <c r="BW9" s="658"/>
      <c r="BX9" s="658"/>
      <c r="BY9" s="658"/>
      <c r="BZ9" s="658"/>
      <c r="CA9" s="658"/>
      <c r="CB9" s="658"/>
      <c r="CC9" s="658"/>
    </row>
    <row s="11403" customFormat="1" customHeight="1" ht="15">
      <c r="A10" s="2134"/>
      <c r="B10" s="1421"/>
      <c r="C10" s="648"/>
      <c r="D10" s="1041"/>
      <c r="E10" s="1842"/>
      <c r="F10" s="1797" t="s">
        <v>2191</v>
      </c>
      <c r="G10" s="1843"/>
      <c r="H10" s="1843"/>
      <c r="I10" s="1843"/>
      <c r="J10" s="2702"/>
      <c r="K10" s="1837"/>
      <c r="L10" s="748"/>
      <c r="M10" s="748"/>
      <c r="N10" s="748"/>
      <c r="O10" s="737"/>
      <c r="P10" s="748"/>
      <c r="Q10" s="1421"/>
      <c r="R10" s="1421"/>
      <c r="S10" s="656"/>
      <c r="T10" s="1421"/>
      <c r="U10" s="1421"/>
      <c r="V10" s="1421"/>
      <c r="W10" s="658"/>
      <c r="X10" s="658"/>
      <c r="Y10" s="655"/>
      <c r="Z10" s="655"/>
      <c r="AA10" s="655"/>
      <c r="AB10" s="655"/>
      <c r="AC10" s="655"/>
      <c r="AD10" s="655"/>
      <c r="AE10" s="655"/>
      <c r="AF10" s="655"/>
      <c r="AG10" s="655"/>
      <c r="AH10" s="655"/>
      <c r="AI10" s="655"/>
      <c r="AJ10" s="655"/>
      <c r="AK10" s="655"/>
      <c r="AL10" s="655"/>
      <c r="AM10" s="655"/>
      <c r="AN10" s="655"/>
      <c r="AO10" s="655"/>
      <c r="AP10" s="655"/>
      <c r="AQ10" s="655"/>
      <c r="AR10" s="655"/>
      <c r="AS10" s="655"/>
      <c r="AT10" s="655"/>
      <c r="AU10" s="655"/>
      <c r="AV10" s="655"/>
      <c r="AW10" s="655"/>
      <c r="AX10" s="655"/>
      <c r="AY10" s="655"/>
      <c r="AZ10" s="655"/>
      <c r="BA10" s="655"/>
      <c r="BB10" s="655"/>
      <c r="BC10" s="655"/>
      <c r="BD10" s="655"/>
      <c r="BE10" s="655"/>
      <c r="BF10" s="655"/>
      <c r="BG10" s="655"/>
      <c r="BH10" s="655"/>
      <c r="BI10" s="655"/>
      <c r="BJ10" s="655"/>
      <c r="BK10" s="655"/>
      <c r="BL10" s="655"/>
      <c r="BM10" s="655"/>
      <c r="BN10" s="655"/>
      <c r="BO10" s="655"/>
      <c r="BP10" s="655"/>
      <c r="BQ10" s="655"/>
      <c r="BR10" s="655"/>
      <c r="BS10" s="655"/>
      <c r="BT10" s="658"/>
      <c r="BU10" s="658"/>
      <c r="BV10" s="658"/>
      <c r="BW10" s="658"/>
      <c r="BX10" s="658"/>
      <c r="BY10" s="658"/>
      <c r="BZ10" s="658"/>
      <c r="CA10" s="658"/>
      <c r="CB10" s="658"/>
      <c r="CC10" s="658"/>
    </row>
    <row s="9038" customFormat="1" customHeight="1" ht="21">
      <c r="A11" s="1416"/>
      <c r="B11" s="1421"/>
      <c r="C11" s="1416"/>
      <c r="D11" s="688"/>
      <c r="E11" s="388"/>
      <c r="F11" s="388"/>
      <c r="G11" s="388"/>
      <c r="H11" s="388"/>
      <c r="I11" s="388"/>
      <c r="J11" s="388"/>
      <c r="K11" s="737"/>
      <c r="L11" s="737"/>
      <c r="M11" s="737"/>
      <c r="N11" s="737"/>
      <c r="O11" s="434"/>
      <c r="P11" s="737"/>
      <c r="Q11" s="433"/>
      <c r="R11" s="433"/>
      <c r="S11" s="433"/>
      <c r="T11" s="433"/>
    </row>
    <row s="9038" customFormat="1" customHeight="1" ht="14.25">
      <c r="A12" s="1416"/>
      <c r="B12" s="1421"/>
      <c r="C12" s="1416"/>
      <c r="D12" s="688"/>
      <c r="E12" s="1416"/>
      <c r="F12" s="1416"/>
      <c r="G12" s="1416"/>
      <c r="H12" s="1416"/>
      <c r="I12" s="1416"/>
      <c r="J12" s="1416"/>
      <c r="K12" s="737"/>
      <c r="L12" s="737"/>
      <c r="M12" s="737"/>
      <c r="N12" s="737"/>
      <c r="O12" s="434"/>
      <c r="P12" s="737"/>
      <c r="Q12" s="433"/>
      <c r="R12" s="433"/>
      <c r="S12" s="433"/>
      <c r="T12" s="433"/>
    </row>
    <row s="9038" customFormat="1" customHeight="1" ht="0.75">
      <c r="A13" s="1416"/>
      <c r="B13" s="1421"/>
      <c r="C13" s="1416"/>
      <c r="D13" s="688"/>
      <c r="E13" s="1416"/>
      <c r="F13" s="1416"/>
      <c r="G13" s="1416"/>
      <c r="H13" s="1416"/>
      <c r="I13" s="1416"/>
      <c r="J13" s="1416"/>
      <c r="K13" s="737"/>
      <c r="L13" s="737"/>
      <c r="M13" s="737"/>
      <c r="N13" s="737"/>
      <c r="O13" s="434"/>
      <c r="P13" s="737"/>
      <c r="Q13" s="433"/>
      <c r="R13" s="433"/>
      <c r="S13" s="433"/>
      <c r="T13" s="433"/>
    </row>
    <row s="11226" customFormat="1" customHeight="1" ht="10.5">
      <c r="B14" s="1079"/>
      <c r="D14" s="390"/>
      <c r="K14" s="737"/>
      <c r="L14" s="737"/>
      <c r="M14" s="737"/>
      <c r="N14" s="737"/>
      <c r="O14" s="434"/>
      <c r="P14" s="737"/>
      <c r="Q14" s="433"/>
      <c r="R14" s="433"/>
      <c r="S14" s="433"/>
      <c r="T14" s="433"/>
    </row>
    <row s="11226" customFormat="1" customHeight="1" ht="10.5">
      <c r="B15" s="1079"/>
      <c r="D15" s="390"/>
      <c r="K15" s="737"/>
      <c r="L15" s="737"/>
      <c r="M15" s="737"/>
      <c r="N15" s="737"/>
      <c r="O15" s="434"/>
      <c r="P15" s="737"/>
      <c r="Q15" s="433"/>
      <c r="R15" s="433"/>
      <c r="S15" s="433"/>
      <c r="T15" s="433"/>
    </row>
    <row r="19" customHeight="1" ht="14.25">
      <c r="G19" s="598"/>
      <c r="H19" s="598"/>
      <c r="I19" s="598"/>
    </row>
    <row r="23" customHeight="1" ht="14.25">
      <c r="K23" s="1416"/>
      <c r="L23" s="1416"/>
      <c r="M23" s="1416"/>
    </row>
  </sheetData>
  <sheetProtection formatColumns="0" formatRows="0" autoFilter="0" sort="0" insertRows="0" insertColumns="1" deleteRows="0" deleteColumns="0"/>
  <mergeCells count="5">
    <mergeCell ref="E5:J5"/>
    <mergeCell ref="A9:A10"/>
    <mergeCell ref="E7:I7"/>
    <mergeCell ref="J7:J8"/>
    <mergeCell ref="J9:J10"/>
  </mergeCells>
  <dataValidations count="1">
    <dataValidation type="textLength" allowBlank="1" showInputMessage="1" showErrorMessage="1" sqref="I2:I3 I9">
      <formula1>13</formula1>
      <formula2>15</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E5E2451-5583-B3BF-2AD8-A98E905798A4}" mc:Ignorable="x14ac xr xr2 xr3">
  <dimension ref="A1:IV14"/>
  <sheetViews>
    <sheetView topLeftCell="D4" showGridLines="0" zoomScale="90" workbookViewId="0">
      <selection activeCell="A1" sqref="A1"/>
    </sheetView>
  </sheetViews>
  <sheetFormatPr defaultColWidth="9.140625" customHeight="1" defaultRowHeight="14.25"/>
  <cols>
    <col min="1" max="1" style="11126" width="9.140625" hidden="1"/>
    <col min="2" max="2" style="11074" width="9.140625" hidden="1"/>
    <col min="3" max="3" style="11126" width="3.7109375" hidden="1" customWidth="1"/>
    <col min="4" max="4" style="11307" width="3.8515625" customWidth="1"/>
    <col min="5" max="5" style="11126" width="6.28125" customWidth="1"/>
    <col min="6" max="6" style="11126" width="27.28125" customWidth="1"/>
    <col min="7" max="7" style="11126" width="16.7109375" customWidth="1"/>
    <col min="8" max="8" style="11126" width="12.7109375" customWidth="1"/>
    <col min="9" max="9" style="11126" width="32.140625" customWidth="1"/>
    <col min="10" max="11" style="11126" width="41.8515625" customWidth="1"/>
    <col min="12" max="12" style="11126" width="89.57421875" customWidth="1"/>
    <col min="13" max="13" style="11318" width="3.7109375" customWidth="1"/>
    <col min="14" max="16" style="11318" width="9.140625"/>
    <col min="17" max="17" style="11318" width="25.7109375" customWidth="1"/>
    <col min="18" max="18" style="11318" width="14.421875" customWidth="1"/>
    <col min="19" max="22" style="8548" width="9.140625"/>
    <col min="23" max="256" style="11126" width="9.140625"/>
  </cols>
  <sheetData>
    <row customHeight="1" ht="14.25" hidden="1"/>
    <row s="11403" customFormat="1" customHeight="1" ht="22.5" hidden="1">
      <c r="A2" s="1076"/>
      <c r="B2" s="1421">
        <v>1</v>
      </c>
      <c r="C2" s="1421"/>
      <c r="D2" s="1041"/>
      <c r="E2" s="1781"/>
      <c r="F2" s="1840" t="str">
        <f>IF(ROIV_INFO_NAME="","",ROIV_INFO_NAME)</f>
        <v/>
      </c>
      <c r="G2" s="2047" t="s">
        <v>17</v>
      </c>
      <c r="H2" s="1839"/>
      <c r="I2" s="1839"/>
      <c r="J2" s="1425"/>
      <c r="K2" s="1425"/>
      <c r="L2" s="436"/>
      <c r="M2" s="1836">
        <f>MERGEVALUE(F2)</f>
      </c>
      <c r="N2" s="748"/>
      <c r="O2" s="748"/>
      <c r="P2" s="737" t="str">
        <f t="array" ref="P2:P2">IF(ISERROR(MATCH(MID(Q2,1,250),MID(note_ter,1,250),0)),"n","y")</f>
        <v>n</v>
      </c>
      <c r="Q2" s="748"/>
      <c r="R2" s="737" t="str">
        <f>G2&amp;"("&amp;L2&amp;")"</f>
        <v>()</v>
      </c>
      <c r="S2" s="1421"/>
      <c r="T2" s="1421"/>
      <c r="U2" s="656"/>
      <c r="V2" s="1421"/>
      <c r="W2" s="1421"/>
      <c r="X2" s="1421"/>
      <c r="Y2" s="658"/>
      <c r="Z2" s="658"/>
      <c r="AA2" s="655"/>
      <c r="AB2" s="655"/>
      <c r="AC2" s="655"/>
      <c r="AD2" s="655"/>
      <c r="AE2" s="655"/>
      <c r="AF2" s="655"/>
      <c r="AG2" s="655"/>
      <c r="AH2" s="655"/>
      <c r="AI2" s="655"/>
      <c r="AJ2" s="655"/>
      <c r="AK2" s="655"/>
      <c r="AL2" s="655"/>
      <c r="AM2" s="655"/>
      <c r="AN2" s="655"/>
      <c r="AO2" s="655"/>
      <c r="AP2" s="655"/>
      <c r="AQ2" s="655"/>
      <c r="AR2" s="655"/>
      <c r="AS2" s="655"/>
      <c r="AT2" s="655"/>
      <c r="AU2" s="655"/>
      <c r="AV2" s="655"/>
      <c r="AW2" s="655"/>
      <c r="AX2" s="655"/>
      <c r="AY2" s="655"/>
      <c r="AZ2" s="655"/>
      <c r="BA2" s="655"/>
      <c r="BB2" s="655"/>
      <c r="BC2" s="655"/>
      <c r="BD2" s="655"/>
      <c r="BE2" s="655"/>
      <c r="BF2" s="655"/>
      <c r="BG2" s="655"/>
      <c r="BH2" s="655"/>
      <c r="BI2" s="655"/>
      <c r="BJ2" s="655"/>
      <c r="BK2" s="655"/>
      <c r="BL2" s="655"/>
      <c r="BM2" s="655"/>
      <c r="BN2" s="655"/>
      <c r="BO2" s="655"/>
      <c r="BP2" s="655"/>
      <c r="BQ2" s="655"/>
      <c r="BR2" s="655"/>
      <c r="BS2" s="655"/>
      <c r="BT2" s="655"/>
      <c r="BU2" s="655"/>
      <c r="BV2" s="658"/>
      <c r="BW2" s="658"/>
      <c r="BX2" s="658"/>
      <c r="BY2" s="658"/>
      <c r="BZ2" s="658"/>
      <c r="CA2" s="658"/>
      <c r="CB2" s="658"/>
      <c r="CC2" s="658"/>
      <c r="CD2" s="658"/>
      <c r="CE2" s="658"/>
    </row>
    <row s="10863" customFormat="1" customHeight="1" ht="5.25" hidden="1">
      <c r="A3" s="733"/>
      <c r="D3" s="731"/>
      <c r="F3" s="455" t="s">
        <v>83</v>
      </c>
      <c r="G3" s="2050" t="s">
        <v>84</v>
      </c>
      <c r="H3" s="731"/>
      <c r="I3" s="731"/>
      <c r="J3" s="731"/>
      <c r="K3" s="731"/>
      <c r="L3" s="435" t="s">
        <v>85</v>
      </c>
      <c r="M3" s="455" t="s">
        <v>83</v>
      </c>
      <c r="N3" s="455"/>
      <c r="O3" s="455"/>
      <c r="P3" s="455"/>
      <c r="Q3" s="456"/>
      <c r="R3" s="455"/>
      <c r="S3" s="455"/>
      <c r="T3" s="455"/>
      <c r="U3" s="455"/>
      <c r="V3" s="455"/>
      <c r="W3" s="435"/>
      <c r="X3" s="435"/>
      <c r="Y3" s="435"/>
      <c r="Z3" s="435"/>
      <c r="AA3" s="435"/>
      <c r="AB3" s="435"/>
      <c r="AC3" s="435"/>
      <c r="AD3" s="435"/>
      <c r="AE3" s="435"/>
      <c r="AF3" s="435"/>
      <c r="AG3" s="435"/>
      <c r="AH3" s="435"/>
      <c r="AI3" s="435"/>
      <c r="AJ3" s="435"/>
      <c r="AK3" s="435"/>
      <c r="AL3" s="435"/>
      <c r="AM3" s="435"/>
      <c r="AN3" s="435"/>
      <c r="AO3" s="435"/>
      <c r="AP3" s="435"/>
      <c r="AQ3" s="435"/>
      <c r="AR3" s="435"/>
      <c r="AS3" s="435"/>
      <c r="AT3" s="435"/>
      <c r="AU3" s="435"/>
      <c r="AV3" s="435"/>
      <c r="AW3" s="435"/>
      <c r="AX3" s="435"/>
      <c r="AY3" s="435"/>
      <c r="AZ3" s="435"/>
      <c r="BA3" s="435"/>
      <c r="BB3" s="435"/>
      <c r="BC3" s="435"/>
      <c r="BD3" s="435"/>
      <c r="BE3" s="435"/>
      <c r="BF3" s="435"/>
      <c r="BG3" s="435"/>
      <c r="BH3" s="435"/>
      <c r="BI3" s="435"/>
      <c r="BJ3" s="435"/>
      <c r="BK3" s="435"/>
      <c r="BL3" s="435"/>
      <c r="BM3" s="435"/>
      <c r="BN3" s="435"/>
      <c r="BO3" s="435"/>
      <c r="BP3" s="435"/>
      <c r="BQ3" s="435"/>
      <c r="BR3" s="435"/>
      <c r="BS3" s="435"/>
      <c r="BT3" s="435"/>
      <c r="BU3" s="435"/>
      <c r="BV3" s="435"/>
      <c r="BW3" s="435"/>
      <c r="BX3" s="435"/>
      <c r="BY3" s="435"/>
      <c r="BZ3" s="435"/>
      <c r="CA3" s="435"/>
      <c r="CB3" s="435"/>
      <c r="CC3" s="435"/>
      <c r="CD3" s="435"/>
      <c r="CE3" s="435"/>
      <c r="CF3" s="435"/>
      <c r="CG3" s="435"/>
      <c r="CH3" s="435"/>
      <c r="CI3" s="435"/>
      <c r="CJ3" s="435"/>
      <c r="CK3" s="435"/>
      <c r="CL3" s="435"/>
      <c r="CM3" s="435"/>
      <c r="CN3" s="435"/>
      <c r="CO3" s="435"/>
      <c r="CP3" s="435"/>
      <c r="CQ3" s="435"/>
      <c r="CR3" s="435"/>
      <c r="CS3" s="435"/>
      <c r="CT3" s="435"/>
      <c r="CU3" s="435"/>
      <c r="CV3" s="435"/>
      <c r="CW3" s="435"/>
      <c r="CX3" s="435"/>
      <c r="CY3" s="435"/>
      <c r="CZ3" s="435"/>
      <c r="DA3" s="435"/>
      <c r="DB3" s="435"/>
      <c r="DC3" s="435"/>
      <c r="DD3" s="435"/>
      <c r="DE3" s="435"/>
      <c r="DF3" s="435"/>
      <c r="DG3" s="435"/>
      <c r="DH3" s="435"/>
      <c r="DI3" s="435"/>
      <c r="DJ3" s="435"/>
      <c r="DK3" s="435"/>
      <c r="DL3" s="435"/>
      <c r="DM3" s="435"/>
      <c r="DN3" s="435"/>
      <c r="DO3" s="435"/>
      <c r="DP3" s="435"/>
      <c r="DQ3" s="435"/>
      <c r="DR3" s="435"/>
      <c r="DS3" s="435"/>
      <c r="DT3" s="435"/>
      <c r="DU3" s="435"/>
      <c r="DV3" s="435"/>
      <c r="DW3" s="435"/>
      <c r="DX3" s="435"/>
      <c r="DY3" s="435"/>
      <c r="DZ3" s="435"/>
      <c r="EA3" s="435"/>
      <c r="EB3" s="435"/>
      <c r="EC3" s="435"/>
      <c r="ED3" s="435"/>
      <c r="EE3" s="435"/>
      <c r="EF3" s="435"/>
      <c r="EG3" s="435"/>
      <c r="EH3" s="435"/>
      <c r="EI3" s="435"/>
      <c r="EJ3" s="435"/>
      <c r="EK3" s="435"/>
      <c r="EL3" s="435"/>
      <c r="EM3" s="435"/>
      <c r="EN3" s="435"/>
      <c r="EO3" s="435"/>
      <c r="EP3" s="435"/>
      <c r="EQ3" s="435"/>
      <c r="ER3" s="435"/>
      <c r="ES3" s="435"/>
      <c r="ET3" s="435"/>
      <c r="EU3" s="435"/>
      <c r="EV3" s="435"/>
      <c r="EW3" s="435"/>
      <c r="EX3" s="435"/>
      <c r="EY3" s="435"/>
      <c r="EZ3" s="435"/>
      <c r="FA3" s="435"/>
      <c r="FB3" s="435"/>
      <c r="FC3" s="435"/>
      <c r="FD3" s="435"/>
      <c r="FE3" s="435"/>
      <c r="FF3" s="435"/>
      <c r="FG3" s="435"/>
      <c r="FH3" s="435"/>
      <c r="FI3" s="435"/>
      <c r="FJ3" s="435"/>
      <c r="FK3" s="435"/>
      <c r="FL3" s="435"/>
      <c r="FM3" s="435"/>
      <c r="FN3" s="435"/>
      <c r="FO3" s="435"/>
      <c r="FP3" s="435"/>
      <c r="FQ3" s="435"/>
      <c r="FR3" s="435"/>
      <c r="FS3" s="435"/>
      <c r="FT3" s="435"/>
      <c r="FU3" s="435"/>
      <c r="FV3" s="435"/>
      <c r="FW3" s="435"/>
      <c r="FX3" s="435"/>
      <c r="FY3" s="435"/>
      <c r="FZ3" s="435"/>
      <c r="GA3" s="435"/>
      <c r="GB3" s="435"/>
      <c r="GC3" s="435"/>
      <c r="GD3" s="435"/>
      <c r="GE3" s="435"/>
      <c r="GF3" s="435"/>
      <c r="GG3" s="435"/>
      <c r="GH3" s="435"/>
      <c r="GI3" s="435"/>
      <c r="GJ3" s="435"/>
      <c r="GK3" s="435"/>
      <c r="GL3" s="435"/>
      <c r="GM3" s="435"/>
      <c r="GN3" s="435"/>
      <c r="GO3" s="435"/>
      <c r="GP3" s="435"/>
      <c r="GQ3" s="435"/>
      <c r="GR3" s="435"/>
      <c r="GS3" s="435"/>
      <c r="GT3" s="435"/>
      <c r="GU3" s="435"/>
      <c r="GV3" s="435"/>
      <c r="GW3" s="435"/>
      <c r="GX3" s="435"/>
      <c r="GY3" s="435"/>
      <c r="GZ3" s="435"/>
      <c r="HA3" s="435"/>
      <c r="HB3" s="435"/>
      <c r="HC3" s="435"/>
      <c r="HD3" s="435"/>
      <c r="HE3" s="435"/>
      <c r="HF3" s="435"/>
      <c r="HG3" s="435"/>
      <c r="HH3" s="435"/>
      <c r="HI3" s="435"/>
      <c r="HJ3" s="435"/>
      <c r="HK3" s="435"/>
      <c r="HL3" s="435"/>
      <c r="HM3" s="435"/>
      <c r="HN3" s="435"/>
      <c r="HO3" s="435"/>
      <c r="HP3" s="435"/>
      <c r="HQ3" s="435"/>
      <c r="HR3" s="435"/>
      <c r="HS3" s="435"/>
      <c r="HT3" s="435"/>
      <c r="HU3" s="435"/>
      <c r="HV3" s="435"/>
      <c r="HW3" s="435"/>
      <c r="HX3" s="435"/>
      <c r="HY3" s="435"/>
      <c r="HZ3" s="435"/>
      <c r="IA3" s="435"/>
      <c r="IB3" s="435"/>
      <c r="IC3" s="435"/>
      <c r="ID3" s="435"/>
      <c r="IE3" s="435"/>
      <c r="IF3" s="435"/>
      <c r="IG3" s="435"/>
      <c r="IH3" s="435"/>
      <c r="II3" s="435"/>
      <c r="IJ3" s="435"/>
      <c r="IK3" s="435"/>
      <c r="IL3" s="435"/>
      <c r="IM3" s="435"/>
      <c r="IN3" s="435"/>
      <c r="IO3" s="435"/>
      <c r="IP3" s="435"/>
      <c r="IQ3" s="435"/>
      <c r="IR3" s="435"/>
      <c r="IS3" s="435"/>
      <c r="IT3" s="435"/>
      <c r="IU3" s="435"/>
      <c r="IV3" s="435"/>
    </row>
    <row s="9038" customFormat="1" customHeight="1" ht="14.25">
      <c r="A4" s="1416"/>
      <c r="B4" s="1421"/>
      <c r="C4" s="1416"/>
      <c r="D4" s="1792"/>
      <c r="E4" s="746"/>
      <c r="F4" s="746"/>
      <c r="G4" s="746"/>
      <c r="H4" s="746"/>
      <c r="I4" s="746"/>
      <c r="J4" s="746"/>
      <c r="K4" s="746"/>
      <c r="L4" s="374"/>
      <c r="M4" s="455"/>
      <c r="N4" s="737"/>
      <c r="O4" s="737"/>
      <c r="P4" s="737"/>
      <c r="Q4" s="434"/>
      <c r="R4" s="737"/>
      <c r="S4" s="433"/>
      <c r="T4" s="433"/>
      <c r="U4" s="433"/>
      <c r="V4" s="433"/>
    </row>
    <row s="9038" customFormat="1" customHeight="1" ht="25.5">
      <c r="A5" s="1416"/>
      <c r="B5" s="1421"/>
      <c r="C5" s="1416"/>
      <c r="D5" s="1792"/>
      <c r="E5" s="2135" t="str">
        <f>"Форма 3. Информация о рассмотрении дел об установлении тарифов в сфере "&amp;IF(TEMPLATE_SPHERE="HEAT","теплоснабжения","водоснабжения и водоотведения")</f>
        <v>Форма 3. Информация о рассмотрении дел об установлении тарифов в сфере теплоснабжения</v>
      </c>
      <c r="F5" s="2135"/>
      <c r="G5" s="2135"/>
      <c r="H5" s="2135"/>
      <c r="I5" s="2135"/>
      <c r="J5" s="2135"/>
      <c r="K5" s="2135"/>
      <c r="L5" s="825"/>
      <c r="M5" s="455"/>
      <c r="N5" s="737"/>
      <c r="O5" s="737"/>
      <c r="P5" s="737"/>
      <c r="Q5" s="434"/>
      <c r="R5" s="737"/>
      <c r="S5" s="433"/>
      <c r="T5" s="433"/>
      <c r="U5" s="433"/>
      <c r="V5" s="433"/>
    </row>
    <row s="9038" customFormat="1" customHeight="1" ht="14.25">
      <c r="A6" s="1416"/>
      <c r="B6" s="1421"/>
      <c r="C6" s="1416"/>
      <c r="D6" s="1792"/>
      <c r="E6" s="746"/>
      <c r="F6" s="375"/>
      <c r="G6" s="375"/>
      <c r="H6" s="375"/>
      <c r="I6" s="375"/>
      <c r="J6" s="375"/>
      <c r="K6" s="375"/>
      <c r="L6" s="376"/>
      <c r="M6" s="737"/>
      <c r="N6" s="737"/>
      <c r="O6" s="737"/>
      <c r="P6" s="737"/>
      <c r="Q6" s="434"/>
      <c r="R6" s="737"/>
      <c r="S6" s="433"/>
      <c r="T6" s="433"/>
      <c r="U6" s="433"/>
      <c r="V6" s="433"/>
    </row>
    <row s="9038" customFormat="1" customHeight="1" ht="14.25">
      <c r="A7" s="1416"/>
      <c r="B7" s="1421"/>
      <c r="C7" s="1416"/>
      <c r="D7" s="1792"/>
      <c r="E7" s="2136" t="s">
        <v>362</v>
      </c>
      <c r="F7" s="2137"/>
      <c r="G7" s="2137"/>
      <c r="H7" s="2137"/>
      <c r="I7" s="2137"/>
      <c r="J7" s="2137"/>
      <c r="K7" s="2137"/>
      <c r="L7" s="2699" t="s">
        <v>363</v>
      </c>
      <c r="M7" s="737"/>
      <c r="N7" s="737"/>
      <c r="O7" s="737"/>
      <c r="P7" s="737"/>
      <c r="Q7" s="434"/>
      <c r="R7" s="737"/>
      <c r="S7" s="433"/>
      <c r="T7" s="433"/>
      <c r="U7" s="433"/>
      <c r="V7" s="433"/>
    </row>
    <row s="9038" customFormat="1" customHeight="1" ht="47.25">
      <c r="A8" s="1416"/>
      <c r="B8" s="1421"/>
      <c r="C8" s="1416"/>
      <c r="D8" s="1792"/>
      <c r="E8" s="2706" t="s">
        <v>88</v>
      </c>
      <c r="F8" s="2704" t="s">
        <v>2170</v>
      </c>
      <c r="G8" s="2708" t="str">
        <f>"Заседание правления (коллегии органа регулирования тарифов, на котором планируется рассмотрение дела об установлении тарифов в сфере "&amp;IF(TEMPLATE_SPHERE="HEAT","теплоснабжения","водоснабжения и водоотведения")</f>
        <v>Заседание правления (коллегии органа регулирования тарифов, на котором планируется рассмотрение дела об установлении тарифов в сфере теплоснабжения</v>
      </c>
      <c r="H8" s="2709"/>
      <c r="I8" s="2710"/>
      <c r="J8" s="2704" t="str">
        <f>"Принятые органом регулирования тарифов решения об установлении тарифов в сфере "&amp;IF(TEMPLATE_SPHERE="HEAT","теплоснабжения","водоснабжения и водоотведения")</f>
        <v>Принятые органом регулирования тарифов решения об установлении тарифов в сфере теплоснабжения</v>
      </c>
      <c r="K8" s="2704" t="str">
        <f>"Протокол заседания правления (коллегии) органа регулирования тарифов, оформленный в соответствии с требованиями"&amp;IF(TEMPLATE_SPHERE="HEAT","законодательства Российской Федерации",",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 ""О государственном регулировании тарифов в сфере водоснабжения и водоотведения""")</f>
        <v>Протокол заседания правления (коллегии) органа регулирования тарифов, оформленный в соответствии с требованиямизаконодательства Российской Федерации</v>
      </c>
      <c r="L8" s="2703"/>
      <c r="M8" s="737"/>
      <c r="N8" s="737"/>
      <c r="O8" s="737"/>
      <c r="P8" s="737"/>
      <c r="Q8" s="434"/>
      <c r="R8" s="737"/>
      <c r="S8" s="433"/>
      <c r="T8" s="433"/>
      <c r="U8" s="433"/>
      <c r="V8" s="433"/>
    </row>
    <row s="9038" customFormat="1" customHeight="1" ht="56.25">
      <c r="A9" s="1416"/>
      <c r="B9" s="1421"/>
      <c r="C9" s="1416"/>
      <c r="D9" s="1792"/>
      <c r="E9" s="2707"/>
      <c r="F9" s="2705"/>
      <c r="G9" s="1838" t="s">
        <v>2192</v>
      </c>
      <c r="H9" s="1838" t="s">
        <v>2193</v>
      </c>
      <c r="I9" s="1838" t="s">
        <v>2194</v>
      </c>
      <c r="J9" s="2705"/>
      <c r="K9" s="2705"/>
      <c r="L9" s="2700"/>
      <c r="M9" s="737"/>
      <c r="N9" s="737"/>
      <c r="O9" s="737"/>
      <c r="P9" s="737"/>
      <c r="Q9" s="434"/>
      <c r="R9" s="737"/>
      <c r="S9" s="433"/>
      <c r="T9" s="433"/>
      <c r="U9" s="433"/>
      <c r="V9" s="433"/>
    </row>
    <row s="11403" customFormat="1" customHeight="1" ht="22.5">
      <c r="A10" s="2134"/>
      <c r="B10" s="1421">
        <v>1</v>
      </c>
      <c r="C10" s="1421"/>
      <c r="D10" s="1040"/>
      <c r="E10" s="1038">
        <v>1</v>
      </c>
      <c r="F10" s="1840" t="str">
        <f>IF(ROIV_INFO_NAME="","",ROIV_INFO_NAME)</f>
        <v/>
      </c>
      <c r="G10" s="2047" t="s">
        <v>17</v>
      </c>
      <c r="H10" s="1835"/>
      <c r="I10" s="1835"/>
      <c r="J10" s="1425"/>
      <c r="K10" s="1425"/>
      <c r="L10" s="2701" t="s">
        <v>2195</v>
      </c>
      <c r="M10" s="1836">
        <f>MERGEVALUE(F10)</f>
      </c>
      <c r="N10" s="748"/>
      <c r="O10" s="748"/>
      <c r="P10" s="737" t="str">
        <f t="array" ref="P10:P10">IF(ISERROR(MATCH(MID(Q10,1,250),MID(note_ter,1,250),0)),"n","y")</f>
        <v>n</v>
      </c>
      <c r="Q10" s="748"/>
      <c r="R10" s="737" t="str">
        <f>G10&amp;"("&amp;L10&amp;")"</f>
        <v>(В поле «Наименование органа регулирования тарифов»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регулирования… » и «Протокол заседания…» указываются ссылка на документ, предварительно загруженный в хранилище файлов ФГИС ЕИАС.)</v>
      </c>
      <c r="S10" s="1421"/>
      <c r="T10" s="1421"/>
      <c r="U10" s="656"/>
      <c r="V10" s="1421"/>
      <c r="W10" s="1421"/>
      <c r="X10" s="1421"/>
      <c r="Y10" s="658"/>
      <c r="Z10" s="658"/>
      <c r="AA10" s="655"/>
      <c r="AB10" s="655"/>
      <c r="AC10" s="655"/>
      <c r="AD10" s="655"/>
      <c r="AE10" s="655"/>
      <c r="AF10" s="655"/>
      <c r="AG10" s="655"/>
      <c r="AH10" s="655"/>
      <c r="AI10" s="655"/>
      <c r="AJ10" s="655"/>
      <c r="AK10" s="655"/>
      <c r="AL10" s="655"/>
      <c r="AM10" s="655"/>
      <c r="AN10" s="655"/>
      <c r="AO10" s="655"/>
      <c r="AP10" s="655"/>
      <c r="AQ10" s="655"/>
      <c r="AR10" s="655"/>
      <c r="AS10" s="655"/>
      <c r="AT10" s="655"/>
      <c r="AU10" s="655"/>
      <c r="AV10" s="655"/>
      <c r="AW10" s="655"/>
      <c r="AX10" s="655"/>
      <c r="AY10" s="655"/>
      <c r="AZ10" s="655"/>
      <c r="BA10" s="655"/>
      <c r="BB10" s="655"/>
      <c r="BC10" s="655"/>
      <c r="BD10" s="655"/>
      <c r="BE10" s="655"/>
      <c r="BF10" s="655"/>
      <c r="BG10" s="655"/>
      <c r="BH10" s="655"/>
      <c r="BI10" s="655"/>
      <c r="BJ10" s="655"/>
      <c r="BK10" s="655"/>
      <c r="BL10" s="655"/>
      <c r="BM10" s="655"/>
      <c r="BN10" s="655"/>
      <c r="BO10" s="655"/>
      <c r="BP10" s="655"/>
      <c r="BQ10" s="655"/>
      <c r="BR10" s="655"/>
      <c r="BS10" s="655"/>
      <c r="BT10" s="655"/>
      <c r="BU10" s="655"/>
      <c r="BV10" s="658"/>
      <c r="BW10" s="658"/>
      <c r="BX10" s="658"/>
      <c r="BY10" s="658"/>
      <c r="BZ10" s="658"/>
      <c r="CA10" s="658"/>
      <c r="CB10" s="658"/>
      <c r="CC10" s="658"/>
      <c r="CD10" s="658"/>
      <c r="CE10" s="658"/>
    </row>
    <row s="11403" customFormat="1" customHeight="1" ht="15">
      <c r="A11" s="2134"/>
      <c r="B11" s="1421"/>
      <c r="C11" s="648"/>
      <c r="D11" s="1041"/>
      <c r="E11" s="657"/>
      <c r="F11" s="652" t="s">
        <v>2196</v>
      </c>
      <c r="G11" s="394"/>
      <c r="H11" s="394"/>
      <c r="I11" s="394"/>
      <c r="J11" s="394"/>
      <c r="K11" s="394"/>
      <c r="L11" s="2702"/>
      <c r="M11" s="1837"/>
      <c r="N11" s="748"/>
      <c r="O11" s="748"/>
      <c r="P11" s="748"/>
      <c r="Q11" s="737"/>
      <c r="R11" s="748"/>
      <c r="S11" s="1421"/>
      <c r="T11" s="1421"/>
      <c r="U11" s="656"/>
      <c r="V11" s="1421"/>
      <c r="W11" s="1421"/>
      <c r="X11" s="1421"/>
      <c r="Y11" s="658"/>
      <c r="Z11" s="658"/>
      <c r="AA11" s="655"/>
      <c r="AB11" s="655"/>
      <c r="AC11" s="655"/>
      <c r="AD11" s="655"/>
      <c r="AE11" s="655"/>
      <c r="AF11" s="655"/>
      <c r="AG11" s="655"/>
      <c r="AH11" s="655"/>
      <c r="AI11" s="655"/>
      <c r="AJ11" s="655"/>
      <c r="AK11" s="655"/>
      <c r="AL11" s="655"/>
      <c r="AM11" s="655"/>
      <c r="AN11" s="655"/>
      <c r="AO11" s="655"/>
      <c r="AP11" s="655"/>
      <c r="AQ11" s="655"/>
      <c r="AR11" s="655"/>
      <c r="AS11" s="655"/>
      <c r="AT11" s="655"/>
      <c r="AU11" s="655"/>
      <c r="AV11" s="655"/>
      <c r="AW11" s="655"/>
      <c r="AX11" s="655"/>
      <c r="AY11" s="655"/>
      <c r="AZ11" s="655"/>
      <c r="BA11" s="655"/>
      <c r="BB11" s="655"/>
      <c r="BC11" s="655"/>
      <c r="BD11" s="655"/>
      <c r="BE11" s="655"/>
      <c r="BF11" s="655"/>
      <c r="BG11" s="655"/>
      <c r="BH11" s="655"/>
      <c r="BI11" s="655"/>
      <c r="BJ11" s="655"/>
      <c r="BK11" s="655"/>
      <c r="BL11" s="655"/>
      <c r="BM11" s="655"/>
      <c r="BN11" s="655"/>
      <c r="BO11" s="655"/>
      <c r="BP11" s="655"/>
      <c r="BQ11" s="655"/>
      <c r="BR11" s="655"/>
      <c r="BS11" s="655"/>
      <c r="BT11" s="655"/>
      <c r="BU11" s="655"/>
      <c r="BV11" s="658"/>
      <c r="BW11" s="658"/>
      <c r="BX11" s="658"/>
      <c r="BY11" s="658"/>
      <c r="BZ11" s="658"/>
      <c r="CA11" s="658"/>
      <c r="CB11" s="658"/>
      <c r="CC11" s="658"/>
      <c r="CD11" s="658"/>
      <c r="CE11" s="658"/>
    </row>
    <row s="9038" customFormat="1" customHeight="1" ht="21">
      <c r="A12" s="1416"/>
      <c r="B12" s="1421"/>
      <c r="C12" s="1416"/>
      <c r="D12" s="688"/>
      <c r="E12" s="388"/>
      <c r="F12" s="388"/>
      <c r="G12" s="388"/>
      <c r="H12" s="388"/>
      <c r="I12" s="388"/>
      <c r="J12" s="388"/>
      <c r="K12" s="388"/>
      <c r="L12" s="388"/>
      <c r="M12" s="737"/>
      <c r="N12" s="737"/>
      <c r="O12" s="737"/>
      <c r="P12" s="737"/>
      <c r="Q12" s="434"/>
      <c r="R12" s="737"/>
      <c r="S12" s="433"/>
      <c r="T12" s="433"/>
      <c r="U12" s="433"/>
      <c r="V12" s="433"/>
    </row>
    <row s="9038" customFormat="1" customHeight="1" ht="14.25">
      <c r="A13" s="1416"/>
      <c r="B13" s="1421"/>
      <c r="C13" s="1416"/>
      <c r="D13" s="688"/>
      <c r="E13" s="1416"/>
      <c r="F13" s="1416"/>
      <c r="G13" s="1416"/>
      <c r="H13" s="1416"/>
      <c r="I13" s="1416"/>
      <c r="J13" s="1416"/>
      <c r="K13" s="1416"/>
      <c r="L13" s="1416"/>
      <c r="M13" s="737"/>
      <c r="N13" s="737"/>
      <c r="O13" s="737"/>
      <c r="P13" s="737"/>
      <c r="Q13" s="434"/>
      <c r="R13" s="737"/>
      <c r="S13" s="433"/>
      <c r="T13" s="433"/>
      <c r="U13" s="433"/>
      <c r="V13" s="433"/>
    </row>
    <row s="9038" customFormat="1" customHeight="1" ht="0.75">
      <c r="A14" s="1416"/>
      <c r="B14" s="1421"/>
      <c r="C14" s="1416"/>
      <c r="D14" s="688"/>
      <c r="E14" s="1416"/>
      <c r="F14" s="1416"/>
      <c r="G14" s="1416"/>
      <c r="H14" s="1416"/>
      <c r="I14" s="1416"/>
      <c r="J14" s="1416"/>
      <c r="K14" s="1416"/>
      <c r="L14" s="1416"/>
      <c r="M14" s="737"/>
      <c r="N14" s="737"/>
      <c r="O14" s="737"/>
      <c r="P14" s="737"/>
      <c r="Q14" s="434"/>
      <c r="R14" s="737"/>
      <c r="S14" s="433"/>
      <c r="T14" s="433"/>
      <c r="U14" s="433"/>
      <c r="V14" s="433"/>
    </row>
  </sheetData>
  <sheetProtection formatColumns="0" formatRows="0" autoFilter="0" sort="0" insertRows="0" insertColumns="1" deleteRows="0" deleteColumns="0"/>
  <mergeCells count="10">
    <mergeCell ref="L7:L9"/>
    <mergeCell ref="E7:K7"/>
    <mergeCell ref="A10:A11"/>
    <mergeCell ref="L10:L11"/>
    <mergeCell ref="E5:K5"/>
    <mergeCell ref="F8:F9"/>
    <mergeCell ref="E8:E9"/>
    <mergeCell ref="G8:I8"/>
    <mergeCell ref="J8:J9"/>
    <mergeCell ref="K8:K9"/>
  </mergeCells>
  <dataValidations count="3">
    <dataValidation type="textLength" allowBlank="1" showInputMessage="1" showErrorMessage="1" sqref="H2:I3 H10:I10">
      <formula1>13</formula1>
      <formula2>15</formula2>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G3 G10"/>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J2:K3 J10:K10">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DCBCEA6-91BB-24F8-3E49-19146A95CE7A}" mc:Ignorable="x14ac xr xr2 xr3">
  <dimension ref="A1:IY16"/>
  <sheetViews>
    <sheetView topLeftCell="D5" showGridLines="0" zoomScale="90" workbookViewId="0">
      <selection activeCell="A1" sqref="A1"/>
    </sheetView>
  </sheetViews>
  <sheetFormatPr defaultColWidth="9.140625" customHeight="1" defaultRowHeight="14.25"/>
  <cols>
    <col min="1" max="1" style="11126" width="9.140625" hidden="1"/>
    <col min="2" max="2" style="11074" width="9.140625" hidden="1"/>
    <col min="3" max="3" style="11126" width="3.7109375" hidden="1" customWidth="1"/>
    <col min="4" max="4" style="11307" width="3.8515625" customWidth="1"/>
    <col min="5" max="5" style="11126" width="10.140625" customWidth="1"/>
    <col min="6" max="6" style="11126" width="6.28125" customWidth="1"/>
    <col min="7" max="7" style="11126" width="27.28125" customWidth="1"/>
    <col min="8" max="8" style="11126" width="29.28125" customWidth="1"/>
    <col min="9" max="9" style="11126" width="25.421875" customWidth="1"/>
    <col min="10" max="10" style="11126" width="5.57421875" customWidth="1"/>
    <col min="11" max="11" style="11126" width="6.57421875" customWidth="1"/>
    <col min="12" max="12" style="11126" width="41.8515625" customWidth="1"/>
    <col min="13" max="13" style="11126" width="42.421875" customWidth="1"/>
    <col min="14" max="14" style="11126" width="41.57421875" customWidth="1"/>
    <col min="15" max="15" style="11126" width="64.140625" customWidth="1"/>
    <col min="16" max="16" style="11318" width="3.7109375" customWidth="1"/>
    <col min="17" max="19" style="11318" width="9.140625"/>
    <col min="20" max="20" style="11318" width="25.7109375" customWidth="1"/>
    <col min="21" max="21" style="11318" width="14.421875" customWidth="1"/>
    <col min="22" max="25" style="8548" width="9.140625"/>
    <col min="26" max="259" style="11126" width="9.140625"/>
  </cols>
  <sheetData>
    <row customHeight="1" ht="14.25" hidden="1"/>
    <row s="11403" customFormat="1" customHeight="1" ht="22.5" hidden="1">
      <c r="A2" s="733"/>
      <c r="B2" s="1421">
        <v>1</v>
      </c>
      <c r="C2" s="1421"/>
      <c r="D2" s="1041"/>
      <c r="E2" s="2469"/>
      <c r="F2" s="2469">
        <v>1</v>
      </c>
      <c r="G2" s="2533" t="str">
        <f>IF(region_name="","",region_name)</f>
        <v>Самарская область</v>
      </c>
      <c r="H2" s="2720"/>
      <c r="I2" s="2721"/>
      <c r="J2" s="711"/>
      <c r="K2" s="1781">
        <v>1</v>
      </c>
      <c r="L2" s="1425"/>
      <c r="M2" s="1425"/>
      <c r="N2" s="1425"/>
      <c r="O2" s="1425"/>
      <c r="P2" s="1836">
        <f>MERGEVALUE(G2)</f>
      </c>
      <c r="Q2" s="748"/>
      <c r="R2" s="748"/>
      <c r="S2" s="737" t="str">
        <f t="array" ref="S2:S2">IF(ISERROR(MATCH(MID(T2,1,250),MID(note_ter,1,250),0)),"n","y")</f>
        <v>n</v>
      </c>
      <c r="T2" s="748"/>
      <c r="U2" s="737"/>
      <c r="V2" s="1421"/>
      <c r="W2" s="1421"/>
      <c r="X2" s="656"/>
      <c r="Y2" s="1421"/>
      <c r="Z2" s="1421"/>
      <c r="AA2" s="1421"/>
      <c r="AB2" s="658"/>
      <c r="AC2" s="658"/>
      <c r="AD2" s="655"/>
      <c r="AE2" s="655"/>
      <c r="AF2" s="655"/>
      <c r="AG2" s="655"/>
      <c r="AH2" s="655"/>
      <c r="AI2" s="655"/>
      <c r="AJ2" s="655"/>
      <c r="AK2" s="655"/>
      <c r="AL2" s="655"/>
      <c r="AM2" s="655"/>
      <c r="AN2" s="655"/>
      <c r="AO2" s="655"/>
      <c r="AP2" s="655"/>
      <c r="AQ2" s="655"/>
      <c r="AR2" s="655"/>
      <c r="AS2" s="655"/>
      <c r="AT2" s="655"/>
      <c r="AU2" s="655"/>
      <c r="AV2" s="655"/>
      <c r="AW2" s="655"/>
      <c r="AX2" s="655"/>
      <c r="AY2" s="655"/>
      <c r="AZ2" s="655"/>
      <c r="BA2" s="655"/>
      <c r="BB2" s="655"/>
      <c r="BC2" s="655"/>
      <c r="BD2" s="655"/>
      <c r="BE2" s="655"/>
      <c r="BF2" s="655"/>
      <c r="BG2" s="655"/>
      <c r="BH2" s="655"/>
      <c r="BI2" s="655"/>
      <c r="BJ2" s="655"/>
      <c r="BK2" s="655"/>
      <c r="BL2" s="655"/>
      <c r="BM2" s="655"/>
      <c r="BN2" s="655"/>
      <c r="BO2" s="655"/>
      <c r="BP2" s="655"/>
      <c r="BQ2" s="655"/>
      <c r="BR2" s="655"/>
      <c r="BS2" s="655"/>
      <c r="BT2" s="655"/>
      <c r="BU2" s="655"/>
      <c r="BV2" s="655"/>
      <c r="BW2" s="655"/>
      <c r="BX2" s="655"/>
      <c r="BY2" s="658"/>
      <c r="BZ2" s="658"/>
      <c r="CA2" s="658"/>
      <c r="CB2" s="658"/>
      <c r="CC2" s="658"/>
      <c r="CD2" s="658"/>
      <c r="CE2" s="658"/>
      <c r="CF2" s="658"/>
      <c r="CG2" s="658"/>
      <c r="CH2" s="658"/>
    </row>
    <row s="11403" customFormat="1" customHeight="1" ht="22.5" hidden="1">
      <c r="A3" s="1076"/>
      <c r="B3" s="1421"/>
      <c r="C3" s="1421"/>
      <c r="D3" s="1041"/>
      <c r="E3" s="2469"/>
      <c r="F3" s="2469"/>
      <c r="G3" s="2533"/>
      <c r="H3" s="2720"/>
      <c r="I3" s="2333"/>
      <c r="J3" s="1845"/>
      <c r="K3" s="1797"/>
      <c r="L3" s="1797" t="s">
        <v>2197</v>
      </c>
      <c r="M3" s="1848"/>
      <c r="N3" s="1848"/>
      <c r="O3" s="1849"/>
      <c r="P3" s="1836"/>
      <c r="Q3" s="748"/>
      <c r="R3" s="748"/>
      <c r="S3" s="737"/>
      <c r="T3" s="748"/>
      <c r="U3" s="737"/>
      <c r="V3" s="1421"/>
      <c r="W3" s="1421"/>
      <c r="X3" s="656"/>
      <c r="Y3" s="1421"/>
      <c r="Z3" s="1421"/>
      <c r="AA3" s="1421"/>
      <c r="AB3" s="658"/>
      <c r="AC3" s="658"/>
      <c r="AD3" s="655"/>
      <c r="AE3" s="655"/>
      <c r="AF3" s="655"/>
      <c r="AG3" s="655"/>
      <c r="AH3" s="655"/>
      <c r="AI3" s="655"/>
      <c r="AJ3" s="655"/>
      <c r="AK3" s="655"/>
      <c r="AL3" s="655"/>
      <c r="AM3" s="655"/>
      <c r="AN3" s="655"/>
      <c r="AO3" s="655"/>
      <c r="AP3" s="655"/>
      <c r="AQ3" s="655"/>
      <c r="AR3" s="655"/>
      <c r="AS3" s="655"/>
      <c r="AT3" s="655"/>
      <c r="AU3" s="655"/>
      <c r="AV3" s="655"/>
      <c r="AW3" s="655"/>
      <c r="AX3" s="655"/>
      <c r="AY3" s="655"/>
      <c r="AZ3" s="655"/>
      <c r="BA3" s="655"/>
      <c r="BB3" s="655"/>
      <c r="BC3" s="655"/>
      <c r="BD3" s="655"/>
      <c r="BE3" s="655"/>
      <c r="BF3" s="655"/>
      <c r="BG3" s="655"/>
      <c r="BH3" s="655"/>
      <c r="BI3" s="655"/>
      <c r="BJ3" s="655"/>
      <c r="BK3" s="655"/>
      <c r="BL3" s="655"/>
      <c r="BM3" s="655"/>
      <c r="BN3" s="655"/>
      <c r="BO3" s="655"/>
      <c r="BP3" s="655"/>
      <c r="BQ3" s="655"/>
      <c r="BR3" s="655"/>
      <c r="BS3" s="655"/>
      <c r="BT3" s="655"/>
      <c r="BU3" s="655"/>
      <c r="BV3" s="655"/>
      <c r="BW3" s="655"/>
      <c r="BX3" s="655"/>
      <c r="BY3" s="658"/>
      <c r="BZ3" s="658"/>
      <c r="CA3" s="658"/>
      <c r="CB3" s="658"/>
      <c r="CC3" s="658"/>
      <c r="CD3" s="658"/>
      <c r="CE3" s="658"/>
      <c r="CF3" s="658"/>
      <c r="CG3" s="658"/>
      <c r="CH3" s="658"/>
    </row>
    <row s="10863" customFormat="1" customHeight="1" ht="5.25" hidden="1">
      <c r="A4" s="733"/>
      <c r="D4" s="731"/>
      <c r="G4" s="455" t="s">
        <v>83</v>
      </c>
      <c r="H4" s="731" t="s">
        <v>84</v>
      </c>
      <c r="I4" s="731"/>
      <c r="J4" s="1850"/>
      <c r="K4" s="1850"/>
      <c r="L4" s="1850"/>
      <c r="M4" s="1850"/>
      <c r="N4" s="1850"/>
      <c r="O4" s="1850"/>
      <c r="P4" s="455" t="s">
        <v>83</v>
      </c>
      <c r="Q4" s="455"/>
      <c r="R4" s="455"/>
      <c r="S4" s="455"/>
      <c r="T4" s="456"/>
      <c r="U4" s="455"/>
      <c r="V4" s="455"/>
      <c r="W4" s="455"/>
      <c r="X4" s="455"/>
      <c r="Y4" s="455"/>
      <c r="Z4" s="435"/>
      <c r="AA4" s="435"/>
      <c r="AB4" s="435"/>
      <c r="AC4" s="435"/>
      <c r="AD4" s="435"/>
      <c r="AE4" s="435"/>
      <c r="AF4" s="435"/>
      <c r="AG4" s="435"/>
      <c r="AH4" s="435"/>
      <c r="AI4" s="435"/>
      <c r="AJ4" s="435"/>
      <c r="AK4" s="435"/>
      <c r="AL4" s="435"/>
      <c r="AM4" s="435"/>
      <c r="AN4" s="435"/>
      <c r="AO4" s="435"/>
      <c r="AP4" s="435"/>
      <c r="AQ4" s="435"/>
      <c r="AR4" s="435"/>
      <c r="AS4" s="435"/>
      <c r="AT4" s="435"/>
      <c r="AU4" s="435"/>
      <c r="AV4" s="435"/>
      <c r="AW4" s="435"/>
      <c r="AX4" s="435"/>
      <c r="AY4" s="435"/>
      <c r="AZ4" s="435"/>
      <c r="BA4" s="435"/>
      <c r="BB4" s="435"/>
      <c r="BC4" s="435"/>
      <c r="BD4" s="435"/>
      <c r="BE4" s="435"/>
      <c r="BF4" s="435"/>
      <c r="BG4" s="435"/>
      <c r="BH4" s="435"/>
      <c r="BI4" s="435"/>
      <c r="BJ4" s="435"/>
      <c r="BK4" s="435"/>
      <c r="BL4" s="435"/>
      <c r="BM4" s="435"/>
      <c r="BN4" s="435"/>
      <c r="BO4" s="435"/>
      <c r="BP4" s="435"/>
      <c r="BQ4" s="435"/>
      <c r="BR4" s="435"/>
      <c r="BS4" s="435"/>
      <c r="BT4" s="435"/>
      <c r="BU4" s="435"/>
      <c r="BV4" s="435"/>
      <c r="BW4" s="435"/>
      <c r="BX4" s="435"/>
      <c r="BY4" s="435"/>
      <c r="BZ4" s="435"/>
      <c r="CA4" s="435"/>
      <c r="CB4" s="435"/>
      <c r="CC4" s="435"/>
      <c r="CD4" s="435"/>
      <c r="CE4" s="435"/>
      <c r="CF4" s="435"/>
      <c r="CG4" s="435"/>
      <c r="CH4" s="435"/>
      <c r="CI4" s="435"/>
      <c r="CJ4" s="435"/>
      <c r="CK4" s="435"/>
      <c r="CL4" s="435"/>
      <c r="CM4" s="435"/>
      <c r="CN4" s="435"/>
      <c r="CO4" s="435"/>
      <c r="CP4" s="435"/>
      <c r="CQ4" s="435"/>
      <c r="CR4" s="435"/>
      <c r="CS4" s="435"/>
      <c r="CT4" s="435"/>
      <c r="CU4" s="435"/>
      <c r="CV4" s="435"/>
      <c r="CW4" s="435"/>
      <c r="CX4" s="435"/>
      <c r="CY4" s="435"/>
      <c r="CZ4" s="435"/>
      <c r="DA4" s="435"/>
      <c r="DB4" s="435"/>
      <c r="DC4" s="435"/>
      <c r="DD4" s="435"/>
      <c r="DE4" s="435"/>
      <c r="DF4" s="435"/>
      <c r="DG4" s="435"/>
      <c r="DH4" s="435"/>
      <c r="DI4" s="435"/>
      <c r="DJ4" s="435"/>
      <c r="DK4" s="435"/>
      <c r="DL4" s="435"/>
      <c r="DM4" s="435"/>
      <c r="DN4" s="435"/>
      <c r="DO4" s="435"/>
      <c r="DP4" s="435"/>
      <c r="DQ4" s="435"/>
      <c r="DR4" s="435"/>
      <c r="DS4" s="435"/>
      <c r="DT4" s="435"/>
      <c r="DU4" s="435"/>
      <c r="DV4" s="435"/>
      <c r="DW4" s="435"/>
      <c r="DX4" s="435"/>
      <c r="DY4" s="435"/>
      <c r="DZ4" s="435"/>
      <c r="EA4" s="435"/>
      <c r="EB4" s="435"/>
      <c r="EC4" s="435"/>
      <c r="ED4" s="435"/>
      <c r="EE4" s="435"/>
      <c r="EF4" s="435"/>
      <c r="EG4" s="435"/>
      <c r="EH4" s="435"/>
      <c r="EI4" s="435"/>
      <c r="EJ4" s="435"/>
      <c r="EK4" s="435"/>
      <c r="EL4" s="435"/>
      <c r="EM4" s="435"/>
      <c r="EN4" s="435"/>
      <c r="EO4" s="435"/>
      <c r="EP4" s="435"/>
      <c r="EQ4" s="435"/>
      <c r="ER4" s="435"/>
      <c r="ES4" s="435"/>
      <c r="ET4" s="435"/>
      <c r="EU4" s="435"/>
      <c r="EV4" s="435"/>
      <c r="EW4" s="435"/>
      <c r="EX4" s="435"/>
      <c r="EY4" s="435"/>
      <c r="EZ4" s="435"/>
      <c r="FA4" s="435"/>
      <c r="FB4" s="435"/>
      <c r="FC4" s="435"/>
      <c r="FD4" s="435"/>
      <c r="FE4" s="435"/>
      <c r="FF4" s="435"/>
      <c r="FG4" s="435"/>
      <c r="FH4" s="435"/>
      <c r="FI4" s="435"/>
      <c r="FJ4" s="435"/>
      <c r="FK4" s="435"/>
      <c r="FL4" s="435"/>
      <c r="FM4" s="435"/>
      <c r="FN4" s="435"/>
      <c r="FO4" s="435"/>
      <c r="FP4" s="435"/>
      <c r="FQ4" s="435"/>
      <c r="FR4" s="435"/>
      <c r="FS4" s="435"/>
      <c r="FT4" s="435"/>
      <c r="FU4" s="435"/>
      <c r="FV4" s="435"/>
      <c r="FW4" s="435"/>
      <c r="FX4" s="435"/>
      <c r="FY4" s="435"/>
      <c r="FZ4" s="435"/>
      <c r="GA4" s="435"/>
      <c r="GB4" s="435"/>
      <c r="GC4" s="435"/>
      <c r="GD4" s="435"/>
      <c r="GE4" s="435"/>
      <c r="GF4" s="435"/>
      <c r="GG4" s="435"/>
      <c r="GH4" s="435"/>
      <c r="GI4" s="435"/>
      <c r="GJ4" s="435"/>
      <c r="GK4" s="435"/>
      <c r="GL4" s="435"/>
      <c r="GM4" s="435"/>
      <c r="GN4" s="435"/>
      <c r="GO4" s="435"/>
      <c r="GP4" s="435"/>
      <c r="GQ4" s="435"/>
      <c r="GR4" s="435"/>
      <c r="GS4" s="435"/>
      <c r="GT4" s="435"/>
      <c r="GU4" s="435"/>
      <c r="GV4" s="435"/>
      <c r="GW4" s="435"/>
      <c r="GX4" s="435"/>
      <c r="GY4" s="435"/>
      <c r="GZ4" s="435"/>
      <c r="HA4" s="435"/>
      <c r="HB4" s="435"/>
      <c r="HC4" s="435"/>
      <c r="HD4" s="435"/>
      <c r="HE4" s="435"/>
      <c r="HF4" s="435"/>
      <c r="HG4" s="435"/>
      <c r="HH4" s="435"/>
      <c r="HI4" s="435"/>
      <c r="HJ4" s="435"/>
      <c r="HK4" s="435"/>
      <c r="HL4" s="435"/>
      <c r="HM4" s="435"/>
      <c r="HN4" s="435"/>
      <c r="HO4" s="435"/>
      <c r="HP4" s="435"/>
      <c r="HQ4" s="435"/>
      <c r="HR4" s="435"/>
      <c r="HS4" s="435"/>
      <c r="HT4" s="435"/>
      <c r="HU4" s="435"/>
      <c r="HV4" s="435"/>
      <c r="HW4" s="435"/>
      <c r="HX4" s="435"/>
      <c r="HY4" s="435"/>
      <c r="HZ4" s="435"/>
      <c r="IA4" s="435"/>
      <c r="IB4" s="435"/>
      <c r="IC4" s="435"/>
      <c r="ID4" s="435"/>
      <c r="IE4" s="435"/>
      <c r="IF4" s="435"/>
      <c r="IG4" s="435"/>
      <c r="IH4" s="435"/>
      <c r="II4" s="435"/>
      <c r="IJ4" s="435"/>
      <c r="IK4" s="435"/>
      <c r="IL4" s="435"/>
      <c r="IM4" s="435"/>
      <c r="IN4" s="435"/>
      <c r="IO4" s="435"/>
      <c r="IP4" s="435"/>
      <c r="IQ4" s="435"/>
      <c r="IR4" s="435"/>
      <c r="IS4" s="435"/>
      <c r="IT4" s="435"/>
      <c r="IU4" s="435"/>
      <c r="IV4" s="435"/>
      <c r="IW4" s="435"/>
      <c r="IX4" s="435"/>
      <c r="IY4" s="435"/>
    </row>
    <row s="9038" customFormat="1" customHeight="1" ht="14.25">
      <c r="A5" s="1416"/>
      <c r="B5" s="1421"/>
      <c r="C5" s="1416"/>
      <c r="D5" s="1792"/>
      <c r="E5" s="746"/>
      <c r="F5" s="746"/>
      <c r="G5" s="746"/>
      <c r="H5" s="746"/>
      <c r="I5" s="746"/>
      <c r="J5" s="746"/>
      <c r="K5" s="746"/>
      <c r="L5" s="746"/>
      <c r="M5" s="746"/>
      <c r="N5" s="746"/>
      <c r="O5" s="746"/>
      <c r="P5" s="455"/>
      <c r="Q5" s="737"/>
      <c r="R5" s="737"/>
      <c r="S5" s="737"/>
      <c r="T5" s="434"/>
      <c r="U5" s="737"/>
      <c r="V5" s="433"/>
      <c r="W5" s="433"/>
      <c r="X5" s="433"/>
      <c r="Y5" s="433"/>
    </row>
    <row s="9038" customFormat="1" customHeight="1" ht="25.5">
      <c r="A6" s="1416"/>
      <c r="B6" s="1421"/>
      <c r="C6" s="1416"/>
      <c r="D6" s="1792"/>
      <c r="E6" s="2135" t="s">
        <v>2198</v>
      </c>
      <c r="F6" s="2135"/>
      <c r="G6" s="2135"/>
      <c r="H6" s="2135"/>
      <c r="I6" s="2135"/>
      <c r="J6" s="2135"/>
      <c r="K6" s="2135"/>
      <c r="L6" s="2135"/>
      <c r="M6" s="2135"/>
      <c r="N6" s="2135"/>
      <c r="O6" s="2135"/>
      <c r="P6" s="455"/>
      <c r="Q6" s="737"/>
      <c r="R6" s="737"/>
      <c r="S6" s="737"/>
      <c r="T6" s="434"/>
      <c r="U6" s="737"/>
      <c r="V6" s="433"/>
      <c r="W6" s="433"/>
      <c r="X6" s="433"/>
      <c r="Y6" s="433"/>
    </row>
    <row s="9038" customFormat="1" customHeight="1" ht="14.25">
      <c r="A7" s="1416"/>
      <c r="B7" s="1421"/>
      <c r="C7" s="1416"/>
      <c r="D7" s="1792"/>
      <c r="E7" s="746"/>
      <c r="F7" s="746"/>
      <c r="G7" s="375"/>
      <c r="H7" s="375"/>
      <c r="I7" s="375"/>
      <c r="J7" s="375"/>
      <c r="K7" s="375"/>
      <c r="L7" s="375"/>
      <c r="M7" s="375"/>
      <c r="N7" s="375"/>
      <c r="O7" s="375"/>
      <c r="P7" s="737"/>
      <c r="Q7" s="737"/>
      <c r="R7" s="737"/>
      <c r="S7" s="737"/>
      <c r="T7" s="434"/>
      <c r="U7" s="737"/>
      <c r="V7" s="433"/>
      <c r="W7" s="433"/>
      <c r="X7" s="433"/>
      <c r="Y7" s="433"/>
    </row>
    <row s="11337" customFormat="1" customHeight="1" ht="42.75">
      <c r="A8" s="1765"/>
      <c r="B8" s="1775"/>
      <c r="C8" s="1765"/>
      <c r="D8" s="1792"/>
      <c r="E8" s="1859" t="s">
        <v>363</v>
      </c>
      <c r="F8" s="1859"/>
      <c r="G8" s="1860" t="s">
        <v>367</v>
      </c>
      <c r="H8" s="1860" t="s">
        <v>2199</v>
      </c>
      <c r="I8" s="1860" t="s">
        <v>371</v>
      </c>
      <c r="J8" s="2716"/>
      <c r="K8" s="2717"/>
      <c r="L8" s="2718"/>
      <c r="M8" s="1860" t="s">
        <v>2200</v>
      </c>
      <c r="N8" s="1860" t="s">
        <v>2201</v>
      </c>
      <c r="O8" s="1860" t="s">
        <v>2202</v>
      </c>
      <c r="P8" s="1851"/>
      <c r="Q8" s="1851"/>
      <c r="R8" s="1851"/>
      <c r="S8" s="1851"/>
      <c r="T8" s="1852"/>
      <c r="U8" s="1851"/>
      <c r="V8" s="1853"/>
      <c r="W8" s="1853"/>
      <c r="X8" s="1853"/>
      <c r="Y8" s="1853"/>
    </row>
    <row s="9038" customFormat="1" customHeight="1" ht="47.25">
      <c r="A9" s="1416"/>
      <c r="B9" s="1421"/>
      <c r="C9" s="1416"/>
      <c r="D9" s="1792"/>
      <c r="E9" s="2711" t="s">
        <v>362</v>
      </c>
      <c r="F9" s="2707" t="s">
        <v>88</v>
      </c>
      <c r="G9" s="2705" t="s">
        <v>366</v>
      </c>
      <c r="H9" s="2705" t="s">
        <v>2203</v>
      </c>
      <c r="I9" s="2705"/>
      <c r="J9" s="2705" t="s">
        <v>2204</v>
      </c>
      <c r="K9" s="2705"/>
      <c r="L9" s="2705"/>
      <c r="M9" s="2705" t="s">
        <v>2205</v>
      </c>
      <c r="N9" s="2705" t="s">
        <v>2206</v>
      </c>
      <c r="O9" s="2705" t="s">
        <v>2207</v>
      </c>
      <c r="P9" s="737"/>
      <c r="Q9" s="737"/>
      <c r="R9" s="737"/>
      <c r="S9" s="737"/>
      <c r="T9" s="434"/>
      <c r="U9" s="737"/>
      <c r="V9" s="433"/>
      <c r="W9" s="433"/>
      <c r="X9" s="433"/>
      <c r="Y9" s="433"/>
    </row>
    <row s="9038" customFormat="1" customHeight="1" ht="56.25">
      <c r="A10" s="1416"/>
      <c r="B10" s="1421"/>
      <c r="C10" s="1416"/>
      <c r="D10" s="1792"/>
      <c r="E10" s="2469"/>
      <c r="F10" s="2715"/>
      <c r="G10" s="2714"/>
      <c r="H10" s="380" t="s">
        <v>2208</v>
      </c>
      <c r="I10" s="380" t="s">
        <v>370</v>
      </c>
      <c r="J10" s="2704"/>
      <c r="K10" s="2704"/>
      <c r="L10" s="2714"/>
      <c r="M10" s="2714"/>
      <c r="N10" s="2714"/>
      <c r="O10" s="2714"/>
      <c r="P10" s="737"/>
      <c r="Q10" s="737"/>
      <c r="R10" s="737"/>
      <c r="S10" s="737"/>
      <c r="T10" s="434"/>
      <c r="U10" s="737"/>
      <c r="V10" s="433"/>
      <c r="W10" s="433"/>
      <c r="X10" s="433"/>
      <c r="Y10" s="433"/>
    </row>
    <row s="11403" customFormat="1" customHeight="1" ht="22.5">
      <c r="A11" s="2134">
        <v>26379339</v>
      </c>
      <c r="B11" s="1421">
        <v>1</v>
      </c>
      <c r="C11" s="1421"/>
      <c r="D11" s="1041"/>
      <c r="E11" s="2711"/>
      <c r="F11" s="2711">
        <v>1</v>
      </c>
      <c r="G11" s="2712" t="str">
        <f>IF(region_name="","",region_name)</f>
        <v>Самарская область</v>
      </c>
      <c r="H11" s="2713"/>
      <c r="I11" s="2719"/>
      <c r="J11" s="711"/>
      <c r="K11" s="1781">
        <v>1</v>
      </c>
      <c r="L11" s="1861"/>
      <c r="M11" s="1847"/>
      <c r="N11" s="1847"/>
      <c r="O11" s="1846"/>
      <c r="P11" s="1836">
        <f>MERGEVALUE(G11)</f>
      </c>
      <c r="Q11" s="748"/>
      <c r="R11" s="748"/>
      <c r="S11" s="737" t="str">
        <f t="array" ref="S11:S11">IF(ISERROR(MATCH(MID(T11,1,250),MID(note_ter,1,250),0)),"n","y")</f>
        <v>n</v>
      </c>
      <c r="T11" s="748"/>
      <c r="U11" s="737"/>
      <c r="V11" s="1421"/>
      <c r="W11" s="1421"/>
      <c r="X11" s="656"/>
      <c r="Y11" s="1421"/>
      <c r="Z11" s="1421"/>
      <c r="AA11" s="1421"/>
      <c r="AB11" s="658"/>
      <c r="AC11" s="658"/>
      <c r="AD11" s="655"/>
      <c r="AE11" s="655"/>
      <c r="AF11" s="655"/>
      <c r="AG11" s="655"/>
      <c r="AH11" s="655"/>
      <c r="AI11" s="655"/>
      <c r="AJ11" s="655"/>
      <c r="AK11" s="655"/>
      <c r="AL11" s="655"/>
      <c r="AM11" s="655"/>
      <c r="AN11" s="655"/>
      <c r="AO11" s="655"/>
      <c r="AP11" s="655"/>
      <c r="AQ11" s="655"/>
      <c r="AR11" s="655"/>
      <c r="AS11" s="655"/>
      <c r="AT11" s="655"/>
      <c r="AU11" s="655"/>
      <c r="AV11" s="655"/>
      <c r="AW11" s="655"/>
      <c r="AX11" s="655"/>
      <c r="AY11" s="655"/>
      <c r="AZ11" s="655"/>
      <c r="BA11" s="655"/>
      <c r="BB11" s="655"/>
      <c r="BC11" s="655"/>
      <c r="BD11" s="655"/>
      <c r="BE11" s="655"/>
      <c r="BF11" s="655"/>
      <c r="BG11" s="655"/>
      <c r="BH11" s="655"/>
      <c r="BI11" s="655"/>
      <c r="BJ11" s="655"/>
      <c r="BK11" s="655"/>
      <c r="BL11" s="655"/>
      <c r="BM11" s="655"/>
      <c r="BN11" s="655"/>
      <c r="BO11" s="655"/>
      <c r="BP11" s="655"/>
      <c r="BQ11" s="655"/>
      <c r="BR11" s="655"/>
      <c r="BS11" s="655"/>
      <c r="BT11" s="655"/>
      <c r="BU11" s="655"/>
      <c r="BV11" s="655"/>
      <c r="BW11" s="655"/>
      <c r="BX11" s="655"/>
      <c r="BY11" s="658"/>
      <c r="BZ11" s="658"/>
      <c r="CA11" s="658"/>
      <c r="CB11" s="658"/>
      <c r="CC11" s="658"/>
      <c r="CD11" s="658"/>
      <c r="CE11" s="658"/>
      <c r="CF11" s="658"/>
      <c r="CG11" s="658"/>
      <c r="CH11" s="658"/>
    </row>
    <row s="11403" customFormat="1" customHeight="1" ht="22.5">
      <c r="A12" s="2134"/>
      <c r="B12" s="1421"/>
      <c r="C12" s="1421"/>
      <c r="D12" s="1041"/>
      <c r="E12" s="2711"/>
      <c r="F12" s="2711"/>
      <c r="G12" s="2712"/>
      <c r="H12" s="2713"/>
      <c r="I12" s="2350"/>
      <c r="J12" s="1845"/>
      <c r="K12" s="1797"/>
      <c r="L12" s="1797" t="s">
        <v>2197</v>
      </c>
      <c r="M12" s="1848"/>
      <c r="N12" s="1848"/>
      <c r="O12" s="1849"/>
      <c r="P12" s="1836"/>
      <c r="Q12" s="748"/>
      <c r="R12" s="748"/>
      <c r="S12" s="737"/>
      <c r="T12" s="748"/>
      <c r="U12" s="737"/>
      <c r="V12" s="1421"/>
      <c r="W12" s="1421"/>
      <c r="X12" s="656"/>
      <c r="Y12" s="1421"/>
      <c r="Z12" s="1421"/>
      <c r="AA12" s="1421"/>
      <c r="AB12" s="658"/>
      <c r="AC12" s="658"/>
      <c r="AD12" s="655"/>
      <c r="AE12" s="655"/>
      <c r="AF12" s="655"/>
      <c r="AG12" s="655"/>
      <c r="AH12" s="655"/>
      <c r="AI12" s="655"/>
      <c r="AJ12" s="655"/>
      <c r="AK12" s="655"/>
      <c r="AL12" s="655"/>
      <c r="AM12" s="655"/>
      <c r="AN12" s="655"/>
      <c r="AO12" s="655"/>
      <c r="AP12" s="655"/>
      <c r="AQ12" s="655"/>
      <c r="AR12" s="655"/>
      <c r="AS12" s="655"/>
      <c r="AT12" s="655"/>
      <c r="AU12" s="655"/>
      <c r="AV12" s="655"/>
      <c r="AW12" s="655"/>
      <c r="AX12" s="655"/>
      <c r="AY12" s="655"/>
      <c r="AZ12" s="655"/>
      <c r="BA12" s="655"/>
      <c r="BB12" s="655"/>
      <c r="BC12" s="655"/>
      <c r="BD12" s="655"/>
      <c r="BE12" s="655"/>
      <c r="BF12" s="655"/>
      <c r="BG12" s="655"/>
      <c r="BH12" s="655"/>
      <c r="BI12" s="655"/>
      <c r="BJ12" s="655"/>
      <c r="BK12" s="655"/>
      <c r="BL12" s="655"/>
      <c r="BM12" s="655"/>
      <c r="BN12" s="655"/>
      <c r="BO12" s="655"/>
      <c r="BP12" s="655"/>
      <c r="BQ12" s="655"/>
      <c r="BR12" s="655"/>
      <c r="BS12" s="655"/>
      <c r="BT12" s="655"/>
      <c r="BU12" s="655"/>
      <c r="BV12" s="655"/>
      <c r="BW12" s="655"/>
      <c r="BX12" s="655"/>
      <c r="BY12" s="658"/>
      <c r="BZ12" s="658"/>
      <c r="CA12" s="658"/>
      <c r="CB12" s="658"/>
      <c r="CC12" s="658"/>
      <c r="CD12" s="658"/>
      <c r="CE12" s="658"/>
      <c r="CF12" s="658"/>
      <c r="CG12" s="658"/>
      <c r="CH12" s="658"/>
    </row>
    <row s="11403" customFormat="1" customHeight="1" ht="22.5">
      <c r="A13" s="2134"/>
      <c r="B13" s="1421"/>
      <c r="C13" s="648"/>
      <c r="D13" s="1041"/>
      <c r="E13" s="1842"/>
      <c r="F13" s="1845"/>
      <c r="G13" s="1797" t="s">
        <v>2191</v>
      </c>
      <c r="H13" s="1843"/>
      <c r="I13" s="1843"/>
      <c r="J13" s="394"/>
      <c r="K13" s="394"/>
      <c r="L13" s="394"/>
      <c r="M13" s="394"/>
      <c r="N13" s="394"/>
      <c r="O13" s="1844"/>
      <c r="P13" s="1837"/>
      <c r="Q13" s="748"/>
      <c r="R13" s="748"/>
      <c r="S13" s="748"/>
      <c r="T13" s="737"/>
      <c r="U13" s="748"/>
      <c r="V13" s="1421"/>
      <c r="W13" s="1421"/>
      <c r="X13" s="656"/>
      <c r="Y13" s="1421"/>
      <c r="Z13" s="1421"/>
      <c r="AA13" s="1421"/>
      <c r="AB13" s="658"/>
      <c r="AC13" s="658"/>
      <c r="AD13" s="655"/>
      <c r="AE13" s="655"/>
      <c r="AF13" s="655"/>
      <c r="AG13" s="655"/>
      <c r="AH13" s="655"/>
      <c r="AI13" s="655"/>
      <c r="AJ13" s="655"/>
      <c r="AK13" s="655"/>
      <c r="AL13" s="655"/>
      <c r="AM13" s="655"/>
      <c r="AN13" s="655"/>
      <c r="AO13" s="655"/>
      <c r="AP13" s="655"/>
      <c r="AQ13" s="655"/>
      <c r="AR13" s="655"/>
      <c r="AS13" s="655"/>
      <c r="AT13" s="655"/>
      <c r="AU13" s="655"/>
      <c r="AV13" s="655"/>
      <c r="AW13" s="655"/>
      <c r="AX13" s="655"/>
      <c r="AY13" s="655"/>
      <c r="AZ13" s="655"/>
      <c r="BA13" s="655"/>
      <c r="BB13" s="655"/>
      <c r="BC13" s="655"/>
      <c r="BD13" s="655"/>
      <c r="BE13" s="655"/>
      <c r="BF13" s="655"/>
      <c r="BG13" s="655"/>
      <c r="BH13" s="655"/>
      <c r="BI13" s="655"/>
      <c r="BJ13" s="655"/>
      <c r="BK13" s="655"/>
      <c r="BL13" s="655"/>
      <c r="BM13" s="655"/>
      <c r="BN13" s="655"/>
      <c r="BO13" s="655"/>
      <c r="BP13" s="655"/>
      <c r="BQ13" s="655"/>
      <c r="BR13" s="655"/>
      <c r="BS13" s="655"/>
      <c r="BT13" s="655"/>
      <c r="BU13" s="655"/>
      <c r="BV13" s="655"/>
      <c r="BW13" s="655"/>
      <c r="BX13" s="655"/>
      <c r="BY13" s="658"/>
      <c r="BZ13" s="658"/>
      <c r="CA13" s="658"/>
      <c r="CB13" s="658"/>
      <c r="CC13" s="658"/>
      <c r="CD13" s="658"/>
      <c r="CE13" s="658"/>
      <c r="CF13" s="658"/>
      <c r="CG13" s="658"/>
      <c r="CH13" s="658"/>
    </row>
    <row s="9038" customFormat="1" customHeight="1" ht="21">
      <c r="A14" s="1416"/>
      <c r="B14" s="1421"/>
      <c r="C14" s="1416"/>
      <c r="D14" s="688"/>
      <c r="E14" s="388"/>
      <c r="F14" s="388"/>
      <c r="G14" s="388"/>
      <c r="H14" s="388"/>
      <c r="I14" s="388"/>
      <c r="J14" s="388"/>
      <c r="K14" s="388"/>
      <c r="L14" s="388"/>
      <c r="M14" s="388"/>
      <c r="N14" s="746"/>
      <c r="O14" s="746"/>
      <c r="P14" s="737"/>
      <c r="Q14" s="737"/>
      <c r="R14" s="737"/>
      <c r="S14" s="737"/>
      <c r="T14" s="434"/>
      <c r="U14" s="737"/>
      <c r="V14" s="433"/>
      <c r="W14" s="433"/>
      <c r="X14" s="433"/>
      <c r="Y14" s="433"/>
    </row>
    <row s="9038" customFormat="1" customHeight="1" ht="14.25">
      <c r="A15" s="1416"/>
      <c r="B15" s="1421"/>
      <c r="C15" s="1416"/>
      <c r="D15" s="688"/>
      <c r="E15" s="1416"/>
      <c r="F15" s="1416"/>
      <c r="G15" s="1416"/>
      <c r="H15" s="1416"/>
      <c r="I15" s="1416"/>
      <c r="J15" s="1416"/>
      <c r="K15" s="1416"/>
      <c r="L15" s="1416"/>
      <c r="M15" s="1416"/>
      <c r="N15" s="1416"/>
      <c r="O15" s="1416"/>
      <c r="P15" s="737"/>
      <c r="Q15" s="737"/>
      <c r="R15" s="737"/>
      <c r="S15" s="737"/>
      <c r="T15" s="434"/>
      <c r="U15" s="737"/>
      <c r="V15" s="433"/>
      <c r="W15" s="433"/>
      <c r="X15" s="433"/>
      <c r="Y15" s="433"/>
    </row>
    <row s="9038" customFormat="1" customHeight="1" ht="0.75">
      <c r="A16" s="1416"/>
      <c r="B16" s="1421"/>
      <c r="C16" s="1416"/>
      <c r="D16" s="688"/>
      <c r="E16" s="1416"/>
      <c r="F16" s="1416"/>
      <c r="G16" s="1416"/>
      <c r="H16" s="1416"/>
      <c r="I16" s="1416"/>
      <c r="J16" s="1416"/>
      <c r="K16" s="1416"/>
      <c r="L16" s="1416"/>
      <c r="M16" s="1416"/>
      <c r="N16" s="1416"/>
      <c r="O16" s="1416"/>
      <c r="P16" s="737"/>
      <c r="Q16" s="737"/>
      <c r="R16" s="737"/>
      <c r="S16" s="737"/>
      <c r="T16" s="434"/>
      <c r="U16" s="737"/>
      <c r="V16" s="433"/>
      <c r="W16" s="433"/>
      <c r="X16" s="433"/>
      <c r="Y16" s="433"/>
    </row>
  </sheetData>
  <sheetProtection formatColumns="0" formatRows="0" autoFilter="0" sort="0" insertRows="0" insertColumns="1" deleteRows="0" deleteColumns="0"/>
  <mergeCells count="21">
    <mergeCell ref="E2:E3"/>
    <mergeCell ref="F2:F3"/>
    <mergeCell ref="G2:G3"/>
    <mergeCell ref="H2:H3"/>
    <mergeCell ref="I2:I3"/>
    <mergeCell ref="A11:A13"/>
    <mergeCell ref="E11:E12"/>
    <mergeCell ref="G11:G12"/>
    <mergeCell ref="H11:H12"/>
    <mergeCell ref="E6:O6"/>
    <mergeCell ref="E9:E10"/>
    <mergeCell ref="G9:G10"/>
    <mergeCell ref="M9:M10"/>
    <mergeCell ref="F9:F10"/>
    <mergeCell ref="F11:F12"/>
    <mergeCell ref="J8:L8"/>
    <mergeCell ref="N9:N10"/>
    <mergeCell ref="O9:O10"/>
    <mergeCell ref="I11:I12"/>
    <mergeCell ref="H9:I9"/>
    <mergeCell ref="J9:L10"/>
  </mergeCells>
  <dataValidations count="1">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M2:O4 L2 O11 M12:O12">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5194D3F-CEF7-0EFC-06F9-0477F867AF88}" mc:Ignorable="x14ac xr xr2 xr3">
  <sheetPr>
    <tabColor rgb="FFCCCCFF"/>
    <pageSetUpPr fitToPage="1"/>
  </sheetPr>
  <dimension ref="A1:L12"/>
  <sheetViews>
    <sheetView topLeftCell="C6" showGridLines="0" zoomScale="90" workbookViewId="0">
      <selection activeCell="A1" sqref="A1"/>
    </sheetView>
  </sheetViews>
  <sheetFormatPr defaultColWidth="9.140625" customHeight="1" defaultRowHeight="14.25"/>
  <cols>
    <col min="1" max="2" style="11357" width="9.140625" hidden="1"/>
    <col min="3" max="3" style="11279" width="3.7109375" customWidth="1"/>
    <col min="4" max="4" style="11357" width="6.28125" customWidth="1"/>
    <col min="5" max="5" style="11357" width="94.8515625" customWidth="1"/>
    <col min="6" max="12" style="11357" width="9.140625"/>
  </cols>
  <sheetData>
    <row customHeight="1" ht="14.25" hidden="1">
      <c r="L1" s="472"/>
    </row>
    <row customHeight="1" ht="14.25" hidden="1"/>
    <row customHeight="1" ht="14.25" hidden="1"/>
    <row customHeight="1" ht="14.25" hidden="1"/>
    <row customHeight="1" ht="14.25" hidden="1"/>
    <row customHeight="1" ht="3">
      <c r="C6" s="295"/>
      <c r="D6" s="271"/>
      <c r="E6" s="271"/>
    </row>
    <row customHeight="1" ht="22.5">
      <c r="C7" s="295"/>
      <c r="D7" s="2135" t="s">
        <v>2209</v>
      </c>
      <c r="E7" s="2135"/>
      <c r="F7" s="475"/>
    </row>
    <row customHeight="1" ht="3">
      <c r="C8" s="295"/>
      <c r="D8" s="271"/>
      <c r="E8" s="271"/>
    </row>
    <row customHeight="1" ht="15.75">
      <c r="C9" s="295"/>
      <c r="D9" s="310" t="s">
        <v>88</v>
      </c>
      <c r="E9" s="313" t="s">
        <v>349</v>
      </c>
    </row>
    <row customHeight="1" ht="12">
      <c r="C10" s="295"/>
      <c r="D10" s="289" t="s">
        <v>109</v>
      </c>
      <c r="E10" s="289" t="s">
        <v>110</v>
      </c>
    </row>
    <row customHeight="1" ht="15" hidden="1">
      <c r="C11" s="295"/>
      <c r="D11" s="318">
        <v>0</v>
      </c>
      <c r="E11" s="355"/>
    </row>
    <row customHeight="1" ht="14.25">
      <c r="C12" s="295"/>
      <c r="D12" s="314"/>
      <c r="E12" s="312" t="s">
        <v>2168</v>
      </c>
    </row>
  </sheetData>
  <sheetProtection formatColumns="0" formatRows="0" autoFilter="0" sort="0" insertRows="0" insertColumns="1" deleteRows="0" deleteColumns="0"/>
  <mergeCells count="1">
    <mergeCell ref="D7:E7"/>
  </mergeCells>
  <dataValidations count="1">
    <dataValidation type="textLength" operator="lessThanOrEqual" allowBlank="1" showInputMessage="1" showErrorMessage="1" errorTitle="Ошибка" error="Допускается ввод не более 900 символов!" sqref="E11">
      <formula1>900</formula1>
    </dataValidation>
  </dataValidations>
  <pageMargins left="0.75" right="0.75" top="1.00" bottom="1.00" header="0.50" footer="0.50"/>
  <pageSetup paperSize="9" scale="94" pageOrder="downThenOver" orientation="portrait"/>
  <headerFooter>
    <oddHeader>&amp;L&amp;C&amp;R</oddHeader>
    <oddFooter>&amp;L&amp;C&amp;R</oddFooter>
    <evenHeader>&amp;L&amp;C&amp;R</evenHeader>
    <evenFooter>&amp;L&amp;C&amp;R</evenFooter>
  </headerFooter>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2E46895-6E23-E0EE-12BC-2F684BB8CAAC}" mc:Ignorable="x14ac xr xr2 xr3">
  <sheetPr>
    <tabColor rgb="FFCCCCFF"/>
  </sheetPr>
  <dimension ref="A1:E4"/>
  <sheetViews>
    <sheetView topLeftCell="A1" showGridLines="0" zoomScale="90" workbookViewId="0">
      <selection activeCell="A1" sqref="A1"/>
    </sheetView>
  </sheetViews>
  <sheetFormatPr defaultColWidth="9.140625" customHeight="1" defaultRowHeight="11.25"/>
  <cols>
    <col min="1" max="1" style="11403" width="1.7109375" customWidth="1"/>
    <col min="2" max="2" style="11403" width="34.57421875" customWidth="1"/>
    <col min="3" max="3" style="11403" width="85.57421875" customWidth="1"/>
    <col min="4" max="4" style="11403" width="17.7109375" customWidth="1"/>
    <col min="5" max="5" style="11403" width="9.140625"/>
  </cols>
  <sheetData>
    <row customHeight="1" ht="3"/>
    <row customHeight="1" ht="22.5">
      <c r="B2" s="2722" t="s">
        <v>2210</v>
      </c>
      <c r="C2" s="2722"/>
      <c r="D2" s="2722"/>
      <c r="E2" s="476"/>
    </row>
    <row customHeight="1" ht="3"/>
    <row customHeight="1" ht="21.75">
      <c r="B4" s="614" t="s">
        <v>2211</v>
      </c>
      <c r="C4" s="614" t="s">
        <v>2212</v>
      </c>
      <c r="D4" s="614" t="s">
        <v>2213</v>
      </c>
    </row>
  </sheetData>
  <sheetProtection formatColumns="0" formatRows="0" autoFilter="0" sort="0" insertRows="0" insertColumns="1" deleteRows="0" deleteColumns="0"/>
  <autoFilter ref="B4:D4"/>
  <mergeCells count="1">
    <mergeCell ref="B2:D2"/>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FF34076-2989-517D-8A0F-F739B399EABE}" mc:Ignorable="x14ac xr xr2 xr3">
  <sheetPr>
    <tabColor rgb="FFFFCC99"/>
  </sheetPr>
  <dimension ref="A1:A1"/>
  <sheetViews>
    <sheetView topLeftCell="A1" showGridLines="0" workbookViewId="0">
      <selection activeCell="A1" sqref="A1"/>
    </sheetView>
  </sheetViews>
  <sheetFormatPr customHeight="1" defaultRowHeight="11.25"/>
  <sheetData>
    <row customHeight="1" ht="11.25">
      <c r="A1" s="267"/>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D45F8A3-3C2D-CE14-5FD9-1AECA34D7174}" mc:Ignorable="x14ac xr xr2 xr3">
  <dimension ref="A1:E8"/>
  <sheetViews>
    <sheetView topLeftCell="A1" showGridLines="0" workbookViewId="0">
      <selection activeCell="A1" sqref="A1"/>
    </sheetView>
  </sheetViews>
  <sheetFormatPr customHeight="1" defaultRowHeight="11.25"/>
  <cols>
    <col min="1" max="1" style="11403" width="10.57421875" customWidth="1"/>
    <col min="2" max="2" style="11403" width="8.7109375" customWidth="1"/>
    <col min="3" max="3" style="11403" width="18.140625" customWidth="1"/>
    <col min="4" max="4" style="11403" width="12.57421875" customWidth="1"/>
  </cols>
  <sheetData>
    <row customHeight="1" ht="11.25">
      <c r="A1" s="992" t="s">
        <v>2214</v>
      </c>
      <c r="B1" s="1003" t="s">
        <v>2215</v>
      </c>
      <c r="C1" s="2723" t="s">
        <v>2216</v>
      </c>
      <c r="D1" s="2724"/>
      <c r="E1" s="1081" t="s">
        <v>2217</v>
      </c>
    </row>
    <row customHeight="1" ht="11.25">
      <c r="A2" s="996"/>
      <c r="B2" s="1004" t="s">
        <v>22</v>
      </c>
      <c r="C2" s="992"/>
      <c r="D2" s="1003"/>
      <c r="E2" s="1081"/>
    </row>
    <row customHeight="1" ht="11.25">
      <c r="A3" s="1007"/>
      <c r="B3" s="1005" t="s">
        <v>28</v>
      </c>
      <c r="C3" s="992"/>
      <c r="D3" s="1003"/>
      <c r="E3" s="1081"/>
    </row>
    <row customHeight="1" ht="11.25">
      <c r="A4" s="1008"/>
      <c r="B4" s="1005" t="s">
        <v>780</v>
      </c>
      <c r="C4" s="992"/>
      <c r="D4" s="1003"/>
      <c r="E4" s="1081"/>
    </row>
    <row customHeight="1" ht="11.25">
      <c r="A5" s="1021"/>
      <c r="B5" s="1005" t="s">
        <v>558</v>
      </c>
      <c r="C5" s="995" t="s">
        <v>523</v>
      </c>
      <c r="D5" s="1127" t="s">
        <v>2218</v>
      </c>
      <c r="E5" s="1081"/>
    </row>
    <row s="11403" customFormat="1" customHeight="1" ht="11.25">
      <c r="A6" s="1006"/>
      <c r="B6" s="1005" t="s">
        <v>786</v>
      </c>
      <c r="C6" s="992"/>
      <c r="D6" s="1003"/>
      <c r="E6" s="1081"/>
    </row>
    <row customHeight="1" ht="11.25">
      <c r="A7" s="994"/>
      <c r="B7" s="1005" t="s">
        <v>788</v>
      </c>
      <c r="C7" s="992"/>
      <c r="D7" s="1003"/>
      <c r="E7" s="1081"/>
    </row>
    <row customHeight="1" ht="11.25">
      <c r="A8" s="995"/>
      <c r="B8" s="1005" t="s">
        <v>787</v>
      </c>
      <c r="C8" s="992"/>
      <c r="D8" s="1003"/>
      <c r="E8" s="1081"/>
    </row>
  </sheetData>
  <sheetProtection formatColumns="0" formatRows="0" autoFilter="0" sort="0" insertRows="0" insertColumns="1" deleteRows="0" deleteColumns="0"/>
  <mergeCells count="1">
    <mergeCell ref="C1:D1"/>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9A61A8F-0C3B-F834-2D24-E143A67F9C33}"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2F5BD57-D70F-A998-528B-26FC9FB4F47D}"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A608137-3D14-5542-4975-C930B5FF65C2}" mc:Ignorable="x14ac xr xr2 xr3">
  <sheetPr>
    <tabColor rgb="FFFFCC99"/>
  </sheetPr>
  <dimension ref="A1:N634"/>
  <sheetViews>
    <sheetView topLeftCell="A1" showGridLines="0" workbookViewId="0">
      <selection activeCell="A1" sqref="A1"/>
    </sheetView>
  </sheetViews>
  <sheetFormatPr defaultColWidth="9.140625" customHeight="1" defaultRowHeight="11.25"/>
  <cols>
    <col min="1" max="2" style="11403" width="9.140625"/>
    <col min="3" max="3" style="11403" width="20.7109375" customWidth="1"/>
    <col min="4" max="4" style="11403" width="25.140625" customWidth="1"/>
    <col min="5" max="9" style="11403" width="9.140625"/>
  </cols>
  <sheetData>
    <row customHeight="1" ht="11.25">
      <c r="A1" s="269" t="s">
        <v>2219</v>
      </c>
      <c r="B1" s="269" t="s">
        <v>2220</v>
      </c>
      <c r="C1" s="269" t="s">
        <v>2221</v>
      </c>
      <c r="D1" s="269" t="s">
        <v>2222</v>
      </c>
      <c r="E1" s="269" t="s">
        <v>2223</v>
      </c>
      <c r="F1" s="269" t="s">
        <v>2224</v>
      </c>
      <c r="G1" s="269" t="s">
        <v>2225</v>
      </c>
      <c r="H1" s="269" t="s">
        <v>2226</v>
      </c>
      <c r="I1" s="269" t="s">
        <v>2227</v>
      </c>
      <c r="J1" s="93" t="s">
        <v>2228</v>
      </c>
      <c r="K1" s="93" t="s">
        <v>2229</v>
      </c>
      <c r="L1" s="93" t="s">
        <v>2230</v>
      </c>
      <c r="M1" s="93" t="s">
        <v>2231</v>
      </c>
      <c r="N1" s="93" t="s">
        <v>2232</v>
      </c>
    </row>
    <row customHeight="1" ht="11.25">
      <c r="A2" s="8274" t="s">
        <v>2233</v>
      </c>
      <c r="B2" s="8274" t="s">
        <v>14</v>
      </c>
      <c r="C2" s="8274" t="s">
        <v>2234</v>
      </c>
      <c r="D2" s="8274" t="s">
        <v>2235</v>
      </c>
      <c r="E2" s="8274" t="s">
        <v>2236</v>
      </c>
      <c r="F2" s="8274" t="s">
        <v>2237</v>
      </c>
      <c r="G2" s="8274" t="s">
        <v>2238</v>
      </c>
      <c r="H2" s="8274" t="s">
        <v>17</v>
      </c>
      <c r="I2" s="8274" t="s">
        <v>2239</v>
      </c>
      <c r="J2" s="93" t="s">
        <v>17</v>
      </c>
      <c r="K2" s="93" t="s">
        <v>931</v>
      </c>
      <c r="L2" s="93" t="s">
        <v>2240</v>
      </c>
      <c r="M2" s="93" t="s">
        <v>2241</v>
      </c>
      <c r="N2" s="93" t="s">
        <v>462</v>
      </c>
    </row>
    <row customHeight="1" ht="11.25">
      <c r="A3" s="8274" t="s">
        <v>2233</v>
      </c>
      <c r="B3" s="8274" t="s">
        <v>14</v>
      </c>
      <c r="C3" s="8274" t="s">
        <v>2242</v>
      </c>
      <c r="D3" s="8274" t="s">
        <v>2243</v>
      </c>
      <c r="E3" s="8274" t="s">
        <v>2244</v>
      </c>
      <c r="F3" s="8274" t="s">
        <v>2245</v>
      </c>
      <c r="G3" s="8274" t="s">
        <v>2246</v>
      </c>
      <c r="H3" s="8274" t="s">
        <v>17</v>
      </c>
      <c r="I3" s="8274" t="s">
        <v>2247</v>
      </c>
      <c r="J3" s="93" t="s">
        <v>17</v>
      </c>
      <c r="K3" s="93" t="s">
        <v>931</v>
      </c>
      <c r="L3" s="93" t="s">
        <v>2240</v>
      </c>
      <c r="M3" s="93" t="s">
        <v>2241</v>
      </c>
      <c r="N3" s="93" t="s">
        <v>462</v>
      </c>
    </row>
    <row customHeight="1" ht="11.25">
      <c r="A4" s="8274" t="s">
        <v>2233</v>
      </c>
      <c r="B4" s="8274" t="s">
        <v>14</v>
      </c>
      <c r="C4" s="8274" t="s">
        <v>2248</v>
      </c>
      <c r="D4" s="8274" t="s">
        <v>2249</v>
      </c>
      <c r="E4" s="8274" t="s">
        <v>2250</v>
      </c>
      <c r="F4" s="8274" t="s">
        <v>2251</v>
      </c>
      <c r="G4" s="8274" t="s">
        <v>17</v>
      </c>
      <c r="H4" s="8274" t="s">
        <v>17</v>
      </c>
      <c r="I4" s="8274" t="s">
        <v>2252</v>
      </c>
      <c r="J4" s="93" t="s">
        <v>17</v>
      </c>
      <c r="K4" s="93" t="s">
        <v>975</v>
      </c>
      <c r="L4" s="93" t="s">
        <v>2253</v>
      </c>
      <c r="M4" s="93" t="s">
        <v>2254</v>
      </c>
      <c r="N4" s="93" t="s">
        <v>462</v>
      </c>
    </row>
    <row customHeight="1" ht="11.25">
      <c r="A5" s="8274" t="s">
        <v>2233</v>
      </c>
      <c r="B5" s="8274" t="s">
        <v>14</v>
      </c>
      <c r="C5" s="8274" t="s">
        <v>2255</v>
      </c>
      <c r="D5" s="8274" t="s">
        <v>2256</v>
      </c>
      <c r="E5" s="8274" t="s">
        <v>2257</v>
      </c>
      <c r="F5" s="8274" t="s">
        <v>2251</v>
      </c>
      <c r="G5" s="8274" t="s">
        <v>17</v>
      </c>
      <c r="H5" s="8274" t="s">
        <v>17</v>
      </c>
      <c r="I5" s="8274" t="s">
        <v>2258</v>
      </c>
      <c r="J5" s="93" t="s">
        <v>17</v>
      </c>
      <c r="K5" s="93" t="s">
        <v>975</v>
      </c>
      <c r="L5" s="93" t="s">
        <v>2253</v>
      </c>
      <c r="M5" s="93" t="s">
        <v>2254</v>
      </c>
      <c r="N5" s="93" t="s">
        <v>462</v>
      </c>
    </row>
    <row customHeight="1" ht="11.25">
      <c r="A6" s="8274" t="s">
        <v>2233</v>
      </c>
      <c r="B6" s="8274" t="s">
        <v>14</v>
      </c>
      <c r="C6" s="8274" t="s">
        <v>2255</v>
      </c>
      <c r="D6" s="8274" t="s">
        <v>2256</v>
      </c>
      <c r="E6" s="8274" t="s">
        <v>2257</v>
      </c>
      <c r="F6" s="8274" t="s">
        <v>2251</v>
      </c>
      <c r="G6" s="8274" t="s">
        <v>17</v>
      </c>
      <c r="H6" s="8274" t="s">
        <v>17</v>
      </c>
      <c r="I6" s="8274" t="s">
        <v>2259</v>
      </c>
      <c r="J6" s="93" t="s">
        <v>17</v>
      </c>
      <c r="K6" s="93" t="s">
        <v>991</v>
      </c>
      <c r="L6" s="93" t="s">
        <v>2260</v>
      </c>
      <c r="M6" s="93" t="s">
        <v>2261</v>
      </c>
      <c r="N6" s="93" t="s">
        <v>462</v>
      </c>
    </row>
    <row customHeight="1" ht="11.25">
      <c r="A7" s="8274" t="s">
        <v>2233</v>
      </c>
      <c r="B7" s="8274" t="s">
        <v>14</v>
      </c>
      <c r="C7" s="8274" t="s">
        <v>2255</v>
      </c>
      <c r="D7" s="8274" t="s">
        <v>2256</v>
      </c>
      <c r="E7" s="8274" t="s">
        <v>2257</v>
      </c>
      <c r="F7" s="8274" t="s">
        <v>2251</v>
      </c>
      <c r="G7" s="8274" t="s">
        <v>17</v>
      </c>
      <c r="H7" s="8274" t="s">
        <v>17</v>
      </c>
      <c r="I7" s="8274" t="s">
        <v>2259</v>
      </c>
      <c r="J7" s="93" t="s">
        <v>17</v>
      </c>
      <c r="K7" s="93" t="s">
        <v>931</v>
      </c>
      <c r="L7" s="93" t="s">
        <v>2240</v>
      </c>
      <c r="M7" s="93" t="s">
        <v>2241</v>
      </c>
      <c r="N7" s="93" t="s">
        <v>462</v>
      </c>
    </row>
    <row customHeight="1" ht="11.25">
      <c r="A8" s="8274" t="s">
        <v>2233</v>
      </c>
      <c r="B8" s="8274" t="s">
        <v>14</v>
      </c>
      <c r="C8" s="8274" t="s">
        <v>2262</v>
      </c>
      <c r="D8" s="8274" t="s">
        <v>2263</v>
      </c>
      <c r="E8" s="8274" t="s">
        <v>2264</v>
      </c>
      <c r="F8" s="8274" t="s">
        <v>2245</v>
      </c>
      <c r="G8" s="8274" t="s">
        <v>2265</v>
      </c>
      <c r="H8" s="8274" t="s">
        <v>17</v>
      </c>
      <c r="I8" s="8274" t="s">
        <v>2259</v>
      </c>
      <c r="J8" s="93" t="s">
        <v>17</v>
      </c>
      <c r="K8" s="93" t="s">
        <v>899</v>
      </c>
      <c r="L8" s="93" t="s">
        <v>2266</v>
      </c>
      <c r="M8" s="93" t="s">
        <v>2267</v>
      </c>
      <c r="N8" s="93" t="s">
        <v>462</v>
      </c>
    </row>
    <row customHeight="1" ht="11.25">
      <c r="A9" s="8274" t="s">
        <v>2233</v>
      </c>
      <c r="B9" s="8274" t="s">
        <v>14</v>
      </c>
      <c r="C9" s="8274" t="s">
        <v>2262</v>
      </c>
      <c r="D9" s="8274" t="s">
        <v>2263</v>
      </c>
      <c r="E9" s="8274" t="s">
        <v>2264</v>
      </c>
      <c r="F9" s="8274" t="s">
        <v>2245</v>
      </c>
      <c r="G9" s="8274" t="s">
        <v>2265</v>
      </c>
      <c r="H9" s="8274" t="s">
        <v>17</v>
      </c>
      <c r="I9" s="8274" t="s">
        <v>2259</v>
      </c>
      <c r="J9" s="93" t="s">
        <v>17</v>
      </c>
      <c r="K9" s="93" t="s">
        <v>836</v>
      </c>
      <c r="L9" s="93" t="s">
        <v>2268</v>
      </c>
      <c r="M9" s="93" t="s">
        <v>2269</v>
      </c>
      <c r="N9" s="93" t="s">
        <v>462</v>
      </c>
    </row>
    <row customHeight="1" ht="11.25">
      <c r="A10" s="8274" t="s">
        <v>2233</v>
      </c>
      <c r="B10" s="8274" t="s">
        <v>14</v>
      </c>
      <c r="C10" s="8274" t="s">
        <v>2262</v>
      </c>
      <c r="D10" s="8274" t="s">
        <v>2263</v>
      </c>
      <c r="E10" s="8274" t="s">
        <v>2264</v>
      </c>
      <c r="F10" s="8274" t="s">
        <v>2245</v>
      </c>
      <c r="G10" s="8274" t="s">
        <v>2265</v>
      </c>
      <c r="H10" s="8274" t="s">
        <v>17</v>
      </c>
      <c r="I10" s="8274" t="s">
        <v>2259</v>
      </c>
      <c r="J10" s="0" t="s">
        <v>17</v>
      </c>
      <c r="K10" s="0" t="s">
        <v>931</v>
      </c>
      <c r="L10" s="0" t="s">
        <v>2268</v>
      </c>
      <c r="M10" s="0" t="s">
        <v>2269</v>
      </c>
      <c r="N10" s="0" t="s">
        <v>462</v>
      </c>
    </row>
    <row customHeight="1" ht="11.25">
      <c r="A11" s="8274" t="s">
        <v>2233</v>
      </c>
      <c r="B11" s="8274" t="s">
        <v>14</v>
      </c>
      <c r="C11" s="8274" t="s">
        <v>2262</v>
      </c>
      <c r="D11" s="8274" t="s">
        <v>2263</v>
      </c>
      <c r="E11" s="8274" t="s">
        <v>2264</v>
      </c>
      <c r="F11" s="8274" t="s">
        <v>2245</v>
      </c>
      <c r="G11" s="8274" t="s">
        <v>2265</v>
      </c>
      <c r="H11" s="8274" t="s">
        <v>17</v>
      </c>
      <c r="I11" s="8274" t="s">
        <v>2259</v>
      </c>
      <c r="J11" s="0" t="s">
        <v>17</v>
      </c>
      <c r="K11" s="0" t="s">
        <v>899</v>
      </c>
      <c r="L11" s="0" t="s">
        <v>2268</v>
      </c>
      <c r="M11" s="0" t="s">
        <v>2269</v>
      </c>
      <c r="N11" s="0" t="s">
        <v>462</v>
      </c>
    </row>
    <row customHeight="1" ht="11.25">
      <c r="A12" s="8274" t="s">
        <v>2233</v>
      </c>
      <c r="B12" s="8274" t="s">
        <v>14</v>
      </c>
      <c r="C12" s="8274" t="s">
        <v>2270</v>
      </c>
      <c r="D12" s="8274" t="s">
        <v>2271</v>
      </c>
      <c r="E12" s="8274" t="s">
        <v>2272</v>
      </c>
      <c r="F12" s="8274" t="s">
        <v>2273</v>
      </c>
      <c r="G12" s="8274" t="s">
        <v>17</v>
      </c>
      <c r="H12" s="8274" t="s">
        <v>17</v>
      </c>
      <c r="I12" s="8274" t="s">
        <v>2274</v>
      </c>
      <c r="J12" s="0" t="s">
        <v>17</v>
      </c>
      <c r="K12" s="0" t="s">
        <v>931</v>
      </c>
      <c r="L12" s="0" t="s">
        <v>2240</v>
      </c>
      <c r="M12" s="0" t="s">
        <v>2241</v>
      </c>
      <c r="N12" s="0" t="s">
        <v>462</v>
      </c>
    </row>
    <row customHeight="1" ht="11.25">
      <c r="A13" s="8274" t="s">
        <v>2233</v>
      </c>
      <c r="B13" s="8274" t="s">
        <v>14</v>
      </c>
      <c r="C13" s="8274" t="s">
        <v>2275</v>
      </c>
      <c r="D13" s="8274" t="s">
        <v>2276</v>
      </c>
      <c r="E13" s="8274" t="s">
        <v>2277</v>
      </c>
      <c r="F13" s="8274" t="s">
        <v>2278</v>
      </c>
      <c r="G13" s="8274" t="s">
        <v>17</v>
      </c>
      <c r="H13" s="8274" t="s">
        <v>17</v>
      </c>
      <c r="I13" s="8274" t="s">
        <v>2279</v>
      </c>
      <c r="J13" s="0" t="s">
        <v>17</v>
      </c>
      <c r="K13" s="0" t="s">
        <v>836</v>
      </c>
      <c r="L13" s="0" t="s">
        <v>2280</v>
      </c>
      <c r="M13" s="0" t="s">
        <v>2281</v>
      </c>
      <c r="N13" s="0" t="s">
        <v>462</v>
      </c>
    </row>
    <row customHeight="1" ht="11.25">
      <c r="A14" s="8274" t="s">
        <v>2233</v>
      </c>
      <c r="B14" s="8274" t="s">
        <v>14</v>
      </c>
      <c r="C14" s="8274" t="s">
        <v>2275</v>
      </c>
      <c r="D14" s="8274" t="s">
        <v>2276</v>
      </c>
      <c r="E14" s="8274" t="s">
        <v>2277</v>
      </c>
      <c r="F14" s="8274" t="s">
        <v>2278</v>
      </c>
      <c r="G14" s="8274" t="s">
        <v>17</v>
      </c>
      <c r="H14" s="8274" t="s">
        <v>17</v>
      </c>
      <c r="I14" s="8274" t="s">
        <v>2279</v>
      </c>
      <c r="J14" s="0" t="s">
        <v>17</v>
      </c>
      <c r="K14" s="0" t="s">
        <v>899</v>
      </c>
      <c r="L14" s="0" t="s">
        <v>2280</v>
      </c>
      <c r="M14" s="0" t="s">
        <v>2281</v>
      </c>
      <c r="N14" s="0" t="s">
        <v>462</v>
      </c>
    </row>
    <row customHeight="1" ht="11.25">
      <c r="A15" s="8274" t="s">
        <v>2233</v>
      </c>
      <c r="B15" s="8274" t="s">
        <v>14</v>
      </c>
      <c r="C15" s="8274" t="s">
        <v>2282</v>
      </c>
      <c r="D15" s="8274" t="s">
        <v>2283</v>
      </c>
      <c r="E15" s="8274" t="s">
        <v>2284</v>
      </c>
      <c r="F15" s="8274" t="s">
        <v>2285</v>
      </c>
      <c r="G15" s="8274" t="s">
        <v>17</v>
      </c>
      <c r="H15" s="8274" t="s">
        <v>17</v>
      </c>
      <c r="I15" s="8274" t="s">
        <v>2286</v>
      </c>
      <c r="J15" s="0" t="s">
        <v>17</v>
      </c>
      <c r="K15" s="0" t="s">
        <v>991</v>
      </c>
      <c r="L15" s="0" t="s">
        <v>2260</v>
      </c>
      <c r="M15" s="0" t="s">
        <v>2261</v>
      </c>
      <c r="N15" s="0" t="s">
        <v>462</v>
      </c>
    </row>
    <row customHeight="1" ht="11.25">
      <c r="A16" s="8274" t="s">
        <v>2233</v>
      </c>
      <c r="B16" s="8274" t="s">
        <v>14</v>
      </c>
      <c r="C16" s="8274" t="s">
        <v>2287</v>
      </c>
      <c r="D16" s="8274" t="s">
        <v>2288</v>
      </c>
      <c r="E16" s="8274" t="s">
        <v>2289</v>
      </c>
      <c r="F16" s="8274" t="s">
        <v>2290</v>
      </c>
      <c r="G16" s="8274" t="s">
        <v>17</v>
      </c>
      <c r="H16" s="8274" t="s">
        <v>17</v>
      </c>
      <c r="I16" s="8274" t="s">
        <v>2259</v>
      </c>
      <c r="J16" s="0" t="s">
        <v>17</v>
      </c>
      <c r="K16" s="0" t="s">
        <v>931</v>
      </c>
      <c r="L16" s="0" t="s">
        <v>2240</v>
      </c>
      <c r="M16" s="0" t="s">
        <v>2241</v>
      </c>
      <c r="N16" s="0" t="s">
        <v>462</v>
      </c>
    </row>
    <row customHeight="1" ht="11.25">
      <c r="A17" s="8274" t="s">
        <v>2233</v>
      </c>
      <c r="B17" s="8274" t="s">
        <v>14</v>
      </c>
      <c r="C17" s="8274" t="s">
        <v>2291</v>
      </c>
      <c r="D17" s="8274" t="s">
        <v>2292</v>
      </c>
      <c r="E17" s="8274" t="s">
        <v>2293</v>
      </c>
      <c r="F17" s="8274" t="s">
        <v>2294</v>
      </c>
      <c r="G17" s="8274" t="s">
        <v>17</v>
      </c>
      <c r="H17" s="8274" t="s">
        <v>17</v>
      </c>
      <c r="I17" s="8274" t="s">
        <v>2295</v>
      </c>
      <c r="J17" s="0" t="s">
        <v>17</v>
      </c>
      <c r="K17" s="0" t="s">
        <v>931</v>
      </c>
      <c r="L17" s="0" t="s">
        <v>2240</v>
      </c>
      <c r="M17" s="0" t="s">
        <v>2241</v>
      </c>
      <c r="N17" s="0" t="s">
        <v>462</v>
      </c>
    </row>
    <row customHeight="1" ht="11.25">
      <c r="A18" s="8274" t="s">
        <v>2233</v>
      </c>
      <c r="B18" s="8274" t="s">
        <v>14</v>
      </c>
      <c r="C18" s="8274" t="s">
        <v>2296</v>
      </c>
      <c r="D18" s="8274" t="s">
        <v>2297</v>
      </c>
      <c r="E18" s="8274" t="s">
        <v>2298</v>
      </c>
      <c r="F18" s="8274" t="s">
        <v>2273</v>
      </c>
      <c r="G18" s="8274" t="s">
        <v>17</v>
      </c>
      <c r="H18" s="8274" t="s">
        <v>17</v>
      </c>
      <c r="I18" s="8274" t="s">
        <v>2259</v>
      </c>
      <c r="J18" s="0" t="s">
        <v>17</v>
      </c>
      <c r="K18" s="0" t="s">
        <v>975</v>
      </c>
      <c r="L18" s="0" t="s">
        <v>2253</v>
      </c>
      <c r="M18" s="0" t="s">
        <v>2254</v>
      </c>
      <c r="N18" s="0" t="s">
        <v>462</v>
      </c>
    </row>
    <row customHeight="1" ht="11.25">
      <c r="A19" s="8274" t="s">
        <v>2233</v>
      </c>
      <c r="B19" s="8274" t="s">
        <v>14</v>
      </c>
      <c r="C19" s="8274" t="s">
        <v>2299</v>
      </c>
      <c r="D19" s="8274" t="s">
        <v>2300</v>
      </c>
      <c r="E19" s="8274" t="s">
        <v>2301</v>
      </c>
      <c r="F19" s="8274" t="s">
        <v>2245</v>
      </c>
      <c r="G19" s="8274" t="s">
        <v>17</v>
      </c>
      <c r="H19" s="8274" t="s">
        <v>17</v>
      </c>
      <c r="I19" s="8274" t="s">
        <v>2302</v>
      </c>
      <c r="J19" s="0" t="s">
        <v>17</v>
      </c>
      <c r="K19" s="0" t="s">
        <v>991</v>
      </c>
      <c r="L19" s="0" t="s">
        <v>2260</v>
      </c>
      <c r="M19" s="0" t="s">
        <v>2261</v>
      </c>
      <c r="N19" s="0" t="s">
        <v>462</v>
      </c>
    </row>
    <row customHeight="1" ht="11.25">
      <c r="A20" s="8274" t="s">
        <v>2233</v>
      </c>
      <c r="B20" s="8274" t="s">
        <v>14</v>
      </c>
      <c r="C20" s="8274" t="s">
        <v>2299</v>
      </c>
      <c r="D20" s="8274" t="s">
        <v>2300</v>
      </c>
      <c r="E20" s="8274" t="s">
        <v>2301</v>
      </c>
      <c r="F20" s="8274" t="s">
        <v>2245</v>
      </c>
      <c r="G20" s="8274" t="s">
        <v>17</v>
      </c>
      <c r="H20" s="8274" t="s">
        <v>17</v>
      </c>
      <c r="I20" s="8274" t="s">
        <v>2303</v>
      </c>
      <c r="J20" s="0" t="s">
        <v>17</v>
      </c>
      <c r="K20" s="0" t="s">
        <v>836</v>
      </c>
      <c r="L20" s="0" t="s">
        <v>2304</v>
      </c>
      <c r="M20" s="0" t="s">
        <v>2305</v>
      </c>
      <c r="N20" s="0" t="s">
        <v>462</v>
      </c>
    </row>
    <row customHeight="1" ht="11.25">
      <c r="A21" s="8274" t="s">
        <v>2233</v>
      </c>
      <c r="B21" s="8274" t="s">
        <v>14</v>
      </c>
      <c r="C21" s="8274" t="s">
        <v>2299</v>
      </c>
      <c r="D21" s="8274" t="s">
        <v>2300</v>
      </c>
      <c r="E21" s="8274" t="s">
        <v>2301</v>
      </c>
      <c r="F21" s="8274" t="s">
        <v>2245</v>
      </c>
      <c r="G21" s="8274" t="s">
        <v>17</v>
      </c>
      <c r="H21" s="8274" t="s">
        <v>17</v>
      </c>
      <c r="I21" s="8274" t="s">
        <v>2306</v>
      </c>
      <c r="J21" s="0" t="s">
        <v>17</v>
      </c>
      <c r="K21" s="0" t="s">
        <v>991</v>
      </c>
      <c r="L21" s="0" t="s">
        <v>2260</v>
      </c>
      <c r="M21" s="0" t="s">
        <v>2261</v>
      </c>
      <c r="N21" s="0" t="s">
        <v>462</v>
      </c>
    </row>
    <row customHeight="1" ht="11.25">
      <c r="A22" s="8274" t="s">
        <v>2233</v>
      </c>
      <c r="B22" s="8274" t="s">
        <v>14</v>
      </c>
      <c r="C22" s="8274" t="s">
        <v>2299</v>
      </c>
      <c r="D22" s="8274" t="s">
        <v>2300</v>
      </c>
      <c r="E22" s="8274" t="s">
        <v>2301</v>
      </c>
      <c r="F22" s="8274" t="s">
        <v>2245</v>
      </c>
      <c r="G22" s="8274" t="s">
        <v>17</v>
      </c>
      <c r="H22" s="8274" t="s">
        <v>17</v>
      </c>
      <c r="I22" s="8274" t="s">
        <v>2306</v>
      </c>
      <c r="J22" s="0" t="s">
        <v>17</v>
      </c>
      <c r="K22" s="0" t="s">
        <v>975</v>
      </c>
      <c r="L22" s="0" t="s">
        <v>2253</v>
      </c>
      <c r="M22" s="0" t="s">
        <v>2254</v>
      </c>
      <c r="N22" s="0" t="s">
        <v>462</v>
      </c>
    </row>
    <row customHeight="1" ht="11.25">
      <c r="A23" s="8274" t="s">
        <v>2233</v>
      </c>
      <c r="B23" s="8274" t="s">
        <v>14</v>
      </c>
      <c r="C23" s="8274" t="s">
        <v>2299</v>
      </c>
      <c r="D23" s="8274" t="s">
        <v>2300</v>
      </c>
      <c r="E23" s="8274" t="s">
        <v>2301</v>
      </c>
      <c r="F23" s="8274" t="s">
        <v>2245</v>
      </c>
      <c r="G23" s="8274" t="s">
        <v>17</v>
      </c>
      <c r="H23" s="8274" t="s">
        <v>17</v>
      </c>
      <c r="I23" s="8274" t="s">
        <v>2306</v>
      </c>
      <c r="J23" s="0" t="s">
        <v>17</v>
      </c>
      <c r="K23" s="0" t="s">
        <v>836</v>
      </c>
      <c r="L23" s="0" t="s">
        <v>2304</v>
      </c>
      <c r="M23" s="0" t="s">
        <v>2305</v>
      </c>
      <c r="N23" s="0" t="s">
        <v>462</v>
      </c>
    </row>
    <row customHeight="1" ht="11.25">
      <c r="A24" s="8274" t="s">
        <v>2233</v>
      </c>
      <c r="B24" s="8274" t="s">
        <v>14</v>
      </c>
      <c r="C24" s="8274" t="s">
        <v>2307</v>
      </c>
      <c r="D24" s="8274" t="s">
        <v>2308</v>
      </c>
      <c r="E24" s="8274" t="s">
        <v>2309</v>
      </c>
      <c r="F24" s="8274" t="s">
        <v>2310</v>
      </c>
      <c r="G24" s="8274" t="s">
        <v>17</v>
      </c>
      <c r="H24" s="8274" t="s">
        <v>17</v>
      </c>
      <c r="I24" s="8274" t="s">
        <v>2311</v>
      </c>
      <c r="J24" s="0" t="s">
        <v>17</v>
      </c>
      <c r="K24" s="0" t="s">
        <v>931</v>
      </c>
      <c r="L24" s="0" t="s">
        <v>2240</v>
      </c>
      <c r="M24" s="0" t="s">
        <v>2241</v>
      </c>
      <c r="N24" s="0" t="s">
        <v>462</v>
      </c>
    </row>
    <row customHeight="1" ht="11.25">
      <c r="A25" s="8274" t="s">
        <v>2233</v>
      </c>
      <c r="B25" s="8274" t="s">
        <v>14</v>
      </c>
      <c r="C25" s="8274" t="s">
        <v>2312</v>
      </c>
      <c r="D25" s="8274" t="s">
        <v>2313</v>
      </c>
      <c r="E25" s="8274" t="s">
        <v>2314</v>
      </c>
      <c r="F25" s="8274" t="s">
        <v>2315</v>
      </c>
      <c r="G25" s="8274" t="s">
        <v>17</v>
      </c>
      <c r="H25" s="8274" t="s">
        <v>17</v>
      </c>
      <c r="I25" s="8274" t="s">
        <v>2316</v>
      </c>
      <c r="J25" s="0" t="s">
        <v>17</v>
      </c>
      <c r="K25" s="0" t="s">
        <v>836</v>
      </c>
      <c r="L25" s="0" t="s">
        <v>2317</v>
      </c>
      <c r="M25" s="0" t="s">
        <v>2318</v>
      </c>
      <c r="N25" s="0" t="s">
        <v>462</v>
      </c>
    </row>
    <row customHeight="1" ht="11.25">
      <c r="A26" s="8274" t="s">
        <v>2233</v>
      </c>
      <c r="B26" s="8274" t="s">
        <v>14</v>
      </c>
      <c r="C26" s="8274" t="s">
        <v>2312</v>
      </c>
      <c r="D26" s="8274" t="s">
        <v>2313</v>
      </c>
      <c r="E26" s="8274" t="s">
        <v>2314</v>
      </c>
      <c r="F26" s="8274" t="s">
        <v>2315</v>
      </c>
      <c r="G26" s="8274" t="s">
        <v>17</v>
      </c>
      <c r="H26" s="8274" t="s">
        <v>17</v>
      </c>
      <c r="I26" s="8274" t="s">
        <v>2316</v>
      </c>
      <c r="J26" s="0" t="s">
        <v>17</v>
      </c>
      <c r="K26" s="0" t="s">
        <v>899</v>
      </c>
      <c r="L26" s="0" t="s">
        <v>2317</v>
      </c>
      <c r="M26" s="0" t="s">
        <v>2318</v>
      </c>
      <c r="N26" s="0" t="s">
        <v>462</v>
      </c>
    </row>
    <row customHeight="1" ht="11.25">
      <c r="A27" s="8274" t="s">
        <v>2233</v>
      </c>
      <c r="B27" s="8274" t="s">
        <v>14</v>
      </c>
      <c r="C27" s="8274" t="s">
        <v>2319</v>
      </c>
      <c r="D27" s="8274" t="s">
        <v>2320</v>
      </c>
      <c r="E27" s="8274" t="s">
        <v>2321</v>
      </c>
      <c r="F27" s="8274" t="s">
        <v>2322</v>
      </c>
      <c r="G27" s="8274" t="s">
        <v>17</v>
      </c>
      <c r="H27" s="8274" t="s">
        <v>17</v>
      </c>
      <c r="I27" s="8274" t="s">
        <v>2259</v>
      </c>
      <c r="J27" s="0" t="s">
        <v>17</v>
      </c>
      <c r="K27" s="0" t="s">
        <v>836</v>
      </c>
      <c r="L27" s="0" t="s">
        <v>2323</v>
      </c>
      <c r="M27" s="0" t="s">
        <v>2324</v>
      </c>
      <c r="N27" s="0" t="s">
        <v>462</v>
      </c>
    </row>
    <row customHeight="1" ht="11.25">
      <c r="A28" s="8274" t="s">
        <v>2233</v>
      </c>
      <c r="B28" s="8274" t="s">
        <v>14</v>
      </c>
      <c r="C28" s="8274" t="s">
        <v>2325</v>
      </c>
      <c r="D28" s="8274" t="s">
        <v>2326</v>
      </c>
      <c r="E28" s="8274" t="s">
        <v>2327</v>
      </c>
      <c r="F28" s="8274" t="s">
        <v>2328</v>
      </c>
      <c r="G28" s="8274" t="s">
        <v>17</v>
      </c>
      <c r="H28" s="8274" t="s">
        <v>17</v>
      </c>
      <c r="I28" s="8274" t="s">
        <v>2329</v>
      </c>
      <c r="J28" s="0" t="s">
        <v>17</v>
      </c>
      <c r="K28" s="0" t="s">
        <v>899</v>
      </c>
      <c r="L28" s="0" t="s">
        <v>2266</v>
      </c>
      <c r="M28" s="0" t="s">
        <v>2267</v>
      </c>
      <c r="N28" s="0" t="s">
        <v>462</v>
      </c>
    </row>
    <row customHeight="1" ht="11.25">
      <c r="A29" s="8274" t="s">
        <v>2233</v>
      </c>
      <c r="B29" s="8274" t="s">
        <v>14</v>
      </c>
      <c r="C29" s="8274" t="s">
        <v>2330</v>
      </c>
      <c r="D29" s="8274" t="s">
        <v>2331</v>
      </c>
      <c r="E29" s="8274" t="s">
        <v>2332</v>
      </c>
      <c r="F29" s="8274" t="s">
        <v>2333</v>
      </c>
      <c r="G29" s="8274" t="s">
        <v>17</v>
      </c>
      <c r="H29" s="8274" t="s">
        <v>17</v>
      </c>
      <c r="I29" s="8274" t="s">
        <v>2259</v>
      </c>
      <c r="J29" s="0" t="s">
        <v>17</v>
      </c>
      <c r="K29" s="0" t="s">
        <v>975</v>
      </c>
      <c r="L29" s="0" t="s">
        <v>2253</v>
      </c>
      <c r="M29" s="0" t="s">
        <v>2254</v>
      </c>
      <c r="N29" s="0" t="s">
        <v>462</v>
      </c>
    </row>
    <row customHeight="1" ht="11.25">
      <c r="A30" s="8274" t="s">
        <v>2233</v>
      </c>
      <c r="B30" s="8274" t="s">
        <v>14</v>
      </c>
      <c r="C30" s="8274" t="s">
        <v>2334</v>
      </c>
      <c r="D30" s="8274" t="s">
        <v>2335</v>
      </c>
      <c r="E30" s="8274" t="s">
        <v>2336</v>
      </c>
      <c r="F30" s="8274" t="s">
        <v>2337</v>
      </c>
      <c r="G30" s="8274" t="s">
        <v>2265</v>
      </c>
      <c r="H30" s="8274" t="s">
        <v>17</v>
      </c>
      <c r="I30" s="8274" t="s">
        <v>2247</v>
      </c>
      <c r="J30" s="0" t="s">
        <v>17</v>
      </c>
      <c r="K30" s="0" t="s">
        <v>836</v>
      </c>
      <c r="L30" s="0" t="s">
        <v>2268</v>
      </c>
      <c r="M30" s="0" t="s">
        <v>2269</v>
      </c>
      <c r="N30" s="0" t="s">
        <v>462</v>
      </c>
    </row>
    <row customHeight="1" ht="11.25">
      <c r="A31" s="8274" t="s">
        <v>2233</v>
      </c>
      <c r="B31" s="8274" t="s">
        <v>14</v>
      </c>
      <c r="C31" s="8274" t="s">
        <v>2334</v>
      </c>
      <c r="D31" s="8274" t="s">
        <v>2335</v>
      </c>
      <c r="E31" s="8274" t="s">
        <v>2336</v>
      </c>
      <c r="F31" s="8274" t="s">
        <v>2337</v>
      </c>
      <c r="G31" s="8274" t="s">
        <v>2265</v>
      </c>
      <c r="H31" s="8274" t="s">
        <v>17</v>
      </c>
      <c r="I31" s="8274" t="s">
        <v>2247</v>
      </c>
      <c r="J31" s="0" t="s">
        <v>17</v>
      </c>
      <c r="K31" s="0" t="s">
        <v>931</v>
      </c>
      <c r="L31" s="0" t="s">
        <v>2268</v>
      </c>
      <c r="M31" s="0" t="s">
        <v>2269</v>
      </c>
      <c r="N31" s="0" t="s">
        <v>462</v>
      </c>
    </row>
    <row customHeight="1" ht="11.25">
      <c r="A32" s="8274" t="s">
        <v>2233</v>
      </c>
      <c r="B32" s="8274" t="s">
        <v>14</v>
      </c>
      <c r="C32" s="8274" t="s">
        <v>2334</v>
      </c>
      <c r="D32" s="8274" t="s">
        <v>2335</v>
      </c>
      <c r="E32" s="8274" t="s">
        <v>2336</v>
      </c>
      <c r="F32" s="8274" t="s">
        <v>2337</v>
      </c>
      <c r="G32" s="8274" t="s">
        <v>2265</v>
      </c>
      <c r="H32" s="8274" t="s">
        <v>17</v>
      </c>
      <c r="I32" s="8274" t="s">
        <v>2247</v>
      </c>
      <c r="J32" s="0" t="s">
        <v>17</v>
      </c>
      <c r="K32" s="0" t="s">
        <v>899</v>
      </c>
      <c r="L32" s="0" t="s">
        <v>2268</v>
      </c>
      <c r="M32" s="0" t="s">
        <v>2269</v>
      </c>
      <c r="N32" s="0" t="s">
        <v>462</v>
      </c>
    </row>
    <row customHeight="1" ht="11.25">
      <c r="A33" s="8274" t="s">
        <v>2233</v>
      </c>
      <c r="B33" s="8274" t="s">
        <v>14</v>
      </c>
      <c r="C33" s="8274" t="s">
        <v>2338</v>
      </c>
      <c r="D33" s="8274" t="s">
        <v>2339</v>
      </c>
      <c r="E33" s="8274" t="s">
        <v>2340</v>
      </c>
      <c r="F33" s="8274" t="s">
        <v>2310</v>
      </c>
      <c r="G33" s="8274" t="s">
        <v>17</v>
      </c>
      <c r="H33" s="8274" t="s">
        <v>17</v>
      </c>
      <c r="I33" s="8274" t="s">
        <v>2247</v>
      </c>
      <c r="J33" s="0" t="s">
        <v>17</v>
      </c>
      <c r="K33" s="0" t="s">
        <v>931</v>
      </c>
      <c r="L33" s="0" t="s">
        <v>2240</v>
      </c>
      <c r="M33" s="0" t="s">
        <v>2241</v>
      </c>
      <c r="N33" s="0" t="s">
        <v>462</v>
      </c>
    </row>
    <row customHeight="1" ht="11.25">
      <c r="A34" s="8274" t="s">
        <v>2233</v>
      </c>
      <c r="B34" s="8274" t="s">
        <v>14</v>
      </c>
      <c r="C34" s="8274" t="s">
        <v>2341</v>
      </c>
      <c r="D34" s="8274" t="s">
        <v>2342</v>
      </c>
      <c r="E34" s="8274" t="s">
        <v>2343</v>
      </c>
      <c r="F34" s="8274" t="s">
        <v>2278</v>
      </c>
      <c r="G34" s="8274" t="s">
        <v>17</v>
      </c>
      <c r="H34" s="8274" t="s">
        <v>17</v>
      </c>
      <c r="I34" s="8274" t="s">
        <v>2344</v>
      </c>
      <c r="J34" s="0" t="s">
        <v>17</v>
      </c>
      <c r="K34" s="0" t="s">
        <v>836</v>
      </c>
      <c r="L34" s="0" t="s">
        <v>2304</v>
      </c>
      <c r="M34" s="0" t="s">
        <v>2305</v>
      </c>
      <c r="N34" s="0" t="s">
        <v>462</v>
      </c>
    </row>
    <row customHeight="1" ht="11.25">
      <c r="A35" s="8274" t="s">
        <v>2233</v>
      </c>
      <c r="B35" s="8274" t="s">
        <v>14</v>
      </c>
      <c r="C35" s="8274" t="s">
        <v>2341</v>
      </c>
      <c r="D35" s="8274" t="s">
        <v>2342</v>
      </c>
      <c r="E35" s="8274" t="s">
        <v>2343</v>
      </c>
      <c r="F35" s="8274" t="s">
        <v>2278</v>
      </c>
      <c r="G35" s="8274" t="s">
        <v>17</v>
      </c>
      <c r="H35" s="8274" t="s">
        <v>17</v>
      </c>
      <c r="I35" s="8274" t="s">
        <v>2345</v>
      </c>
      <c r="J35" s="0" t="s">
        <v>17</v>
      </c>
      <c r="K35" s="0" t="s">
        <v>991</v>
      </c>
      <c r="L35" s="0" t="s">
        <v>2260</v>
      </c>
      <c r="M35" s="0" t="s">
        <v>2261</v>
      </c>
      <c r="N35" s="0" t="s">
        <v>462</v>
      </c>
    </row>
    <row customHeight="1" ht="11.25">
      <c r="A36" s="8274" t="s">
        <v>2233</v>
      </c>
      <c r="B36" s="8274" t="s">
        <v>14</v>
      </c>
      <c r="C36" s="8274" t="s">
        <v>2341</v>
      </c>
      <c r="D36" s="8274" t="s">
        <v>2342</v>
      </c>
      <c r="E36" s="8274" t="s">
        <v>2343</v>
      </c>
      <c r="F36" s="8274" t="s">
        <v>2278</v>
      </c>
      <c r="G36" s="8274" t="s">
        <v>17</v>
      </c>
      <c r="H36" s="8274" t="s">
        <v>17</v>
      </c>
      <c r="I36" s="8274" t="s">
        <v>2346</v>
      </c>
      <c r="J36" s="0" t="s">
        <v>17</v>
      </c>
      <c r="K36" s="0" t="s">
        <v>931</v>
      </c>
      <c r="L36" s="0" t="s">
        <v>2240</v>
      </c>
      <c r="M36" s="0" t="s">
        <v>2241</v>
      </c>
      <c r="N36" s="0" t="s">
        <v>462</v>
      </c>
    </row>
    <row customHeight="1" ht="11.25">
      <c r="A37" s="8274" t="s">
        <v>2233</v>
      </c>
      <c r="B37" s="8274" t="s">
        <v>14</v>
      </c>
      <c r="C37" s="8274" t="s">
        <v>2347</v>
      </c>
      <c r="D37" s="8274" t="s">
        <v>2348</v>
      </c>
      <c r="E37" s="8274" t="s">
        <v>2349</v>
      </c>
      <c r="F37" s="8274" t="s">
        <v>2350</v>
      </c>
      <c r="G37" s="8274" t="s">
        <v>17</v>
      </c>
      <c r="H37" s="8274" t="s">
        <v>17</v>
      </c>
      <c r="I37" s="8274" t="s">
        <v>2316</v>
      </c>
      <c r="J37" s="0" t="s">
        <v>17</v>
      </c>
      <c r="K37" s="0" t="s">
        <v>975</v>
      </c>
      <c r="L37" s="0" t="s">
        <v>2253</v>
      </c>
      <c r="M37" s="0" t="s">
        <v>2254</v>
      </c>
      <c r="N37" s="0" t="s">
        <v>462</v>
      </c>
    </row>
    <row customHeight="1" ht="11.25">
      <c r="A38" s="8274" t="s">
        <v>2233</v>
      </c>
      <c r="B38" s="8274" t="s">
        <v>14</v>
      </c>
      <c r="C38" s="8274" t="s">
        <v>2351</v>
      </c>
      <c r="D38" s="8274" t="s">
        <v>2352</v>
      </c>
      <c r="E38" s="8274" t="s">
        <v>2349</v>
      </c>
      <c r="F38" s="8274" t="s">
        <v>2353</v>
      </c>
      <c r="G38" s="8274" t="s">
        <v>17</v>
      </c>
      <c r="H38" s="8274" t="s">
        <v>17</v>
      </c>
      <c r="I38" s="8274" t="s">
        <v>2316</v>
      </c>
      <c r="J38" s="0" t="s">
        <v>17</v>
      </c>
      <c r="K38" s="0" t="s">
        <v>931</v>
      </c>
      <c r="L38" s="0" t="s">
        <v>2240</v>
      </c>
      <c r="M38" s="0" t="s">
        <v>2241</v>
      </c>
      <c r="N38" s="0" t="s">
        <v>462</v>
      </c>
    </row>
    <row customHeight="1" ht="11.25">
      <c r="A39" s="8274" t="s">
        <v>2233</v>
      </c>
      <c r="B39" s="8274" t="s">
        <v>14</v>
      </c>
      <c r="C39" s="8274" t="s">
        <v>2351</v>
      </c>
      <c r="D39" s="8274" t="s">
        <v>2352</v>
      </c>
      <c r="E39" s="8274" t="s">
        <v>2349</v>
      </c>
      <c r="F39" s="8274" t="s">
        <v>2353</v>
      </c>
      <c r="G39" s="8274" t="s">
        <v>17</v>
      </c>
      <c r="H39" s="8274" t="s">
        <v>17</v>
      </c>
      <c r="I39" s="8274" t="s">
        <v>2354</v>
      </c>
      <c r="J39" s="0" t="s">
        <v>17</v>
      </c>
      <c r="K39" s="0" t="s">
        <v>975</v>
      </c>
      <c r="L39" s="0" t="s">
        <v>2253</v>
      </c>
      <c r="M39" s="0" t="s">
        <v>2254</v>
      </c>
      <c r="N39" s="0" t="s">
        <v>462</v>
      </c>
    </row>
    <row customHeight="1" ht="11.25">
      <c r="A40" s="8274" t="s">
        <v>2233</v>
      </c>
      <c r="B40" s="8274" t="s">
        <v>14</v>
      </c>
      <c r="C40" s="8274" t="s">
        <v>2355</v>
      </c>
      <c r="D40" s="8274" t="s">
        <v>2356</v>
      </c>
      <c r="E40" s="8274" t="s">
        <v>2357</v>
      </c>
      <c r="F40" s="8274" t="s">
        <v>2358</v>
      </c>
      <c r="G40" s="8274" t="s">
        <v>17</v>
      </c>
      <c r="H40" s="8274" t="s">
        <v>17</v>
      </c>
      <c r="I40" s="8274" t="s">
        <v>2247</v>
      </c>
      <c r="J40" s="0" t="s">
        <v>17</v>
      </c>
      <c r="K40" s="0" t="s">
        <v>931</v>
      </c>
      <c r="L40" s="0" t="s">
        <v>2240</v>
      </c>
      <c r="M40" s="0" t="s">
        <v>2241</v>
      </c>
      <c r="N40" s="0" t="s">
        <v>462</v>
      </c>
    </row>
    <row customHeight="1" ht="11.25">
      <c r="A41" s="8274" t="s">
        <v>2233</v>
      </c>
      <c r="B41" s="8274" t="s">
        <v>14</v>
      </c>
      <c r="C41" s="8274" t="s">
        <v>2359</v>
      </c>
      <c r="D41" s="8274" t="s">
        <v>2360</v>
      </c>
      <c r="E41" s="8274" t="s">
        <v>2361</v>
      </c>
      <c r="F41" s="8274" t="s">
        <v>2273</v>
      </c>
      <c r="G41" s="8274" t="s">
        <v>17</v>
      </c>
      <c r="H41" s="8274" t="s">
        <v>17</v>
      </c>
      <c r="I41" s="8274" t="s">
        <v>2259</v>
      </c>
      <c r="J41" s="0" t="s">
        <v>17</v>
      </c>
      <c r="K41" s="0" t="s">
        <v>931</v>
      </c>
      <c r="L41" s="0" t="s">
        <v>2240</v>
      </c>
      <c r="M41" s="0" t="s">
        <v>2241</v>
      </c>
      <c r="N41" s="0" t="s">
        <v>462</v>
      </c>
    </row>
    <row customHeight="1" ht="11.25">
      <c r="A42" s="8274" t="s">
        <v>2233</v>
      </c>
      <c r="B42" s="8274" t="s">
        <v>14</v>
      </c>
      <c r="C42" s="8274" t="s">
        <v>2362</v>
      </c>
      <c r="D42" s="8274" t="s">
        <v>2363</v>
      </c>
      <c r="E42" s="8274" t="s">
        <v>2364</v>
      </c>
      <c r="F42" s="8274" t="s">
        <v>2365</v>
      </c>
      <c r="G42" s="8274" t="s">
        <v>17</v>
      </c>
      <c r="H42" s="8274" t="s">
        <v>17</v>
      </c>
      <c r="I42" s="8274" t="s">
        <v>2259</v>
      </c>
      <c r="J42" s="0" t="s">
        <v>17</v>
      </c>
      <c r="K42" s="0" t="s">
        <v>975</v>
      </c>
      <c r="L42" s="0" t="s">
        <v>2253</v>
      </c>
      <c r="M42" s="0" t="s">
        <v>2254</v>
      </c>
      <c r="N42" s="0" t="s">
        <v>462</v>
      </c>
    </row>
    <row customHeight="1" ht="11.25">
      <c r="A43" s="8274" t="s">
        <v>2233</v>
      </c>
      <c r="B43" s="8274" t="s">
        <v>14</v>
      </c>
      <c r="C43" s="8274" t="s">
        <v>2366</v>
      </c>
      <c r="D43" s="8274" t="s">
        <v>2367</v>
      </c>
      <c r="E43" s="8274" t="s">
        <v>2368</v>
      </c>
      <c r="F43" s="8274" t="s">
        <v>2369</v>
      </c>
      <c r="G43" s="8274" t="s">
        <v>17</v>
      </c>
      <c r="H43" s="8274" t="s">
        <v>17</v>
      </c>
      <c r="I43" s="8274" t="s">
        <v>2247</v>
      </c>
      <c r="J43" s="0" t="s">
        <v>17</v>
      </c>
      <c r="K43" s="0" t="s">
        <v>956</v>
      </c>
      <c r="L43" s="0" t="s">
        <v>2370</v>
      </c>
      <c r="M43" s="0" t="s">
        <v>2371</v>
      </c>
      <c r="N43" s="0" t="s">
        <v>462</v>
      </c>
    </row>
    <row customHeight="1" ht="11.25">
      <c r="A44" s="8274" t="s">
        <v>2233</v>
      </c>
      <c r="B44" s="8274" t="s">
        <v>14</v>
      </c>
      <c r="C44" s="8274" t="s">
        <v>2372</v>
      </c>
      <c r="D44" s="8274" t="s">
        <v>2373</v>
      </c>
      <c r="E44" s="8274" t="s">
        <v>2374</v>
      </c>
      <c r="F44" s="8274" t="s">
        <v>2375</v>
      </c>
      <c r="G44" s="8274" t="s">
        <v>17</v>
      </c>
      <c r="H44" s="8274" t="s">
        <v>17</v>
      </c>
      <c r="I44" s="8274" t="s">
        <v>2247</v>
      </c>
      <c r="J44" s="0" t="s">
        <v>17</v>
      </c>
      <c r="K44" s="0" t="s">
        <v>991</v>
      </c>
      <c r="L44" s="0" t="s">
        <v>2260</v>
      </c>
      <c r="M44" s="0" t="s">
        <v>2261</v>
      </c>
      <c r="N44" s="0" t="s">
        <v>462</v>
      </c>
    </row>
    <row customHeight="1" ht="11.25">
      <c r="A45" s="8274" t="s">
        <v>2233</v>
      </c>
      <c r="B45" s="8274" t="s">
        <v>14</v>
      </c>
      <c r="C45" s="8274" t="s">
        <v>2376</v>
      </c>
      <c r="D45" s="8274" t="s">
        <v>2377</v>
      </c>
      <c r="E45" s="8274" t="s">
        <v>2378</v>
      </c>
      <c r="F45" s="8274" t="s">
        <v>2379</v>
      </c>
      <c r="G45" s="8274" t="s">
        <v>2380</v>
      </c>
      <c r="H45" s="8274" t="s">
        <v>17</v>
      </c>
      <c r="I45" s="8274" t="s">
        <v>2381</v>
      </c>
      <c r="J45" s="0" t="s">
        <v>17</v>
      </c>
      <c r="K45" s="0" t="s">
        <v>863</v>
      </c>
      <c r="L45" s="0" t="s">
        <v>863</v>
      </c>
      <c r="M45" s="0" t="s">
        <v>2382</v>
      </c>
      <c r="N45" s="0" t="s">
        <v>462</v>
      </c>
    </row>
    <row customHeight="1" ht="11.25">
      <c r="A46" s="8274" t="s">
        <v>2233</v>
      </c>
      <c r="B46" s="8274" t="s">
        <v>14</v>
      </c>
      <c r="C46" s="8274" t="s">
        <v>2383</v>
      </c>
      <c r="D46" s="8274" t="s">
        <v>2384</v>
      </c>
      <c r="E46" s="8274" t="s">
        <v>2385</v>
      </c>
      <c r="F46" s="8274" t="s">
        <v>2365</v>
      </c>
      <c r="G46" s="8274" t="s">
        <v>17</v>
      </c>
      <c r="H46" s="8274" t="s">
        <v>17</v>
      </c>
      <c r="I46" s="8274" t="s">
        <v>2259</v>
      </c>
      <c r="J46" s="0" t="s">
        <v>17</v>
      </c>
      <c r="K46" s="0" t="s">
        <v>931</v>
      </c>
      <c r="L46" s="0" t="s">
        <v>2240</v>
      </c>
      <c r="M46" s="0" t="s">
        <v>2241</v>
      </c>
      <c r="N46" s="0" t="s">
        <v>462</v>
      </c>
    </row>
    <row customHeight="1" ht="11.25">
      <c r="A47" s="8274" t="s">
        <v>2233</v>
      </c>
      <c r="B47" s="8274" t="s">
        <v>14</v>
      </c>
      <c r="C47" s="8274" t="s">
        <v>2386</v>
      </c>
      <c r="D47" s="8274" t="s">
        <v>2387</v>
      </c>
      <c r="E47" s="8274" t="s">
        <v>2388</v>
      </c>
      <c r="F47" s="8274" t="s">
        <v>2322</v>
      </c>
      <c r="G47" s="8274" t="s">
        <v>17</v>
      </c>
      <c r="H47" s="8274" t="s">
        <v>17</v>
      </c>
      <c r="I47" s="8274" t="s">
        <v>2389</v>
      </c>
      <c r="J47" s="0" t="s">
        <v>17</v>
      </c>
      <c r="K47" s="0" t="s">
        <v>931</v>
      </c>
      <c r="L47" s="0" t="s">
        <v>2240</v>
      </c>
      <c r="M47" s="0" t="s">
        <v>2241</v>
      </c>
      <c r="N47" s="0" t="s">
        <v>462</v>
      </c>
    </row>
    <row customHeight="1" ht="11.25">
      <c r="A48" s="8274" t="s">
        <v>2233</v>
      </c>
      <c r="B48" s="8274" t="s">
        <v>14</v>
      </c>
      <c r="C48" s="8274" t="s">
        <v>2390</v>
      </c>
      <c r="D48" s="8274" t="s">
        <v>2391</v>
      </c>
      <c r="E48" s="8274" t="s">
        <v>2392</v>
      </c>
      <c r="F48" s="8274" t="s">
        <v>1481</v>
      </c>
      <c r="G48" s="8274" t="s">
        <v>17</v>
      </c>
      <c r="H48" s="8274" t="s">
        <v>17</v>
      </c>
      <c r="I48" s="8274" t="s">
        <v>2393</v>
      </c>
      <c r="J48" s="0" t="s">
        <v>17</v>
      </c>
      <c r="K48" s="0" t="s">
        <v>956</v>
      </c>
      <c r="L48" s="0" t="s">
        <v>2370</v>
      </c>
      <c r="M48" s="0" t="s">
        <v>2371</v>
      </c>
      <c r="N48" s="0" t="s">
        <v>462</v>
      </c>
    </row>
    <row customHeight="1" ht="11.25">
      <c r="A49" s="8274" t="s">
        <v>2233</v>
      </c>
      <c r="B49" s="8274" t="s">
        <v>14</v>
      </c>
      <c r="C49" s="8274" t="s">
        <v>2394</v>
      </c>
      <c r="D49" s="8274" t="s">
        <v>2395</v>
      </c>
      <c r="E49" s="8274" t="s">
        <v>2396</v>
      </c>
      <c r="F49" s="8274" t="s">
        <v>1481</v>
      </c>
      <c r="G49" s="8274" t="s">
        <v>17</v>
      </c>
      <c r="H49" s="8274" t="s">
        <v>17</v>
      </c>
      <c r="I49" s="8274" t="s">
        <v>2397</v>
      </c>
      <c r="J49" s="0" t="s">
        <v>17</v>
      </c>
      <c r="K49" s="0" t="s">
        <v>975</v>
      </c>
      <c r="L49" s="0" t="s">
        <v>2253</v>
      </c>
      <c r="M49" s="0" t="s">
        <v>2254</v>
      </c>
      <c r="N49" s="0" t="s">
        <v>462</v>
      </c>
    </row>
    <row customHeight="1" ht="11.25">
      <c r="A50" s="8274" t="s">
        <v>2233</v>
      </c>
      <c r="B50" s="8274" t="s">
        <v>14</v>
      </c>
      <c r="C50" s="8274" t="s">
        <v>2398</v>
      </c>
      <c r="D50" s="8274" t="s">
        <v>2399</v>
      </c>
      <c r="E50" s="8274" t="s">
        <v>2400</v>
      </c>
      <c r="F50" s="8274" t="s">
        <v>1481</v>
      </c>
      <c r="G50" s="8274" t="s">
        <v>2401</v>
      </c>
      <c r="H50" s="8274" t="s">
        <v>17</v>
      </c>
      <c r="I50" s="8274" t="s">
        <v>2295</v>
      </c>
      <c r="J50" s="0" t="s">
        <v>17</v>
      </c>
      <c r="K50" s="0" t="s">
        <v>975</v>
      </c>
      <c r="L50" s="0" t="s">
        <v>2253</v>
      </c>
      <c r="M50" s="0" t="s">
        <v>2254</v>
      </c>
      <c r="N50" s="0" t="s">
        <v>462</v>
      </c>
    </row>
    <row customHeight="1" ht="11.25">
      <c r="A51" s="8274" t="s">
        <v>2233</v>
      </c>
      <c r="B51" s="8274" t="s">
        <v>14</v>
      </c>
      <c r="C51" s="8274" t="s">
        <v>2402</v>
      </c>
      <c r="D51" s="8274" t="s">
        <v>2403</v>
      </c>
      <c r="E51" s="8274" t="s">
        <v>2404</v>
      </c>
      <c r="F51" s="8274" t="s">
        <v>1481</v>
      </c>
      <c r="G51" s="8274" t="s">
        <v>17</v>
      </c>
      <c r="H51" s="8274" t="s">
        <v>17</v>
      </c>
      <c r="I51" s="8274" t="s">
        <v>2405</v>
      </c>
      <c r="J51" s="0" t="s">
        <v>17</v>
      </c>
      <c r="K51" s="0" t="s">
        <v>931</v>
      </c>
      <c r="L51" s="0" t="s">
        <v>2240</v>
      </c>
      <c r="M51" s="0" t="s">
        <v>2241</v>
      </c>
      <c r="N51" s="0" t="s">
        <v>462</v>
      </c>
    </row>
    <row customHeight="1" ht="11.25">
      <c r="A52" s="8274" t="s">
        <v>2233</v>
      </c>
      <c r="B52" s="8274" t="s">
        <v>14</v>
      </c>
      <c r="C52" s="8274" t="s">
        <v>2406</v>
      </c>
      <c r="D52" s="8274" t="s">
        <v>2407</v>
      </c>
      <c r="E52" s="8274" t="s">
        <v>2408</v>
      </c>
      <c r="F52" s="8274" t="s">
        <v>2409</v>
      </c>
      <c r="G52" s="8274" t="s">
        <v>2410</v>
      </c>
      <c r="H52" s="8274" t="s">
        <v>17</v>
      </c>
      <c r="I52" s="8274" t="s">
        <v>2411</v>
      </c>
      <c r="J52" s="0" t="s">
        <v>17</v>
      </c>
      <c r="K52" s="0" t="s">
        <v>931</v>
      </c>
      <c r="L52" s="0" t="s">
        <v>2240</v>
      </c>
      <c r="M52" s="0" t="s">
        <v>2241</v>
      </c>
      <c r="N52" s="0" t="s">
        <v>462</v>
      </c>
    </row>
    <row customHeight="1" ht="11.25">
      <c r="A53" s="8274" t="s">
        <v>2233</v>
      </c>
      <c r="B53" s="8274" t="s">
        <v>14</v>
      </c>
      <c r="C53" s="8274" t="s">
        <v>2412</v>
      </c>
      <c r="D53" s="8274" t="s">
        <v>2413</v>
      </c>
      <c r="E53" s="8274" t="s">
        <v>2414</v>
      </c>
      <c r="F53" s="8274" t="s">
        <v>2415</v>
      </c>
      <c r="G53" s="8274" t="s">
        <v>17</v>
      </c>
      <c r="H53" s="8274" t="s">
        <v>17</v>
      </c>
      <c r="I53" s="8274" t="s">
        <v>2274</v>
      </c>
      <c r="J53" s="0" t="s">
        <v>17</v>
      </c>
      <c r="K53" s="0" t="s">
        <v>975</v>
      </c>
      <c r="L53" s="0" t="s">
        <v>2253</v>
      </c>
      <c r="M53" s="0" t="s">
        <v>2254</v>
      </c>
      <c r="N53" s="0" t="s">
        <v>462</v>
      </c>
    </row>
    <row customHeight="1" ht="11.25">
      <c r="A54" s="8274" t="s">
        <v>2233</v>
      </c>
      <c r="B54" s="8274" t="s">
        <v>14</v>
      </c>
      <c r="C54" s="8274" t="s">
        <v>2412</v>
      </c>
      <c r="D54" s="8274" t="s">
        <v>2413</v>
      </c>
      <c r="E54" s="8274" t="s">
        <v>2414</v>
      </c>
      <c r="F54" s="8274" t="s">
        <v>2415</v>
      </c>
      <c r="G54" s="8274" t="s">
        <v>17</v>
      </c>
      <c r="H54" s="8274" t="s">
        <v>17</v>
      </c>
      <c r="I54" s="8274" t="s">
        <v>2416</v>
      </c>
      <c r="J54" s="0" t="s">
        <v>17</v>
      </c>
      <c r="K54" s="0" t="s">
        <v>863</v>
      </c>
      <c r="L54" s="0" t="s">
        <v>863</v>
      </c>
      <c r="M54" s="0" t="s">
        <v>2382</v>
      </c>
      <c r="N54" s="0" t="s">
        <v>462</v>
      </c>
    </row>
    <row customHeight="1" ht="11.25">
      <c r="A55" s="8274" t="s">
        <v>2233</v>
      </c>
      <c r="B55" s="8274" t="s">
        <v>14</v>
      </c>
      <c r="C55" s="8274" t="s">
        <v>2417</v>
      </c>
      <c r="D55" s="8274" t="s">
        <v>2418</v>
      </c>
      <c r="E55" s="8274" t="s">
        <v>2419</v>
      </c>
      <c r="F55" s="8274" t="s">
        <v>2420</v>
      </c>
      <c r="G55" s="8274" t="s">
        <v>17</v>
      </c>
      <c r="H55" s="8274" t="s">
        <v>17</v>
      </c>
      <c r="I55" s="8274" t="s">
        <v>2421</v>
      </c>
      <c r="J55" s="0" t="s">
        <v>17</v>
      </c>
      <c r="K55" s="0" t="s">
        <v>931</v>
      </c>
      <c r="L55" s="0" t="s">
        <v>2240</v>
      </c>
      <c r="M55" s="0" t="s">
        <v>2241</v>
      </c>
      <c r="N55" s="0" t="s">
        <v>462</v>
      </c>
    </row>
    <row customHeight="1" ht="11.25">
      <c r="A56" s="8274" t="s">
        <v>2233</v>
      </c>
      <c r="B56" s="8274" t="s">
        <v>14</v>
      </c>
      <c r="C56" s="8274" t="s">
        <v>2417</v>
      </c>
      <c r="D56" s="8274" t="s">
        <v>2418</v>
      </c>
      <c r="E56" s="8274" t="s">
        <v>2419</v>
      </c>
      <c r="F56" s="8274" t="s">
        <v>2420</v>
      </c>
      <c r="G56" s="8274" t="s">
        <v>17</v>
      </c>
      <c r="H56" s="8274" t="s">
        <v>17</v>
      </c>
      <c r="I56" s="8274" t="s">
        <v>2422</v>
      </c>
      <c r="J56" s="0" t="s">
        <v>17</v>
      </c>
      <c r="K56" s="0" t="s">
        <v>975</v>
      </c>
      <c r="L56" s="0" t="s">
        <v>2253</v>
      </c>
      <c r="M56" s="0" t="s">
        <v>2254</v>
      </c>
      <c r="N56" s="0" t="s">
        <v>462</v>
      </c>
    </row>
    <row customHeight="1" ht="11.25">
      <c r="A57" s="8274" t="s">
        <v>2233</v>
      </c>
      <c r="B57" s="8274" t="s">
        <v>14</v>
      </c>
      <c r="C57" s="8274" t="s">
        <v>2417</v>
      </c>
      <c r="D57" s="8274" t="s">
        <v>2418</v>
      </c>
      <c r="E57" s="8274" t="s">
        <v>2419</v>
      </c>
      <c r="F57" s="8274" t="s">
        <v>2420</v>
      </c>
      <c r="G57" s="8274" t="s">
        <v>17</v>
      </c>
      <c r="H57" s="8274" t="s">
        <v>17</v>
      </c>
      <c r="I57" s="8274" t="s">
        <v>2423</v>
      </c>
      <c r="J57" s="0" t="s">
        <v>17</v>
      </c>
      <c r="K57" s="0" t="s">
        <v>931</v>
      </c>
      <c r="L57" s="0" t="s">
        <v>2240</v>
      </c>
      <c r="M57" s="0" t="s">
        <v>2241</v>
      </c>
      <c r="N57" s="0" t="s">
        <v>462</v>
      </c>
    </row>
    <row customHeight="1" ht="11.25">
      <c r="A58" s="8274" t="s">
        <v>2233</v>
      </c>
      <c r="B58" s="8274" t="s">
        <v>14</v>
      </c>
      <c r="C58" s="8274" t="s">
        <v>2417</v>
      </c>
      <c r="D58" s="8274" t="s">
        <v>2418</v>
      </c>
      <c r="E58" s="8274" t="s">
        <v>2419</v>
      </c>
      <c r="F58" s="8274" t="s">
        <v>2420</v>
      </c>
      <c r="G58" s="8274" t="s">
        <v>17</v>
      </c>
      <c r="H58" s="8274" t="s">
        <v>17</v>
      </c>
      <c r="I58" s="8274" t="s">
        <v>2259</v>
      </c>
      <c r="J58" s="0" t="s">
        <v>17</v>
      </c>
      <c r="K58" s="0" t="s">
        <v>931</v>
      </c>
      <c r="L58" s="0" t="s">
        <v>2240</v>
      </c>
      <c r="M58" s="0" t="s">
        <v>2241</v>
      </c>
      <c r="N58" s="0" t="s">
        <v>462</v>
      </c>
    </row>
    <row customHeight="1" ht="11.25">
      <c r="A59" s="8274" t="s">
        <v>2233</v>
      </c>
      <c r="B59" s="8274" t="s">
        <v>14</v>
      </c>
      <c r="C59" s="8274" t="s">
        <v>2424</v>
      </c>
      <c r="D59" s="8274" t="s">
        <v>2425</v>
      </c>
      <c r="E59" s="8274" t="s">
        <v>2426</v>
      </c>
      <c r="F59" s="8274" t="s">
        <v>2427</v>
      </c>
      <c r="G59" s="8274" t="s">
        <v>2428</v>
      </c>
      <c r="H59" s="8274" t="s">
        <v>17</v>
      </c>
      <c r="I59" s="8274" t="s">
        <v>2247</v>
      </c>
      <c r="J59" s="0" t="s">
        <v>17</v>
      </c>
      <c r="K59" s="0" t="s">
        <v>975</v>
      </c>
      <c r="L59" s="0" t="s">
        <v>2253</v>
      </c>
      <c r="M59" s="0" t="s">
        <v>2254</v>
      </c>
      <c r="N59" s="0" t="s">
        <v>462</v>
      </c>
    </row>
    <row customHeight="1" ht="11.25">
      <c r="A60" s="8274" t="s">
        <v>2233</v>
      </c>
      <c r="B60" s="8274" t="s">
        <v>14</v>
      </c>
      <c r="C60" s="8274" t="s">
        <v>2429</v>
      </c>
      <c r="D60" s="8274" t="s">
        <v>2430</v>
      </c>
      <c r="E60" s="8274" t="s">
        <v>2431</v>
      </c>
      <c r="F60" s="8274" t="s">
        <v>2432</v>
      </c>
      <c r="G60" s="8274" t="s">
        <v>17</v>
      </c>
      <c r="H60" s="8274" t="s">
        <v>17</v>
      </c>
      <c r="I60" s="8274" t="s">
        <v>2433</v>
      </c>
      <c r="J60" s="0" t="s">
        <v>17</v>
      </c>
      <c r="K60" s="0" t="s">
        <v>931</v>
      </c>
      <c r="L60" s="0" t="s">
        <v>2240</v>
      </c>
      <c r="M60" s="0" t="s">
        <v>2241</v>
      </c>
      <c r="N60" s="0" t="s">
        <v>462</v>
      </c>
    </row>
    <row customHeight="1" ht="11.25">
      <c r="A61" s="8274" t="s">
        <v>2233</v>
      </c>
      <c r="B61" s="8274" t="s">
        <v>14</v>
      </c>
      <c r="C61" s="8274" t="s">
        <v>2434</v>
      </c>
      <c r="D61" s="8274" t="s">
        <v>2435</v>
      </c>
      <c r="E61" s="8274" t="s">
        <v>2436</v>
      </c>
      <c r="F61" s="8274" t="s">
        <v>2375</v>
      </c>
      <c r="G61" s="8274" t="s">
        <v>17</v>
      </c>
      <c r="H61" s="8274" t="s">
        <v>17</v>
      </c>
      <c r="I61" s="8274" t="s">
        <v>2329</v>
      </c>
      <c r="J61" s="0" t="s">
        <v>17</v>
      </c>
      <c r="K61" s="0" t="s">
        <v>931</v>
      </c>
      <c r="L61" s="0" t="s">
        <v>2240</v>
      </c>
      <c r="M61" s="0" t="s">
        <v>2241</v>
      </c>
      <c r="N61" s="0" t="s">
        <v>462</v>
      </c>
    </row>
    <row customHeight="1" ht="11.25">
      <c r="A62" s="8274" t="s">
        <v>2233</v>
      </c>
      <c r="B62" s="8274" t="s">
        <v>14</v>
      </c>
      <c r="C62" s="8274" t="s">
        <v>2437</v>
      </c>
      <c r="D62" s="8274" t="s">
        <v>2438</v>
      </c>
      <c r="E62" s="8274" t="s">
        <v>2439</v>
      </c>
      <c r="F62" s="8274" t="s">
        <v>2432</v>
      </c>
      <c r="G62" s="8274" t="s">
        <v>2440</v>
      </c>
      <c r="H62" s="8274" t="s">
        <v>17</v>
      </c>
      <c r="I62" s="8274" t="s">
        <v>2441</v>
      </c>
      <c r="J62" s="0" t="s">
        <v>17</v>
      </c>
      <c r="K62" s="0" t="s">
        <v>931</v>
      </c>
      <c r="L62" s="0" t="s">
        <v>2240</v>
      </c>
      <c r="M62" s="0" t="s">
        <v>2241</v>
      </c>
      <c r="N62" s="0" t="s">
        <v>462</v>
      </c>
    </row>
    <row customHeight="1" ht="11.25">
      <c r="A63" s="8274" t="s">
        <v>2233</v>
      </c>
      <c r="B63" s="8274" t="s">
        <v>14</v>
      </c>
      <c r="C63" s="8274" t="s">
        <v>2442</v>
      </c>
      <c r="D63" s="8274" t="s">
        <v>2443</v>
      </c>
      <c r="E63" s="8274" t="s">
        <v>2444</v>
      </c>
      <c r="F63" s="8274" t="s">
        <v>2432</v>
      </c>
      <c r="G63" s="8274" t="s">
        <v>2445</v>
      </c>
      <c r="H63" s="8274" t="s">
        <v>17</v>
      </c>
      <c r="I63" s="8274" t="s">
        <v>2445</v>
      </c>
      <c r="J63" s="0" t="s">
        <v>17</v>
      </c>
      <c r="K63" s="0" t="s">
        <v>931</v>
      </c>
      <c r="L63" s="0" t="s">
        <v>2240</v>
      </c>
      <c r="M63" s="0" t="s">
        <v>2241</v>
      </c>
      <c r="N63" s="0" t="s">
        <v>462</v>
      </c>
    </row>
    <row customHeight="1" ht="11.25">
      <c r="A64" s="8274" t="s">
        <v>2233</v>
      </c>
      <c r="B64" s="8274" t="s">
        <v>14</v>
      </c>
      <c r="C64" s="8274" t="s">
        <v>2446</v>
      </c>
      <c r="D64" s="8274" t="s">
        <v>2447</v>
      </c>
      <c r="E64" s="8274" t="s">
        <v>2448</v>
      </c>
      <c r="F64" s="8274" t="s">
        <v>2375</v>
      </c>
      <c r="G64" s="8274" t="s">
        <v>17</v>
      </c>
      <c r="H64" s="8274" t="s">
        <v>17</v>
      </c>
      <c r="I64" s="8274" t="s">
        <v>2449</v>
      </c>
      <c r="J64" s="0" t="s">
        <v>17</v>
      </c>
      <c r="K64" s="0" t="s">
        <v>991</v>
      </c>
      <c r="L64" s="0" t="s">
        <v>2260</v>
      </c>
      <c r="M64" s="0" t="s">
        <v>2261</v>
      </c>
      <c r="N64" s="0" t="s">
        <v>462</v>
      </c>
    </row>
    <row customHeight="1" ht="11.25">
      <c r="A65" s="8274" t="s">
        <v>2233</v>
      </c>
      <c r="B65" s="8274" t="s">
        <v>14</v>
      </c>
      <c r="C65" s="8274" t="s">
        <v>2450</v>
      </c>
      <c r="D65" s="8274" t="s">
        <v>2451</v>
      </c>
      <c r="E65" s="8274" t="s">
        <v>2452</v>
      </c>
      <c r="F65" s="8274" t="s">
        <v>2432</v>
      </c>
      <c r="G65" s="8274" t="s">
        <v>17</v>
      </c>
      <c r="H65" s="8274" t="s">
        <v>17</v>
      </c>
      <c r="I65" s="8274" t="s">
        <v>2453</v>
      </c>
      <c r="J65" s="0" t="s">
        <v>17</v>
      </c>
      <c r="K65" s="0" t="s">
        <v>975</v>
      </c>
      <c r="L65" s="0" t="s">
        <v>2253</v>
      </c>
      <c r="M65" s="0" t="s">
        <v>2254</v>
      </c>
      <c r="N65" s="0" t="s">
        <v>462</v>
      </c>
    </row>
    <row customHeight="1" ht="11.25">
      <c r="A66" s="8274" t="s">
        <v>2233</v>
      </c>
      <c r="B66" s="8274" t="s">
        <v>14</v>
      </c>
      <c r="C66" s="8274" t="s">
        <v>2450</v>
      </c>
      <c r="D66" s="8274" t="s">
        <v>2451</v>
      </c>
      <c r="E66" s="8274" t="s">
        <v>2452</v>
      </c>
      <c r="F66" s="8274" t="s">
        <v>2432</v>
      </c>
      <c r="G66" s="8274" t="s">
        <v>17</v>
      </c>
      <c r="H66" s="8274" t="s">
        <v>17</v>
      </c>
      <c r="I66" s="8274" t="s">
        <v>2454</v>
      </c>
      <c r="J66" s="0" t="s">
        <v>17</v>
      </c>
      <c r="K66" s="0" t="s">
        <v>991</v>
      </c>
      <c r="L66" s="0" t="s">
        <v>2260</v>
      </c>
      <c r="M66" s="0" t="s">
        <v>2261</v>
      </c>
      <c r="N66" s="0" t="s">
        <v>462</v>
      </c>
    </row>
    <row customHeight="1" ht="11.25">
      <c r="A67" s="8274" t="s">
        <v>2233</v>
      </c>
      <c r="B67" s="8274" t="s">
        <v>14</v>
      </c>
      <c r="C67" s="8274" t="s">
        <v>2455</v>
      </c>
      <c r="D67" s="8274" t="s">
        <v>2456</v>
      </c>
      <c r="E67" s="8274" t="s">
        <v>2457</v>
      </c>
      <c r="F67" s="8274" t="s">
        <v>2458</v>
      </c>
      <c r="G67" s="8274" t="s">
        <v>17</v>
      </c>
      <c r="H67" s="8274" t="s">
        <v>17</v>
      </c>
      <c r="I67" s="8274" t="s">
        <v>2311</v>
      </c>
      <c r="J67" s="0" t="s">
        <v>17</v>
      </c>
      <c r="K67" s="0" t="s">
        <v>931</v>
      </c>
      <c r="L67" s="0" t="s">
        <v>2240</v>
      </c>
      <c r="M67" s="0" t="s">
        <v>2241</v>
      </c>
      <c r="N67" s="0" t="s">
        <v>462</v>
      </c>
    </row>
    <row customHeight="1" ht="11.25">
      <c r="A68" s="8274" t="s">
        <v>2233</v>
      </c>
      <c r="B68" s="8274" t="s">
        <v>14</v>
      </c>
      <c r="C68" s="8274" t="s">
        <v>2459</v>
      </c>
      <c r="D68" s="8274" t="s">
        <v>2460</v>
      </c>
      <c r="E68" s="8274" t="s">
        <v>2461</v>
      </c>
      <c r="F68" s="8274" t="s">
        <v>2462</v>
      </c>
      <c r="G68" s="8274" t="s">
        <v>17</v>
      </c>
      <c r="H68" s="8274" t="s">
        <v>17</v>
      </c>
      <c r="I68" s="8274" t="s">
        <v>2463</v>
      </c>
      <c r="J68" s="0" t="s">
        <v>17</v>
      </c>
      <c r="K68" s="0" t="s">
        <v>931</v>
      </c>
      <c r="L68" s="0" t="s">
        <v>2240</v>
      </c>
      <c r="M68" s="0" t="s">
        <v>2241</v>
      </c>
      <c r="N68" s="0" t="s">
        <v>462</v>
      </c>
    </row>
    <row customHeight="1" ht="11.25">
      <c r="A69" s="8274" t="s">
        <v>2233</v>
      </c>
      <c r="B69" s="8274" t="s">
        <v>14</v>
      </c>
      <c r="C69" s="8274" t="s">
        <v>2464</v>
      </c>
      <c r="D69" s="8274" t="s">
        <v>2465</v>
      </c>
      <c r="E69" s="8274" t="s">
        <v>2466</v>
      </c>
      <c r="F69" s="8274" t="s">
        <v>2251</v>
      </c>
      <c r="G69" s="8274" t="s">
        <v>17</v>
      </c>
      <c r="H69" s="8274" t="s">
        <v>17</v>
      </c>
      <c r="I69" s="8274" t="s">
        <v>2259</v>
      </c>
      <c r="J69" s="0" t="s">
        <v>17</v>
      </c>
      <c r="K69" s="0" t="s">
        <v>931</v>
      </c>
      <c r="L69" s="0" t="s">
        <v>2240</v>
      </c>
      <c r="M69" s="0" t="s">
        <v>2241</v>
      </c>
      <c r="N69" s="0" t="s">
        <v>462</v>
      </c>
    </row>
    <row customHeight="1" ht="11.25">
      <c r="A70" s="8274" t="s">
        <v>2233</v>
      </c>
      <c r="B70" s="8274" t="s">
        <v>14</v>
      </c>
      <c r="C70" s="8274" t="s">
        <v>2467</v>
      </c>
      <c r="D70" s="8274" t="s">
        <v>2468</v>
      </c>
      <c r="E70" s="8274" t="s">
        <v>2469</v>
      </c>
      <c r="F70" s="8274" t="s">
        <v>51</v>
      </c>
      <c r="G70" s="8274" t="s">
        <v>2470</v>
      </c>
      <c r="H70" s="8274" t="s">
        <v>17</v>
      </c>
      <c r="I70" s="8274" t="s">
        <v>2470</v>
      </c>
      <c r="J70" s="0" t="s">
        <v>17</v>
      </c>
      <c r="K70" s="0" t="s">
        <v>931</v>
      </c>
      <c r="L70" s="0" t="s">
        <v>2240</v>
      </c>
      <c r="M70" s="0" t="s">
        <v>2241</v>
      </c>
      <c r="N70" s="0" t="s">
        <v>462</v>
      </c>
    </row>
    <row customHeight="1" ht="11.25">
      <c r="A71" s="8274" t="s">
        <v>2233</v>
      </c>
      <c r="B71" s="8274" t="s">
        <v>14</v>
      </c>
      <c r="C71" s="8274" t="s">
        <v>2471</v>
      </c>
      <c r="D71" s="8274" t="s">
        <v>2472</v>
      </c>
      <c r="E71" s="8274" t="s">
        <v>2473</v>
      </c>
      <c r="F71" s="8274" t="s">
        <v>2432</v>
      </c>
      <c r="G71" s="8274" t="s">
        <v>17</v>
      </c>
      <c r="H71" s="8274" t="s">
        <v>17</v>
      </c>
      <c r="I71" s="8274" t="s">
        <v>2474</v>
      </c>
      <c r="J71" s="0" t="s">
        <v>17</v>
      </c>
      <c r="K71" s="0" t="s">
        <v>931</v>
      </c>
      <c r="L71" s="0" t="s">
        <v>2240</v>
      </c>
      <c r="M71" s="0" t="s">
        <v>2241</v>
      </c>
      <c r="N71" s="0" t="s">
        <v>462</v>
      </c>
    </row>
    <row customHeight="1" ht="11.25">
      <c r="A72" s="8274" t="s">
        <v>2233</v>
      </c>
      <c r="B72" s="8274" t="s">
        <v>14</v>
      </c>
      <c r="C72" s="8274" t="s">
        <v>2475</v>
      </c>
      <c r="D72" s="8274" t="s">
        <v>2476</v>
      </c>
      <c r="E72" s="8274" t="s">
        <v>2477</v>
      </c>
      <c r="F72" s="8274" t="s">
        <v>2310</v>
      </c>
      <c r="G72" s="8274" t="s">
        <v>17</v>
      </c>
      <c r="H72" s="8274" t="s">
        <v>17</v>
      </c>
      <c r="I72" s="8274" t="s">
        <v>2478</v>
      </c>
      <c r="J72" s="0" t="s">
        <v>17</v>
      </c>
      <c r="K72" s="0" t="s">
        <v>975</v>
      </c>
      <c r="L72" s="0" t="s">
        <v>2253</v>
      </c>
      <c r="M72" s="0" t="s">
        <v>2254</v>
      </c>
      <c r="N72" s="0" t="s">
        <v>462</v>
      </c>
    </row>
    <row customHeight="1" ht="11.25">
      <c r="A73" s="8274" t="s">
        <v>2233</v>
      </c>
      <c r="B73" s="8274" t="s">
        <v>14</v>
      </c>
      <c r="C73" s="8274" t="s">
        <v>2479</v>
      </c>
      <c r="D73" s="8274" t="s">
        <v>2480</v>
      </c>
      <c r="E73" s="8274" t="s">
        <v>2481</v>
      </c>
      <c r="F73" s="8274" t="s">
        <v>2482</v>
      </c>
      <c r="G73" s="8274" t="s">
        <v>17</v>
      </c>
      <c r="H73" s="8274" t="s">
        <v>17</v>
      </c>
      <c r="I73" s="8274" t="s">
        <v>2483</v>
      </c>
      <c r="J73" s="0" t="s">
        <v>17</v>
      </c>
      <c r="K73" s="0" t="s">
        <v>956</v>
      </c>
      <c r="L73" s="0" t="s">
        <v>2370</v>
      </c>
      <c r="M73" s="0" t="s">
        <v>2371</v>
      </c>
      <c r="N73" s="0" t="s">
        <v>462</v>
      </c>
    </row>
    <row customHeight="1" ht="11.25">
      <c r="A74" s="8274" t="s">
        <v>2233</v>
      </c>
      <c r="B74" s="8274" t="s">
        <v>14</v>
      </c>
      <c r="C74" s="8274" t="s">
        <v>2479</v>
      </c>
      <c r="D74" s="8274" t="s">
        <v>2480</v>
      </c>
      <c r="E74" s="8274" t="s">
        <v>2481</v>
      </c>
      <c r="F74" s="8274" t="s">
        <v>2482</v>
      </c>
      <c r="G74" s="8274" t="s">
        <v>17</v>
      </c>
      <c r="H74" s="8274" t="s">
        <v>17</v>
      </c>
      <c r="I74" s="8274" t="s">
        <v>2484</v>
      </c>
      <c r="J74" s="0" t="s">
        <v>17</v>
      </c>
      <c r="K74" s="0" t="s">
        <v>956</v>
      </c>
      <c r="L74" s="0" t="s">
        <v>2370</v>
      </c>
      <c r="M74" s="0" t="s">
        <v>2371</v>
      </c>
      <c r="N74" s="0" t="s">
        <v>462</v>
      </c>
    </row>
    <row customHeight="1" ht="11.25">
      <c r="A75" s="8274" t="s">
        <v>2233</v>
      </c>
      <c r="B75" s="8274" t="s">
        <v>14</v>
      </c>
      <c r="C75" s="8274" t="s">
        <v>2485</v>
      </c>
      <c r="D75" s="8274" t="s">
        <v>2486</v>
      </c>
      <c r="E75" s="8274" t="s">
        <v>2487</v>
      </c>
      <c r="F75" s="8274" t="s">
        <v>2285</v>
      </c>
      <c r="G75" s="8274" t="s">
        <v>2488</v>
      </c>
      <c r="H75" s="8274" t="s">
        <v>17</v>
      </c>
      <c r="I75" s="8274" t="s">
        <v>2489</v>
      </c>
      <c r="J75" s="0" t="s">
        <v>2490</v>
      </c>
      <c r="K75" s="0" t="s">
        <v>975</v>
      </c>
      <c r="L75" s="0" t="s">
        <v>2253</v>
      </c>
      <c r="M75" s="0" t="s">
        <v>2254</v>
      </c>
      <c r="N75" s="0" t="s">
        <v>462</v>
      </c>
    </row>
    <row customHeight="1" ht="11.25">
      <c r="A76" s="8274" t="s">
        <v>2233</v>
      </c>
      <c r="B76" s="8274" t="s">
        <v>14</v>
      </c>
      <c r="C76" s="8274" t="s">
        <v>2491</v>
      </c>
      <c r="D76" s="8274" t="s">
        <v>2492</v>
      </c>
      <c r="E76" s="8274" t="s">
        <v>2493</v>
      </c>
      <c r="F76" s="8274" t="s">
        <v>2310</v>
      </c>
      <c r="G76" s="8274" t="s">
        <v>2494</v>
      </c>
      <c r="H76" s="8274" t="s">
        <v>17</v>
      </c>
      <c r="I76" s="8274" t="s">
        <v>2494</v>
      </c>
      <c r="J76" s="0" t="s">
        <v>17</v>
      </c>
      <c r="K76" s="0" t="s">
        <v>931</v>
      </c>
      <c r="L76" s="0" t="s">
        <v>2240</v>
      </c>
      <c r="M76" s="0" t="s">
        <v>2241</v>
      </c>
      <c r="N76" s="0" t="s">
        <v>462</v>
      </c>
    </row>
    <row customHeight="1" ht="11.25">
      <c r="A77" s="8274" t="s">
        <v>2233</v>
      </c>
      <c r="B77" s="8274" t="s">
        <v>14</v>
      </c>
      <c r="C77" s="8274" t="s">
        <v>2495</v>
      </c>
      <c r="D77" s="8274" t="s">
        <v>2496</v>
      </c>
      <c r="E77" s="8274" t="s">
        <v>2497</v>
      </c>
      <c r="F77" s="8274" t="s">
        <v>2310</v>
      </c>
      <c r="G77" s="8274" t="s">
        <v>17</v>
      </c>
      <c r="H77" s="8274" t="s">
        <v>17</v>
      </c>
      <c r="I77" s="8274" t="s">
        <v>2498</v>
      </c>
      <c r="J77" s="0" t="s">
        <v>17</v>
      </c>
      <c r="K77" s="0" t="s">
        <v>975</v>
      </c>
      <c r="L77" s="0" t="s">
        <v>2253</v>
      </c>
      <c r="M77" s="0" t="s">
        <v>2254</v>
      </c>
      <c r="N77" s="0" t="s">
        <v>462</v>
      </c>
    </row>
    <row customHeight="1" ht="11.25">
      <c r="A78" s="8274" t="s">
        <v>2233</v>
      </c>
      <c r="B78" s="8274" t="s">
        <v>14</v>
      </c>
      <c r="C78" s="8274" t="s">
        <v>2495</v>
      </c>
      <c r="D78" s="8274" t="s">
        <v>2496</v>
      </c>
      <c r="E78" s="8274" t="s">
        <v>2497</v>
      </c>
      <c r="F78" s="8274" t="s">
        <v>2310</v>
      </c>
      <c r="G78" s="8274" t="s">
        <v>17</v>
      </c>
      <c r="H78" s="8274" t="s">
        <v>17</v>
      </c>
      <c r="I78" s="8274" t="s">
        <v>2499</v>
      </c>
      <c r="J78" s="0" t="s">
        <v>17</v>
      </c>
      <c r="K78" s="0" t="s">
        <v>2500</v>
      </c>
      <c r="L78" s="0" t="s">
        <v>2501</v>
      </c>
      <c r="M78" s="0" t="s">
        <v>2502</v>
      </c>
      <c r="N78" s="0" t="s">
        <v>462</v>
      </c>
    </row>
    <row customHeight="1" ht="11.25">
      <c r="A79" s="8274" t="s">
        <v>2233</v>
      </c>
      <c r="B79" s="8274" t="s">
        <v>14</v>
      </c>
      <c r="C79" s="8274" t="s">
        <v>2503</v>
      </c>
      <c r="D79" s="8274" t="s">
        <v>2504</v>
      </c>
      <c r="E79" s="8274" t="s">
        <v>2505</v>
      </c>
      <c r="F79" s="8274" t="s">
        <v>2506</v>
      </c>
      <c r="G79" s="8274" t="s">
        <v>17</v>
      </c>
      <c r="H79" s="8274" t="s">
        <v>17</v>
      </c>
      <c r="I79" s="8274" t="s">
        <v>2507</v>
      </c>
      <c r="J79" s="0" t="s">
        <v>17</v>
      </c>
      <c r="K79" s="0" t="s">
        <v>931</v>
      </c>
      <c r="L79" s="0" t="s">
        <v>2240</v>
      </c>
      <c r="M79" s="0" t="s">
        <v>2241</v>
      </c>
      <c r="N79" s="0" t="s">
        <v>462</v>
      </c>
    </row>
    <row customHeight="1" ht="11.25">
      <c r="A80" s="8274" t="s">
        <v>2233</v>
      </c>
      <c r="B80" s="8274" t="s">
        <v>14</v>
      </c>
      <c r="C80" s="8274" t="s">
        <v>2503</v>
      </c>
      <c r="D80" s="8274" t="s">
        <v>2504</v>
      </c>
      <c r="E80" s="8274" t="s">
        <v>2505</v>
      </c>
      <c r="F80" s="8274" t="s">
        <v>2506</v>
      </c>
      <c r="G80" s="8274" t="s">
        <v>17</v>
      </c>
      <c r="H80" s="8274" t="s">
        <v>17</v>
      </c>
      <c r="I80" s="8274" t="s">
        <v>2507</v>
      </c>
      <c r="J80" s="0" t="s">
        <v>17</v>
      </c>
      <c r="K80" s="0" t="s">
        <v>836</v>
      </c>
      <c r="L80" s="0" t="s">
        <v>2323</v>
      </c>
      <c r="M80" s="0" t="s">
        <v>2324</v>
      </c>
      <c r="N80" s="0" t="s">
        <v>462</v>
      </c>
    </row>
    <row customHeight="1" ht="11.25">
      <c r="A81" s="8274" t="s">
        <v>2233</v>
      </c>
      <c r="B81" s="8274" t="s">
        <v>14</v>
      </c>
      <c r="C81" s="8274" t="s">
        <v>2508</v>
      </c>
      <c r="D81" s="8274" t="s">
        <v>2509</v>
      </c>
      <c r="E81" s="8274" t="s">
        <v>2510</v>
      </c>
      <c r="F81" s="8274" t="s">
        <v>2506</v>
      </c>
      <c r="G81" s="8274" t="s">
        <v>17</v>
      </c>
      <c r="H81" s="8274" t="s">
        <v>17</v>
      </c>
      <c r="I81" s="8274" t="s">
        <v>2511</v>
      </c>
      <c r="J81" s="0" t="s">
        <v>17</v>
      </c>
      <c r="K81" s="0" t="s">
        <v>931</v>
      </c>
      <c r="L81" s="0" t="s">
        <v>2240</v>
      </c>
      <c r="M81" s="0" t="s">
        <v>2241</v>
      </c>
      <c r="N81" s="0" t="s">
        <v>462</v>
      </c>
    </row>
    <row customHeight="1" ht="11.25">
      <c r="A82" s="8274" t="s">
        <v>2233</v>
      </c>
      <c r="B82" s="8274" t="s">
        <v>14</v>
      </c>
      <c r="C82" s="8274" t="s">
        <v>2512</v>
      </c>
      <c r="D82" s="8274" t="s">
        <v>2513</v>
      </c>
      <c r="E82" s="8274" t="s">
        <v>2514</v>
      </c>
      <c r="F82" s="8274" t="s">
        <v>2310</v>
      </c>
      <c r="G82" s="8274" t="s">
        <v>17</v>
      </c>
      <c r="H82" s="8274" t="s">
        <v>17</v>
      </c>
      <c r="I82" s="8274" t="s">
        <v>2247</v>
      </c>
      <c r="J82" s="0" t="s">
        <v>17</v>
      </c>
      <c r="K82" s="0" t="s">
        <v>975</v>
      </c>
      <c r="L82" s="0" t="s">
        <v>2253</v>
      </c>
      <c r="M82" s="0" t="s">
        <v>2254</v>
      </c>
      <c r="N82" s="0" t="s">
        <v>462</v>
      </c>
    </row>
    <row customHeight="1" ht="11.25">
      <c r="A83" s="8274" t="s">
        <v>2233</v>
      </c>
      <c r="B83" s="8274" t="s">
        <v>14</v>
      </c>
      <c r="C83" s="8274" t="s">
        <v>2512</v>
      </c>
      <c r="D83" s="8274" t="s">
        <v>2513</v>
      </c>
      <c r="E83" s="8274" t="s">
        <v>2514</v>
      </c>
      <c r="F83" s="8274" t="s">
        <v>2310</v>
      </c>
      <c r="G83" s="8274" t="s">
        <v>17</v>
      </c>
      <c r="H83" s="8274" t="s">
        <v>17</v>
      </c>
      <c r="I83" s="8274" t="s">
        <v>2247</v>
      </c>
      <c r="J83" s="0" t="s">
        <v>17</v>
      </c>
      <c r="K83" s="0" t="s">
        <v>2515</v>
      </c>
      <c r="L83" s="0" t="s">
        <v>863</v>
      </c>
      <c r="M83" s="0" t="s">
        <v>2516</v>
      </c>
      <c r="N83" s="0" t="s">
        <v>462</v>
      </c>
    </row>
    <row customHeight="1" ht="11.25">
      <c r="A84" s="8274" t="s">
        <v>2233</v>
      </c>
      <c r="B84" s="8274" t="s">
        <v>14</v>
      </c>
      <c r="C84" s="8274" t="s">
        <v>2517</v>
      </c>
      <c r="D84" s="8274" t="s">
        <v>2518</v>
      </c>
      <c r="E84" s="8274" t="s">
        <v>2519</v>
      </c>
      <c r="F84" s="8274" t="s">
        <v>2520</v>
      </c>
      <c r="G84" s="8274" t="s">
        <v>17</v>
      </c>
      <c r="H84" s="8274" t="s">
        <v>17</v>
      </c>
      <c r="I84" s="8274" t="s">
        <v>2521</v>
      </c>
      <c r="J84" s="0" t="s">
        <v>17</v>
      </c>
      <c r="K84" s="0" t="s">
        <v>931</v>
      </c>
      <c r="L84" s="0" t="s">
        <v>2240</v>
      </c>
      <c r="M84" s="0" t="s">
        <v>2241</v>
      </c>
      <c r="N84" s="0" t="s">
        <v>462</v>
      </c>
    </row>
    <row customHeight="1" ht="11.25">
      <c r="A85" s="8274" t="s">
        <v>2233</v>
      </c>
      <c r="B85" s="8274" t="s">
        <v>14</v>
      </c>
      <c r="C85" s="8274" t="s">
        <v>2522</v>
      </c>
      <c r="D85" s="8274" t="s">
        <v>2523</v>
      </c>
      <c r="E85" s="8274" t="s">
        <v>2524</v>
      </c>
      <c r="F85" s="8274" t="s">
        <v>2482</v>
      </c>
      <c r="G85" s="8274" t="s">
        <v>17</v>
      </c>
      <c r="H85" s="8274" t="s">
        <v>17</v>
      </c>
      <c r="I85" s="8274" t="s">
        <v>2463</v>
      </c>
      <c r="J85" s="0" t="s">
        <v>17</v>
      </c>
      <c r="K85" s="0" t="s">
        <v>931</v>
      </c>
      <c r="L85" s="0" t="s">
        <v>2240</v>
      </c>
      <c r="M85" s="0" t="s">
        <v>2241</v>
      </c>
      <c r="N85" s="0" t="s">
        <v>462</v>
      </c>
    </row>
    <row customHeight="1" ht="11.25">
      <c r="A86" s="8274" t="s">
        <v>2233</v>
      </c>
      <c r="B86" s="8274" t="s">
        <v>14</v>
      </c>
      <c r="C86" s="8274" t="s">
        <v>2522</v>
      </c>
      <c r="D86" s="8274" t="s">
        <v>2523</v>
      </c>
      <c r="E86" s="8274" t="s">
        <v>2524</v>
      </c>
      <c r="F86" s="8274" t="s">
        <v>2482</v>
      </c>
      <c r="G86" s="8274" t="s">
        <v>17</v>
      </c>
      <c r="H86" s="8274" t="s">
        <v>17</v>
      </c>
      <c r="I86" s="8274" t="s">
        <v>2484</v>
      </c>
      <c r="J86" s="0" t="s">
        <v>17</v>
      </c>
      <c r="K86" s="0" t="s">
        <v>931</v>
      </c>
      <c r="L86" s="0" t="s">
        <v>2240</v>
      </c>
      <c r="M86" s="0" t="s">
        <v>2241</v>
      </c>
      <c r="N86" s="0" t="s">
        <v>462</v>
      </c>
    </row>
    <row customHeight="1" ht="11.25">
      <c r="A87" s="8274" t="s">
        <v>2233</v>
      </c>
      <c r="B87" s="8274" t="s">
        <v>14</v>
      </c>
      <c r="C87" s="8274" t="s">
        <v>2525</v>
      </c>
      <c r="D87" s="8274" t="s">
        <v>2526</v>
      </c>
      <c r="E87" s="8274" t="s">
        <v>2527</v>
      </c>
      <c r="F87" s="8274" t="s">
        <v>2506</v>
      </c>
      <c r="G87" s="8274" t="s">
        <v>17</v>
      </c>
      <c r="H87" s="8274" t="s">
        <v>17</v>
      </c>
      <c r="I87" s="8274" t="s">
        <v>2463</v>
      </c>
      <c r="J87" s="0" t="s">
        <v>17</v>
      </c>
      <c r="K87" s="0" t="s">
        <v>931</v>
      </c>
      <c r="L87" s="0" t="s">
        <v>2240</v>
      </c>
      <c r="M87" s="0" t="s">
        <v>2241</v>
      </c>
      <c r="N87" s="0" t="s">
        <v>462</v>
      </c>
    </row>
    <row customHeight="1" ht="11.25">
      <c r="A88" s="8274" t="s">
        <v>2233</v>
      </c>
      <c r="B88" s="8274" t="s">
        <v>14</v>
      </c>
      <c r="C88" s="8274" t="s">
        <v>2528</v>
      </c>
      <c r="D88" s="8274" t="s">
        <v>2529</v>
      </c>
      <c r="E88" s="8274" t="s">
        <v>2530</v>
      </c>
      <c r="F88" s="8274" t="s">
        <v>2531</v>
      </c>
      <c r="G88" s="8274" t="s">
        <v>17</v>
      </c>
      <c r="H88" s="8274" t="s">
        <v>17</v>
      </c>
      <c r="I88" s="8274" t="s">
        <v>2311</v>
      </c>
      <c r="J88" s="0" t="s">
        <v>17</v>
      </c>
      <c r="K88" s="0" t="s">
        <v>931</v>
      </c>
      <c r="L88" s="0" t="s">
        <v>2240</v>
      </c>
      <c r="M88" s="0" t="s">
        <v>2241</v>
      </c>
      <c r="N88" s="0" t="s">
        <v>462</v>
      </c>
    </row>
    <row customHeight="1" ht="11.25">
      <c r="A89" s="8274" t="s">
        <v>2233</v>
      </c>
      <c r="B89" s="8274" t="s">
        <v>14</v>
      </c>
      <c r="C89" s="8274" t="s">
        <v>2532</v>
      </c>
      <c r="D89" s="8274" t="s">
        <v>2533</v>
      </c>
      <c r="E89" s="8274" t="s">
        <v>2534</v>
      </c>
      <c r="F89" s="8274" t="s">
        <v>2482</v>
      </c>
      <c r="G89" s="8274" t="s">
        <v>17</v>
      </c>
      <c r="H89" s="8274" t="s">
        <v>17</v>
      </c>
      <c r="I89" s="8274" t="s">
        <v>2311</v>
      </c>
      <c r="J89" s="0" t="s">
        <v>17</v>
      </c>
      <c r="K89" s="0" t="s">
        <v>931</v>
      </c>
      <c r="L89" s="0" t="s">
        <v>2240</v>
      </c>
      <c r="M89" s="0" t="s">
        <v>2241</v>
      </c>
      <c r="N89" s="0" t="s">
        <v>462</v>
      </c>
    </row>
    <row customHeight="1" ht="11.25">
      <c r="A90" s="8274" t="s">
        <v>2233</v>
      </c>
      <c r="B90" s="8274" t="s">
        <v>14</v>
      </c>
      <c r="C90" s="8274" t="s">
        <v>2535</v>
      </c>
      <c r="D90" s="8274" t="s">
        <v>2536</v>
      </c>
      <c r="E90" s="8274" t="s">
        <v>2537</v>
      </c>
      <c r="F90" s="8274" t="s">
        <v>2427</v>
      </c>
      <c r="G90" s="8274" t="s">
        <v>17</v>
      </c>
      <c r="H90" s="8274" t="s">
        <v>17</v>
      </c>
      <c r="I90" s="8274" t="s">
        <v>2311</v>
      </c>
      <c r="J90" s="0" t="s">
        <v>17</v>
      </c>
      <c r="K90" s="0" t="s">
        <v>931</v>
      </c>
      <c r="L90" s="0" t="s">
        <v>2240</v>
      </c>
      <c r="M90" s="0" t="s">
        <v>2241</v>
      </c>
      <c r="N90" s="0" t="s">
        <v>462</v>
      </c>
    </row>
    <row customHeight="1" ht="11.25">
      <c r="A91" s="8274" t="s">
        <v>2233</v>
      </c>
      <c r="B91" s="8274" t="s">
        <v>14</v>
      </c>
      <c r="C91" s="8274" t="s">
        <v>2538</v>
      </c>
      <c r="D91" s="8274" t="s">
        <v>2539</v>
      </c>
      <c r="E91" s="8274" t="s">
        <v>2540</v>
      </c>
      <c r="F91" s="8274" t="s">
        <v>2310</v>
      </c>
      <c r="G91" s="8274" t="s">
        <v>17</v>
      </c>
      <c r="H91" s="8274" t="s">
        <v>17</v>
      </c>
      <c r="I91" s="8274" t="s">
        <v>2247</v>
      </c>
      <c r="J91" s="0" t="s">
        <v>17</v>
      </c>
      <c r="K91" s="0" t="s">
        <v>991</v>
      </c>
      <c r="L91" s="0" t="s">
        <v>2260</v>
      </c>
      <c r="M91" s="0" t="s">
        <v>2261</v>
      </c>
      <c r="N91" s="0" t="s">
        <v>462</v>
      </c>
    </row>
    <row customHeight="1" ht="11.25">
      <c r="A92" s="8274" t="s">
        <v>2233</v>
      </c>
      <c r="B92" s="8274" t="s">
        <v>14</v>
      </c>
      <c r="C92" s="8274" t="s">
        <v>2541</v>
      </c>
      <c r="D92" s="8274" t="s">
        <v>2542</v>
      </c>
      <c r="E92" s="8274" t="s">
        <v>2543</v>
      </c>
      <c r="F92" s="8274" t="s">
        <v>2544</v>
      </c>
      <c r="G92" s="8274" t="s">
        <v>17</v>
      </c>
      <c r="H92" s="8274" t="s">
        <v>17</v>
      </c>
      <c r="I92" s="8274" t="s">
        <v>2311</v>
      </c>
      <c r="J92" s="0" t="s">
        <v>17</v>
      </c>
      <c r="K92" s="0" t="s">
        <v>991</v>
      </c>
      <c r="L92" s="0" t="s">
        <v>2260</v>
      </c>
      <c r="M92" s="0" t="s">
        <v>2261</v>
      </c>
      <c r="N92" s="0" t="s">
        <v>462</v>
      </c>
    </row>
    <row customHeight="1" ht="11.25">
      <c r="A93" s="8274" t="s">
        <v>2233</v>
      </c>
      <c r="B93" s="8274" t="s">
        <v>14</v>
      </c>
      <c r="C93" s="8274" t="s">
        <v>2541</v>
      </c>
      <c r="D93" s="8274" t="s">
        <v>2542</v>
      </c>
      <c r="E93" s="8274" t="s">
        <v>2543</v>
      </c>
      <c r="F93" s="8274" t="s">
        <v>2544</v>
      </c>
      <c r="G93" s="8274" t="s">
        <v>17</v>
      </c>
      <c r="H93" s="8274" t="s">
        <v>17</v>
      </c>
      <c r="I93" s="8274" t="s">
        <v>2311</v>
      </c>
      <c r="J93" s="0" t="s">
        <v>17</v>
      </c>
      <c r="K93" s="0" t="s">
        <v>931</v>
      </c>
      <c r="L93" s="0" t="s">
        <v>2240</v>
      </c>
      <c r="M93" s="0" t="s">
        <v>2241</v>
      </c>
      <c r="N93" s="0" t="s">
        <v>462</v>
      </c>
    </row>
    <row customHeight="1" ht="11.25">
      <c r="A94" s="8274" t="s">
        <v>2233</v>
      </c>
      <c r="B94" s="8274" t="s">
        <v>14</v>
      </c>
      <c r="C94" s="8274" t="s">
        <v>2545</v>
      </c>
      <c r="D94" s="8274" t="s">
        <v>2546</v>
      </c>
      <c r="E94" s="8274" t="s">
        <v>2547</v>
      </c>
      <c r="F94" s="8274" t="s">
        <v>2548</v>
      </c>
      <c r="G94" s="8274" t="s">
        <v>17</v>
      </c>
      <c r="H94" s="8274" t="s">
        <v>17</v>
      </c>
      <c r="I94" s="8274" t="s">
        <v>2463</v>
      </c>
      <c r="J94" s="0" t="s">
        <v>17</v>
      </c>
      <c r="K94" s="0" t="s">
        <v>931</v>
      </c>
      <c r="L94" s="0" t="s">
        <v>2240</v>
      </c>
      <c r="M94" s="0" t="s">
        <v>2241</v>
      </c>
      <c r="N94" s="0" t="s">
        <v>462</v>
      </c>
    </row>
    <row customHeight="1" ht="11.25">
      <c r="A95" s="8274" t="s">
        <v>2233</v>
      </c>
      <c r="B95" s="8274" t="s">
        <v>14</v>
      </c>
      <c r="C95" s="8274" t="s">
        <v>2549</v>
      </c>
      <c r="D95" s="8274" t="s">
        <v>2550</v>
      </c>
      <c r="E95" s="8274" t="s">
        <v>2551</v>
      </c>
      <c r="F95" s="8274" t="s">
        <v>2432</v>
      </c>
      <c r="G95" s="8274" t="s">
        <v>17</v>
      </c>
      <c r="H95" s="8274" t="s">
        <v>17</v>
      </c>
      <c r="I95" s="8274" t="s">
        <v>2552</v>
      </c>
      <c r="J95" s="0" t="s">
        <v>17</v>
      </c>
      <c r="K95" s="0" t="s">
        <v>931</v>
      </c>
      <c r="L95" s="0" t="s">
        <v>2240</v>
      </c>
      <c r="M95" s="0" t="s">
        <v>2241</v>
      </c>
      <c r="N95" s="0" t="s">
        <v>462</v>
      </c>
    </row>
    <row customHeight="1" ht="11.25">
      <c r="A96" s="8274" t="s">
        <v>2233</v>
      </c>
      <c r="B96" s="8274" t="s">
        <v>14</v>
      </c>
      <c r="C96" s="8274" t="s">
        <v>2553</v>
      </c>
      <c r="D96" s="8274" t="s">
        <v>2554</v>
      </c>
      <c r="E96" s="8274" t="s">
        <v>2555</v>
      </c>
      <c r="F96" s="8274" t="s">
        <v>2273</v>
      </c>
      <c r="G96" s="8274" t="s">
        <v>17</v>
      </c>
      <c r="H96" s="8274" t="s">
        <v>17</v>
      </c>
      <c r="I96" s="8274" t="s">
        <v>2556</v>
      </c>
      <c r="J96" s="0" t="s">
        <v>17</v>
      </c>
      <c r="K96" s="0" t="s">
        <v>931</v>
      </c>
      <c r="L96" s="0" t="s">
        <v>2240</v>
      </c>
      <c r="M96" s="0" t="s">
        <v>2241</v>
      </c>
      <c r="N96" s="0" t="s">
        <v>462</v>
      </c>
    </row>
    <row customHeight="1" ht="11.25">
      <c r="A97" s="8274" t="s">
        <v>2233</v>
      </c>
      <c r="B97" s="8274" t="s">
        <v>14</v>
      </c>
      <c r="C97" s="8274" t="s">
        <v>2557</v>
      </c>
      <c r="D97" s="8274" t="s">
        <v>2558</v>
      </c>
      <c r="E97" s="8274" t="s">
        <v>2559</v>
      </c>
      <c r="F97" s="8274" t="s">
        <v>2560</v>
      </c>
      <c r="G97" s="8274" t="s">
        <v>17</v>
      </c>
      <c r="H97" s="8274" t="s">
        <v>17</v>
      </c>
      <c r="I97" s="8274" t="s">
        <v>2259</v>
      </c>
      <c r="J97" s="0" t="s">
        <v>17</v>
      </c>
      <c r="K97" s="0" t="s">
        <v>836</v>
      </c>
      <c r="L97" s="0" t="s">
        <v>2323</v>
      </c>
      <c r="M97" s="0" t="s">
        <v>2324</v>
      </c>
      <c r="N97" s="0" t="s">
        <v>462</v>
      </c>
    </row>
    <row customHeight="1" ht="11.25">
      <c r="A98" s="8274" t="s">
        <v>2233</v>
      </c>
      <c r="B98" s="8274" t="s">
        <v>14</v>
      </c>
      <c r="C98" s="8274" t="s">
        <v>2561</v>
      </c>
      <c r="D98" s="8274" t="s">
        <v>2562</v>
      </c>
      <c r="E98" s="8274" t="s">
        <v>2563</v>
      </c>
      <c r="F98" s="8274" t="s">
        <v>2322</v>
      </c>
      <c r="G98" s="8274" t="s">
        <v>17</v>
      </c>
      <c r="H98" s="8274" t="s">
        <v>17</v>
      </c>
      <c r="I98" s="8274" t="s">
        <v>2433</v>
      </c>
      <c r="J98" s="0" t="s">
        <v>17</v>
      </c>
      <c r="K98" s="0" t="s">
        <v>975</v>
      </c>
      <c r="L98" s="0" t="s">
        <v>2253</v>
      </c>
      <c r="M98" s="0" t="s">
        <v>2254</v>
      </c>
      <c r="N98" s="0" t="s">
        <v>462</v>
      </c>
    </row>
    <row customHeight="1" ht="11.25">
      <c r="A99" s="8274" t="s">
        <v>2233</v>
      </c>
      <c r="B99" s="8274" t="s">
        <v>14</v>
      </c>
      <c r="C99" s="8274" t="s">
        <v>2564</v>
      </c>
      <c r="D99" s="8274" t="s">
        <v>2565</v>
      </c>
      <c r="E99" s="8274" t="s">
        <v>2566</v>
      </c>
      <c r="F99" s="8274" t="s">
        <v>2567</v>
      </c>
      <c r="G99" s="8274" t="s">
        <v>17</v>
      </c>
      <c r="H99" s="8274" t="s">
        <v>17</v>
      </c>
      <c r="I99" s="8274" t="s">
        <v>2329</v>
      </c>
      <c r="J99" s="0" t="s">
        <v>17</v>
      </c>
      <c r="K99" s="0" t="s">
        <v>991</v>
      </c>
      <c r="L99" s="0" t="s">
        <v>2260</v>
      </c>
      <c r="M99" s="0" t="s">
        <v>2261</v>
      </c>
      <c r="N99" s="0" t="s">
        <v>462</v>
      </c>
    </row>
    <row customHeight="1" ht="11.25">
      <c r="A100" s="8274" t="s">
        <v>2233</v>
      </c>
      <c r="B100" s="8274" t="s">
        <v>14</v>
      </c>
      <c r="C100" s="8274" t="s">
        <v>2564</v>
      </c>
      <c r="D100" s="8274" t="s">
        <v>2565</v>
      </c>
      <c r="E100" s="8274" t="s">
        <v>2566</v>
      </c>
      <c r="F100" s="8274" t="s">
        <v>2567</v>
      </c>
      <c r="G100" s="8274" t="s">
        <v>17</v>
      </c>
      <c r="H100" s="8274" t="s">
        <v>17</v>
      </c>
      <c r="I100" s="8274" t="s">
        <v>2568</v>
      </c>
      <c r="J100" s="0" t="s">
        <v>17</v>
      </c>
      <c r="K100" s="0" t="s">
        <v>863</v>
      </c>
      <c r="L100" s="0" t="s">
        <v>863</v>
      </c>
      <c r="M100" s="0" t="s">
        <v>2382</v>
      </c>
      <c r="N100" s="0" t="s">
        <v>462</v>
      </c>
    </row>
    <row customHeight="1" ht="11.25">
      <c r="A101" s="8274" t="s">
        <v>2233</v>
      </c>
      <c r="B101" s="8274" t="s">
        <v>14</v>
      </c>
      <c r="C101" s="8274" t="s">
        <v>2569</v>
      </c>
      <c r="D101" s="8274" t="s">
        <v>2570</v>
      </c>
      <c r="E101" s="8274" t="s">
        <v>2571</v>
      </c>
      <c r="F101" s="8274" t="s">
        <v>2237</v>
      </c>
      <c r="G101" s="8274" t="s">
        <v>17</v>
      </c>
      <c r="H101" s="8274" t="s">
        <v>17</v>
      </c>
      <c r="I101" s="8274" t="s">
        <v>2556</v>
      </c>
      <c r="J101" s="0" t="s">
        <v>17</v>
      </c>
      <c r="K101" s="0" t="s">
        <v>931</v>
      </c>
      <c r="L101" s="0" t="s">
        <v>2240</v>
      </c>
      <c r="M101" s="0" t="s">
        <v>2241</v>
      </c>
      <c r="N101" s="0" t="s">
        <v>462</v>
      </c>
    </row>
    <row customHeight="1" ht="11.25">
      <c r="A102" s="8274" t="s">
        <v>2233</v>
      </c>
      <c r="B102" s="8274" t="s">
        <v>14</v>
      </c>
      <c r="C102" s="8274" t="s">
        <v>2572</v>
      </c>
      <c r="D102" s="8274" t="s">
        <v>2573</v>
      </c>
      <c r="E102" s="8274" t="s">
        <v>2574</v>
      </c>
      <c r="F102" s="8274" t="s">
        <v>2575</v>
      </c>
      <c r="G102" s="8274" t="s">
        <v>17</v>
      </c>
      <c r="H102" s="8274" t="s">
        <v>17</v>
      </c>
      <c r="I102" s="8274" t="s">
        <v>2329</v>
      </c>
      <c r="J102" s="0" t="s">
        <v>17</v>
      </c>
      <c r="K102" s="0" t="s">
        <v>931</v>
      </c>
      <c r="L102" s="0" t="s">
        <v>2240</v>
      </c>
      <c r="M102" s="0" t="s">
        <v>2241</v>
      </c>
      <c r="N102" s="0" t="s">
        <v>462</v>
      </c>
    </row>
    <row customHeight="1" ht="11.25">
      <c r="A103" s="8274" t="s">
        <v>2233</v>
      </c>
      <c r="B103" s="8274" t="s">
        <v>14</v>
      </c>
      <c r="C103" s="8274" t="s">
        <v>2576</v>
      </c>
      <c r="D103" s="8274" t="s">
        <v>2577</v>
      </c>
      <c r="E103" s="8274" t="s">
        <v>2578</v>
      </c>
      <c r="F103" s="8274" t="s">
        <v>2369</v>
      </c>
      <c r="G103" s="8274" t="s">
        <v>17</v>
      </c>
      <c r="H103" s="8274" t="s">
        <v>17</v>
      </c>
      <c r="I103" s="8274" t="s">
        <v>2247</v>
      </c>
      <c r="J103" s="0" t="s">
        <v>17</v>
      </c>
      <c r="K103" s="0" t="s">
        <v>991</v>
      </c>
      <c r="L103" s="0" t="s">
        <v>2260</v>
      </c>
      <c r="M103" s="0" t="s">
        <v>2261</v>
      </c>
      <c r="N103" s="0" t="s">
        <v>462</v>
      </c>
    </row>
    <row customHeight="1" ht="11.25">
      <c r="A104" s="8274" t="s">
        <v>2233</v>
      </c>
      <c r="B104" s="8274" t="s">
        <v>14</v>
      </c>
      <c r="C104" s="8274" t="s">
        <v>2576</v>
      </c>
      <c r="D104" s="8274" t="s">
        <v>2577</v>
      </c>
      <c r="E104" s="8274" t="s">
        <v>2578</v>
      </c>
      <c r="F104" s="8274" t="s">
        <v>2369</v>
      </c>
      <c r="G104" s="8274" t="s">
        <v>17</v>
      </c>
      <c r="H104" s="8274" t="s">
        <v>17</v>
      </c>
      <c r="I104" s="8274" t="s">
        <v>2247</v>
      </c>
      <c r="J104" s="0" t="s">
        <v>17</v>
      </c>
      <c r="K104" s="0" t="s">
        <v>975</v>
      </c>
      <c r="L104" s="0" t="s">
        <v>2253</v>
      </c>
      <c r="M104" s="0" t="s">
        <v>2254</v>
      </c>
      <c r="N104" s="0" t="s">
        <v>462</v>
      </c>
    </row>
    <row customHeight="1" ht="11.25">
      <c r="A105" s="8274" t="s">
        <v>2233</v>
      </c>
      <c r="B105" s="8274" t="s">
        <v>14</v>
      </c>
      <c r="C105" s="8274" t="s">
        <v>2579</v>
      </c>
      <c r="D105" s="8274" t="s">
        <v>2580</v>
      </c>
      <c r="E105" s="8274" t="s">
        <v>2581</v>
      </c>
      <c r="F105" s="8274" t="s">
        <v>2310</v>
      </c>
      <c r="G105" s="8274" t="s">
        <v>2582</v>
      </c>
      <c r="H105" s="8274" t="s">
        <v>17</v>
      </c>
      <c r="I105" s="8274" t="s">
        <v>2582</v>
      </c>
      <c r="J105" s="0" t="s">
        <v>17</v>
      </c>
      <c r="K105" s="0" t="s">
        <v>863</v>
      </c>
      <c r="L105" s="0" t="s">
        <v>863</v>
      </c>
      <c r="M105" s="0" t="s">
        <v>2382</v>
      </c>
      <c r="N105" s="0" t="s">
        <v>462</v>
      </c>
    </row>
    <row customHeight="1" ht="11.25">
      <c r="A106" s="8274" t="s">
        <v>2233</v>
      </c>
      <c r="B106" s="8274" t="s">
        <v>14</v>
      </c>
      <c r="C106" s="8274" t="s">
        <v>2583</v>
      </c>
      <c r="D106" s="8274" t="s">
        <v>2584</v>
      </c>
      <c r="E106" s="8274" t="s">
        <v>2585</v>
      </c>
      <c r="F106" s="8274" t="s">
        <v>2586</v>
      </c>
      <c r="G106" s="8274" t="s">
        <v>17</v>
      </c>
      <c r="H106" s="8274" t="s">
        <v>17</v>
      </c>
      <c r="I106" s="8274" t="s">
        <v>2259</v>
      </c>
      <c r="J106" s="0" t="s">
        <v>17</v>
      </c>
      <c r="K106" s="0" t="s">
        <v>931</v>
      </c>
      <c r="L106" s="0" t="s">
        <v>2240</v>
      </c>
      <c r="M106" s="0" t="s">
        <v>2241</v>
      </c>
      <c r="N106" s="0" t="s">
        <v>462</v>
      </c>
    </row>
    <row customHeight="1" ht="11.25">
      <c r="A107" s="8274" t="s">
        <v>2233</v>
      </c>
      <c r="B107" s="8274" t="s">
        <v>14</v>
      </c>
      <c r="C107" s="8274" t="s">
        <v>2587</v>
      </c>
      <c r="D107" s="8274" t="s">
        <v>2588</v>
      </c>
      <c r="E107" s="8274" t="s">
        <v>2585</v>
      </c>
      <c r="F107" s="8274" t="s">
        <v>2589</v>
      </c>
      <c r="G107" s="8274" t="s">
        <v>17</v>
      </c>
      <c r="H107" s="8274" t="s">
        <v>17</v>
      </c>
      <c r="I107" s="8274" t="s">
        <v>2259</v>
      </c>
      <c r="J107" s="0" t="s">
        <v>17</v>
      </c>
      <c r="K107" s="0" t="s">
        <v>931</v>
      </c>
      <c r="L107" s="0" t="s">
        <v>2240</v>
      </c>
      <c r="M107" s="0" t="s">
        <v>2241</v>
      </c>
      <c r="N107" s="0" t="s">
        <v>462</v>
      </c>
    </row>
    <row customHeight="1" ht="11.25">
      <c r="A108" s="8274" t="s">
        <v>2233</v>
      </c>
      <c r="B108" s="8274" t="s">
        <v>14</v>
      </c>
      <c r="C108" s="8274" t="s">
        <v>2590</v>
      </c>
      <c r="D108" s="8274" t="s">
        <v>2591</v>
      </c>
      <c r="E108" s="8274" t="s">
        <v>2592</v>
      </c>
      <c r="F108" s="8274" t="s">
        <v>2328</v>
      </c>
      <c r="G108" s="8274" t="s">
        <v>17</v>
      </c>
      <c r="H108" s="8274" t="s">
        <v>17</v>
      </c>
      <c r="I108" s="8274" t="s">
        <v>2259</v>
      </c>
      <c r="J108" s="0" t="s">
        <v>17</v>
      </c>
      <c r="K108" s="0" t="s">
        <v>991</v>
      </c>
      <c r="L108" s="0" t="s">
        <v>2260</v>
      </c>
      <c r="M108" s="0" t="s">
        <v>2261</v>
      </c>
      <c r="N108" s="0" t="s">
        <v>462</v>
      </c>
    </row>
    <row customHeight="1" ht="11.25">
      <c r="A109" s="8274" t="s">
        <v>2233</v>
      </c>
      <c r="B109" s="8274" t="s">
        <v>14</v>
      </c>
      <c r="C109" s="8274" t="s">
        <v>2593</v>
      </c>
      <c r="D109" s="8274" t="s">
        <v>2594</v>
      </c>
      <c r="E109" s="8274" t="s">
        <v>2595</v>
      </c>
      <c r="F109" s="8274" t="s">
        <v>2322</v>
      </c>
      <c r="G109" s="8274" t="s">
        <v>17</v>
      </c>
      <c r="H109" s="8274" t="s">
        <v>17</v>
      </c>
      <c r="I109" s="8274" t="s">
        <v>2259</v>
      </c>
      <c r="J109" s="0" t="s">
        <v>17</v>
      </c>
      <c r="K109" s="0" t="s">
        <v>863</v>
      </c>
      <c r="L109" s="0" t="s">
        <v>863</v>
      </c>
      <c r="M109" s="0" t="s">
        <v>2382</v>
      </c>
      <c r="N109" s="0" t="s">
        <v>462</v>
      </c>
    </row>
    <row customHeight="1" ht="11.25">
      <c r="A110" s="8274" t="s">
        <v>2233</v>
      </c>
      <c r="B110" s="8274" t="s">
        <v>14</v>
      </c>
      <c r="C110" s="8274" t="s">
        <v>2596</v>
      </c>
      <c r="D110" s="8274" t="s">
        <v>2597</v>
      </c>
      <c r="E110" s="8274" t="s">
        <v>2598</v>
      </c>
      <c r="F110" s="8274" t="s">
        <v>2322</v>
      </c>
      <c r="G110" s="8274" t="s">
        <v>17</v>
      </c>
      <c r="H110" s="8274" t="s">
        <v>17</v>
      </c>
      <c r="I110" s="8274" t="s">
        <v>2247</v>
      </c>
      <c r="J110" s="0" t="s">
        <v>17</v>
      </c>
      <c r="K110" s="0" t="s">
        <v>863</v>
      </c>
      <c r="L110" s="0" t="s">
        <v>863</v>
      </c>
      <c r="M110" s="0" t="s">
        <v>2382</v>
      </c>
      <c r="N110" s="0" t="s">
        <v>462</v>
      </c>
    </row>
    <row customHeight="1" ht="11.25">
      <c r="A111" s="8274" t="s">
        <v>2233</v>
      </c>
      <c r="B111" s="8274" t="s">
        <v>14</v>
      </c>
      <c r="C111" s="8274" t="s">
        <v>2599</v>
      </c>
      <c r="D111" s="8274" t="s">
        <v>2600</v>
      </c>
      <c r="E111" s="8274" t="s">
        <v>2601</v>
      </c>
      <c r="F111" s="8274" t="s">
        <v>2322</v>
      </c>
      <c r="G111" s="8274" t="s">
        <v>2602</v>
      </c>
      <c r="H111" s="8274" t="s">
        <v>17</v>
      </c>
      <c r="I111" s="8274" t="s">
        <v>2603</v>
      </c>
      <c r="J111" s="0" t="s">
        <v>17</v>
      </c>
      <c r="K111" s="0" t="s">
        <v>991</v>
      </c>
      <c r="L111" s="0" t="s">
        <v>2260</v>
      </c>
      <c r="M111" s="0" t="s">
        <v>2261</v>
      </c>
      <c r="N111" s="0" t="s">
        <v>462</v>
      </c>
    </row>
    <row customHeight="1" ht="11.25">
      <c r="A112" s="8274" t="s">
        <v>2233</v>
      </c>
      <c r="B112" s="8274" t="s">
        <v>14</v>
      </c>
      <c r="C112" s="8274" t="s">
        <v>2604</v>
      </c>
      <c r="D112" s="8274" t="s">
        <v>2605</v>
      </c>
      <c r="E112" s="8274" t="s">
        <v>2606</v>
      </c>
      <c r="F112" s="8274" t="s">
        <v>2379</v>
      </c>
      <c r="G112" s="8274" t="s">
        <v>17</v>
      </c>
      <c r="H112" s="8274" t="s">
        <v>17</v>
      </c>
      <c r="I112" s="8274" t="s">
        <v>2607</v>
      </c>
      <c r="J112" s="0" t="s">
        <v>17</v>
      </c>
      <c r="K112" s="0" t="s">
        <v>931</v>
      </c>
      <c r="L112" s="0" t="s">
        <v>2240</v>
      </c>
      <c r="M112" s="0" t="s">
        <v>2241</v>
      </c>
      <c r="N112" s="0" t="s">
        <v>462</v>
      </c>
    </row>
    <row customHeight="1" ht="11.25">
      <c r="A113" s="8274" t="s">
        <v>2233</v>
      </c>
      <c r="B113" s="8274" t="s">
        <v>14</v>
      </c>
      <c r="C113" s="8274" t="s">
        <v>2604</v>
      </c>
      <c r="D113" s="8274" t="s">
        <v>2605</v>
      </c>
      <c r="E113" s="8274" t="s">
        <v>2606</v>
      </c>
      <c r="F113" s="8274" t="s">
        <v>2379</v>
      </c>
      <c r="G113" s="8274" t="s">
        <v>17</v>
      </c>
      <c r="H113" s="8274" t="s">
        <v>17</v>
      </c>
      <c r="I113" s="8274" t="s">
        <v>2608</v>
      </c>
      <c r="J113" s="0" t="s">
        <v>17</v>
      </c>
      <c r="K113" s="0" t="s">
        <v>991</v>
      </c>
      <c r="L113" s="0" t="s">
        <v>2260</v>
      </c>
      <c r="M113" s="0" t="s">
        <v>2261</v>
      </c>
      <c r="N113" s="0" t="s">
        <v>462</v>
      </c>
    </row>
    <row customHeight="1" ht="11.25">
      <c r="A114" s="8274" t="s">
        <v>2233</v>
      </c>
      <c r="B114" s="8274" t="s">
        <v>14</v>
      </c>
      <c r="C114" s="8274" t="s">
        <v>2604</v>
      </c>
      <c r="D114" s="8274" t="s">
        <v>2605</v>
      </c>
      <c r="E114" s="8274" t="s">
        <v>2606</v>
      </c>
      <c r="F114" s="8274" t="s">
        <v>2379</v>
      </c>
      <c r="G114" s="8274" t="s">
        <v>17</v>
      </c>
      <c r="H114" s="8274" t="s">
        <v>17</v>
      </c>
      <c r="I114" s="8274" t="s">
        <v>2608</v>
      </c>
      <c r="J114" s="0" t="s">
        <v>17</v>
      </c>
      <c r="K114" s="0" t="s">
        <v>975</v>
      </c>
      <c r="L114" s="0" t="s">
        <v>2253</v>
      </c>
      <c r="M114" s="0" t="s">
        <v>2254</v>
      </c>
      <c r="N114" s="0" t="s">
        <v>462</v>
      </c>
    </row>
    <row customHeight="1" ht="11.25">
      <c r="A115" s="8274" t="s">
        <v>2233</v>
      </c>
      <c r="B115" s="8274" t="s">
        <v>14</v>
      </c>
      <c r="C115" s="8274" t="s">
        <v>2609</v>
      </c>
      <c r="D115" s="8274" t="s">
        <v>2610</v>
      </c>
      <c r="E115" s="8274" t="s">
        <v>2611</v>
      </c>
      <c r="F115" s="8274" t="s">
        <v>2322</v>
      </c>
      <c r="G115" s="8274" t="s">
        <v>2612</v>
      </c>
      <c r="H115" s="8274" t="s">
        <v>17</v>
      </c>
      <c r="I115" s="8274" t="s">
        <v>2433</v>
      </c>
      <c r="J115" s="0" t="s">
        <v>17</v>
      </c>
      <c r="K115" s="0" t="s">
        <v>931</v>
      </c>
      <c r="L115" s="0" t="s">
        <v>2240</v>
      </c>
      <c r="M115" s="0" t="s">
        <v>2241</v>
      </c>
      <c r="N115" s="0" t="s">
        <v>462</v>
      </c>
    </row>
    <row customHeight="1" ht="11.25">
      <c r="A116" s="8274" t="s">
        <v>2233</v>
      </c>
      <c r="B116" s="8274" t="s">
        <v>14</v>
      </c>
      <c r="C116" s="8274" t="s">
        <v>2613</v>
      </c>
      <c r="D116" s="8274" t="s">
        <v>2614</v>
      </c>
      <c r="E116" s="8274" t="s">
        <v>2615</v>
      </c>
      <c r="F116" s="8274" t="s">
        <v>2520</v>
      </c>
      <c r="G116" s="8274" t="s">
        <v>2616</v>
      </c>
      <c r="H116" s="8274" t="s">
        <v>17</v>
      </c>
      <c r="I116" s="8274" t="s">
        <v>2616</v>
      </c>
      <c r="J116" s="0" t="s">
        <v>17</v>
      </c>
      <c r="K116" s="0" t="s">
        <v>991</v>
      </c>
      <c r="L116" s="0" t="s">
        <v>2260</v>
      </c>
      <c r="M116" s="0" t="s">
        <v>2261</v>
      </c>
      <c r="N116" s="0" t="s">
        <v>462</v>
      </c>
    </row>
    <row customHeight="1" ht="11.25">
      <c r="A117" s="8274" t="s">
        <v>2233</v>
      </c>
      <c r="B117" s="8274" t="s">
        <v>14</v>
      </c>
      <c r="C117" s="8274" t="s">
        <v>2613</v>
      </c>
      <c r="D117" s="8274" t="s">
        <v>2614</v>
      </c>
      <c r="E117" s="8274" t="s">
        <v>2615</v>
      </c>
      <c r="F117" s="8274" t="s">
        <v>2520</v>
      </c>
      <c r="G117" s="8274" t="s">
        <v>2616</v>
      </c>
      <c r="H117" s="8274" t="s">
        <v>17</v>
      </c>
      <c r="I117" s="8274" t="s">
        <v>2616</v>
      </c>
      <c r="J117" s="0" t="s">
        <v>17</v>
      </c>
      <c r="K117" s="0" t="s">
        <v>956</v>
      </c>
      <c r="L117" s="0" t="s">
        <v>2370</v>
      </c>
      <c r="M117" s="0" t="s">
        <v>2371</v>
      </c>
      <c r="N117" s="0" t="s">
        <v>462</v>
      </c>
    </row>
    <row customHeight="1" ht="11.25">
      <c r="A118" s="8274" t="s">
        <v>2233</v>
      </c>
      <c r="B118" s="8274" t="s">
        <v>14</v>
      </c>
      <c r="C118" s="8274" t="s">
        <v>2617</v>
      </c>
      <c r="D118" s="8274" t="s">
        <v>2618</v>
      </c>
      <c r="E118" s="8274" t="s">
        <v>2619</v>
      </c>
      <c r="F118" s="8274" t="s">
        <v>2432</v>
      </c>
      <c r="G118" s="8274" t="s">
        <v>2620</v>
      </c>
      <c r="H118" s="8274" t="s">
        <v>17</v>
      </c>
      <c r="I118" s="8274" t="s">
        <v>2621</v>
      </c>
      <c r="J118" s="0" t="s">
        <v>17</v>
      </c>
      <c r="K118" s="0" t="s">
        <v>931</v>
      </c>
      <c r="L118" s="0" t="s">
        <v>2240</v>
      </c>
      <c r="M118" s="0" t="s">
        <v>2241</v>
      </c>
      <c r="N118" s="0" t="s">
        <v>462</v>
      </c>
    </row>
    <row customHeight="1" ht="11.25">
      <c r="A119" s="8274" t="s">
        <v>2233</v>
      </c>
      <c r="B119" s="8274" t="s">
        <v>14</v>
      </c>
      <c r="C119" s="8274" t="s">
        <v>2622</v>
      </c>
      <c r="D119" s="8274" t="s">
        <v>2623</v>
      </c>
      <c r="E119" s="8274" t="s">
        <v>2624</v>
      </c>
      <c r="F119" s="8274" t="s">
        <v>2560</v>
      </c>
      <c r="G119" s="8274" t="s">
        <v>2625</v>
      </c>
      <c r="H119" s="8274" t="s">
        <v>17</v>
      </c>
      <c r="I119" s="8274" t="s">
        <v>2626</v>
      </c>
      <c r="J119" s="0" t="s">
        <v>17</v>
      </c>
      <c r="K119" s="0" t="s">
        <v>863</v>
      </c>
      <c r="L119" s="0" t="s">
        <v>863</v>
      </c>
      <c r="M119" s="0" t="s">
        <v>2382</v>
      </c>
      <c r="N119" s="0" t="s">
        <v>462</v>
      </c>
    </row>
    <row customHeight="1" ht="11.25">
      <c r="A120" s="8274" t="s">
        <v>2233</v>
      </c>
      <c r="B120" s="8274" t="s">
        <v>14</v>
      </c>
      <c r="C120" s="8274" t="s">
        <v>2622</v>
      </c>
      <c r="D120" s="8274" t="s">
        <v>2623</v>
      </c>
      <c r="E120" s="8274" t="s">
        <v>2624</v>
      </c>
      <c r="F120" s="8274" t="s">
        <v>2560</v>
      </c>
      <c r="G120" s="8274" t="s">
        <v>2625</v>
      </c>
      <c r="H120" s="8274" t="s">
        <v>17</v>
      </c>
      <c r="I120" s="8274" t="s">
        <v>2259</v>
      </c>
      <c r="J120" s="0" t="s">
        <v>17</v>
      </c>
      <c r="K120" s="0" t="s">
        <v>975</v>
      </c>
      <c r="L120" s="0" t="s">
        <v>2253</v>
      </c>
      <c r="M120" s="0" t="s">
        <v>2254</v>
      </c>
      <c r="N120" s="0" t="s">
        <v>462</v>
      </c>
    </row>
    <row customHeight="1" ht="11.25">
      <c r="A121" s="8274" t="s">
        <v>2233</v>
      </c>
      <c r="B121" s="8274" t="s">
        <v>14</v>
      </c>
      <c r="C121" s="8274" t="s">
        <v>2627</v>
      </c>
      <c r="D121" s="8274" t="s">
        <v>2628</v>
      </c>
      <c r="E121" s="8274" t="s">
        <v>2629</v>
      </c>
      <c r="F121" s="8274" t="s">
        <v>2328</v>
      </c>
      <c r="G121" s="8274" t="s">
        <v>17</v>
      </c>
      <c r="H121" s="8274" t="s">
        <v>17</v>
      </c>
      <c r="I121" s="8274" t="s">
        <v>2247</v>
      </c>
      <c r="J121" s="0" t="s">
        <v>17</v>
      </c>
      <c r="K121" s="0" t="s">
        <v>931</v>
      </c>
      <c r="L121" s="0" t="s">
        <v>2240</v>
      </c>
      <c r="M121" s="0" t="s">
        <v>2241</v>
      </c>
      <c r="N121" s="0" t="s">
        <v>462</v>
      </c>
    </row>
    <row customHeight="1" ht="11.25">
      <c r="A122" s="8274" t="s">
        <v>2233</v>
      </c>
      <c r="B122" s="8274" t="s">
        <v>14</v>
      </c>
      <c r="C122" s="8274" t="s">
        <v>2630</v>
      </c>
      <c r="D122" s="8274" t="s">
        <v>2631</v>
      </c>
      <c r="E122" s="8274" t="s">
        <v>2632</v>
      </c>
      <c r="F122" s="8274" t="s">
        <v>2310</v>
      </c>
      <c r="G122" s="8274" t="s">
        <v>2633</v>
      </c>
      <c r="H122" s="8274" t="s">
        <v>17</v>
      </c>
      <c r="I122" s="8274" t="s">
        <v>2634</v>
      </c>
      <c r="J122" s="0" t="s">
        <v>2635</v>
      </c>
      <c r="K122" s="0" t="s">
        <v>975</v>
      </c>
      <c r="L122" s="0" t="s">
        <v>2253</v>
      </c>
      <c r="M122" s="0" t="s">
        <v>2254</v>
      </c>
      <c r="N122" s="0" t="s">
        <v>462</v>
      </c>
    </row>
    <row customHeight="1" ht="11.25">
      <c r="A123" s="8274" t="s">
        <v>2233</v>
      </c>
      <c r="B123" s="8274" t="s">
        <v>14</v>
      </c>
      <c r="C123" s="8274" t="s">
        <v>2636</v>
      </c>
      <c r="D123" s="8274" t="s">
        <v>2637</v>
      </c>
      <c r="E123" s="8274" t="s">
        <v>2638</v>
      </c>
      <c r="F123" s="8274" t="s">
        <v>2379</v>
      </c>
      <c r="G123" s="8274" t="s">
        <v>17</v>
      </c>
      <c r="H123" s="8274" t="s">
        <v>17</v>
      </c>
      <c r="I123" s="8274" t="s">
        <v>2639</v>
      </c>
      <c r="J123" s="0" t="s">
        <v>17</v>
      </c>
      <c r="K123" s="0" t="s">
        <v>863</v>
      </c>
      <c r="L123" s="0" t="s">
        <v>863</v>
      </c>
      <c r="M123" s="0" t="s">
        <v>2382</v>
      </c>
      <c r="N123" s="0" t="s">
        <v>462</v>
      </c>
    </row>
    <row customHeight="1" ht="11.25">
      <c r="A124" s="8274" t="s">
        <v>2233</v>
      </c>
      <c r="B124" s="8274" t="s">
        <v>14</v>
      </c>
      <c r="C124" s="8274" t="s">
        <v>2640</v>
      </c>
      <c r="D124" s="8274" t="s">
        <v>2641</v>
      </c>
      <c r="E124" s="8274" t="s">
        <v>2642</v>
      </c>
      <c r="F124" s="8274" t="s">
        <v>2643</v>
      </c>
      <c r="G124" s="8274" t="s">
        <v>17</v>
      </c>
      <c r="H124" s="8274" t="s">
        <v>17</v>
      </c>
      <c r="I124" s="8274" t="s">
        <v>2416</v>
      </c>
      <c r="J124" s="0" t="s">
        <v>17</v>
      </c>
      <c r="K124" s="0" t="s">
        <v>863</v>
      </c>
      <c r="L124" s="0" t="s">
        <v>863</v>
      </c>
      <c r="M124" s="0" t="s">
        <v>2382</v>
      </c>
      <c r="N124" s="0" t="s">
        <v>462</v>
      </c>
    </row>
    <row customHeight="1" ht="11.25">
      <c r="A125" s="8274" t="s">
        <v>2233</v>
      </c>
      <c r="B125" s="8274" t="s">
        <v>14</v>
      </c>
      <c r="C125" s="8274" t="s">
        <v>2644</v>
      </c>
      <c r="D125" s="8274" t="s">
        <v>2645</v>
      </c>
      <c r="E125" s="8274" t="s">
        <v>2646</v>
      </c>
      <c r="F125" s="8274" t="s">
        <v>2322</v>
      </c>
      <c r="G125" s="8274" t="s">
        <v>2647</v>
      </c>
      <c r="H125" s="8274" t="s">
        <v>17</v>
      </c>
      <c r="I125" s="8274" t="s">
        <v>2648</v>
      </c>
      <c r="J125" s="0" t="s">
        <v>17</v>
      </c>
      <c r="K125" s="0" t="s">
        <v>931</v>
      </c>
      <c r="L125" s="0" t="s">
        <v>2240</v>
      </c>
      <c r="M125" s="0" t="s">
        <v>2241</v>
      </c>
      <c r="N125" s="0" t="s">
        <v>462</v>
      </c>
    </row>
    <row customHeight="1" ht="11.25">
      <c r="A126" s="8274" t="s">
        <v>2233</v>
      </c>
      <c r="B126" s="8274" t="s">
        <v>14</v>
      </c>
      <c r="C126" s="8274" t="s">
        <v>2644</v>
      </c>
      <c r="D126" s="8274" t="s">
        <v>2645</v>
      </c>
      <c r="E126" s="8274" t="s">
        <v>2646</v>
      </c>
      <c r="F126" s="8274" t="s">
        <v>2322</v>
      </c>
      <c r="G126" s="8274" t="s">
        <v>2647</v>
      </c>
      <c r="H126" s="8274" t="s">
        <v>17</v>
      </c>
      <c r="I126" s="8274" t="s">
        <v>2649</v>
      </c>
      <c r="J126" s="0" t="s">
        <v>17</v>
      </c>
      <c r="K126" s="0" t="s">
        <v>931</v>
      </c>
      <c r="L126" s="0" t="s">
        <v>2240</v>
      </c>
      <c r="M126" s="0" t="s">
        <v>2241</v>
      </c>
      <c r="N126" s="0" t="s">
        <v>462</v>
      </c>
    </row>
    <row customHeight="1" ht="11.25">
      <c r="A127" s="8274" t="s">
        <v>2233</v>
      </c>
      <c r="B127" s="8274" t="s">
        <v>14</v>
      </c>
      <c r="C127" s="8274" t="s">
        <v>2650</v>
      </c>
      <c r="D127" s="8274" t="s">
        <v>2651</v>
      </c>
      <c r="E127" s="8274" t="s">
        <v>2652</v>
      </c>
      <c r="F127" s="8274" t="s">
        <v>2482</v>
      </c>
      <c r="G127" s="8274" t="s">
        <v>2653</v>
      </c>
      <c r="H127" s="8274" t="s">
        <v>17</v>
      </c>
      <c r="I127" s="8274" t="s">
        <v>2259</v>
      </c>
      <c r="J127" s="0" t="s">
        <v>17</v>
      </c>
      <c r="K127" s="0" t="s">
        <v>931</v>
      </c>
      <c r="L127" s="0" t="s">
        <v>2240</v>
      </c>
      <c r="M127" s="0" t="s">
        <v>2241</v>
      </c>
      <c r="N127" s="0" t="s">
        <v>462</v>
      </c>
    </row>
    <row customHeight="1" ht="11.25">
      <c r="A128" s="8274" t="s">
        <v>2233</v>
      </c>
      <c r="B128" s="8274" t="s">
        <v>14</v>
      </c>
      <c r="C128" s="8274" t="s">
        <v>2650</v>
      </c>
      <c r="D128" s="8274" t="s">
        <v>2651</v>
      </c>
      <c r="E128" s="8274" t="s">
        <v>2652</v>
      </c>
      <c r="F128" s="8274" t="s">
        <v>2482</v>
      </c>
      <c r="G128" s="8274" t="s">
        <v>2653</v>
      </c>
      <c r="H128" s="8274" t="s">
        <v>17</v>
      </c>
      <c r="I128" s="8274" t="s">
        <v>2259</v>
      </c>
      <c r="J128" s="0" t="s">
        <v>17</v>
      </c>
      <c r="K128" s="0" t="s">
        <v>2654</v>
      </c>
      <c r="L128" s="0" t="s">
        <v>2655</v>
      </c>
      <c r="M128" s="0" t="s">
        <v>2656</v>
      </c>
      <c r="N128" s="0" t="s">
        <v>462</v>
      </c>
    </row>
    <row customHeight="1" ht="11.25">
      <c r="A129" s="8274" t="s">
        <v>2233</v>
      </c>
      <c r="B129" s="8274" t="s">
        <v>14</v>
      </c>
      <c r="C129" s="8274" t="s">
        <v>2650</v>
      </c>
      <c r="D129" s="8274" t="s">
        <v>2651</v>
      </c>
      <c r="E129" s="8274" t="s">
        <v>2652</v>
      </c>
      <c r="F129" s="8274" t="s">
        <v>2482</v>
      </c>
      <c r="G129" s="8274" t="s">
        <v>2653</v>
      </c>
      <c r="H129" s="8274" t="s">
        <v>17</v>
      </c>
      <c r="I129" s="8274" t="s">
        <v>2433</v>
      </c>
      <c r="J129" s="0" t="s">
        <v>17</v>
      </c>
      <c r="K129" s="0" t="s">
        <v>931</v>
      </c>
      <c r="L129" s="0" t="s">
        <v>2240</v>
      </c>
      <c r="M129" s="0" t="s">
        <v>2241</v>
      </c>
      <c r="N129" s="0" t="s">
        <v>462</v>
      </c>
    </row>
    <row customHeight="1" ht="11.25">
      <c r="A130" s="8274" t="s">
        <v>2233</v>
      </c>
      <c r="B130" s="8274" t="s">
        <v>14</v>
      </c>
      <c r="C130" s="8274" t="s">
        <v>2657</v>
      </c>
      <c r="D130" s="8274" t="s">
        <v>46</v>
      </c>
      <c r="E130" s="8274" t="s">
        <v>49</v>
      </c>
      <c r="F130" s="8274" t="s">
        <v>51</v>
      </c>
      <c r="G130" s="8274" t="s">
        <v>2658</v>
      </c>
      <c r="H130" s="8274" t="s">
        <v>17</v>
      </c>
      <c r="I130" s="8274" t="s">
        <v>2659</v>
      </c>
      <c r="J130" s="0" t="s">
        <v>17</v>
      </c>
      <c r="K130" s="0" t="s">
        <v>975</v>
      </c>
      <c r="L130" s="0" t="s">
        <v>2253</v>
      </c>
      <c r="M130" s="0" t="s">
        <v>2254</v>
      </c>
      <c r="N130" s="0" t="s">
        <v>462</v>
      </c>
    </row>
    <row customHeight="1" ht="11.25">
      <c r="A131" s="8274" t="s">
        <v>2233</v>
      </c>
      <c r="B131" s="8274" t="s">
        <v>14</v>
      </c>
      <c r="C131" s="8274" t="s">
        <v>2660</v>
      </c>
      <c r="D131" s="8274" t="s">
        <v>2661</v>
      </c>
      <c r="E131" s="8274" t="s">
        <v>2662</v>
      </c>
      <c r="F131" s="8274" t="s">
        <v>2322</v>
      </c>
      <c r="G131" s="8274" t="s">
        <v>17</v>
      </c>
      <c r="H131" s="8274" t="s">
        <v>17</v>
      </c>
      <c r="I131" s="8274" t="s">
        <v>2663</v>
      </c>
      <c r="J131" s="0" t="s">
        <v>17</v>
      </c>
      <c r="K131" s="0" t="s">
        <v>991</v>
      </c>
      <c r="L131" s="0" t="s">
        <v>2260</v>
      </c>
      <c r="M131" s="0" t="s">
        <v>2261</v>
      </c>
      <c r="N131" s="0" t="s">
        <v>462</v>
      </c>
    </row>
    <row customHeight="1" ht="11.25">
      <c r="A132" s="8274" t="s">
        <v>2233</v>
      </c>
      <c r="B132" s="8274" t="s">
        <v>14</v>
      </c>
      <c r="C132" s="8274" t="s">
        <v>2660</v>
      </c>
      <c r="D132" s="8274" t="s">
        <v>2661</v>
      </c>
      <c r="E132" s="8274" t="s">
        <v>2662</v>
      </c>
      <c r="F132" s="8274" t="s">
        <v>2322</v>
      </c>
      <c r="G132" s="8274" t="s">
        <v>17</v>
      </c>
      <c r="H132" s="8274" t="s">
        <v>17</v>
      </c>
      <c r="I132" s="8274" t="s">
        <v>2663</v>
      </c>
      <c r="J132" s="0" t="s">
        <v>17</v>
      </c>
      <c r="K132" s="0" t="s">
        <v>975</v>
      </c>
      <c r="L132" s="0" t="s">
        <v>2253</v>
      </c>
      <c r="M132" s="0" t="s">
        <v>2254</v>
      </c>
      <c r="N132" s="0" t="s">
        <v>462</v>
      </c>
    </row>
    <row customHeight="1" ht="11.25">
      <c r="A133" s="8274" t="s">
        <v>2233</v>
      </c>
      <c r="B133" s="8274" t="s">
        <v>14</v>
      </c>
      <c r="C133" s="8274" t="s">
        <v>2660</v>
      </c>
      <c r="D133" s="8274" t="s">
        <v>2661</v>
      </c>
      <c r="E133" s="8274" t="s">
        <v>2662</v>
      </c>
      <c r="F133" s="8274" t="s">
        <v>2322</v>
      </c>
      <c r="G133" s="8274" t="s">
        <v>17</v>
      </c>
      <c r="H133" s="8274" t="s">
        <v>17</v>
      </c>
      <c r="I133" s="8274" t="s">
        <v>2664</v>
      </c>
      <c r="J133" s="0" t="s">
        <v>17</v>
      </c>
      <c r="K133" s="0" t="s">
        <v>975</v>
      </c>
      <c r="L133" s="0" t="s">
        <v>2253</v>
      </c>
      <c r="M133" s="0" t="s">
        <v>2254</v>
      </c>
      <c r="N133" s="0" t="s">
        <v>462</v>
      </c>
    </row>
    <row customHeight="1" ht="11.25">
      <c r="A134" s="8274" t="s">
        <v>2233</v>
      </c>
      <c r="B134" s="8274" t="s">
        <v>14</v>
      </c>
      <c r="C134" s="8274" t="s">
        <v>2660</v>
      </c>
      <c r="D134" s="8274" t="s">
        <v>2661</v>
      </c>
      <c r="E134" s="8274" t="s">
        <v>2662</v>
      </c>
      <c r="F134" s="8274" t="s">
        <v>2322</v>
      </c>
      <c r="G134" s="8274" t="s">
        <v>17</v>
      </c>
      <c r="H134" s="8274" t="s">
        <v>17</v>
      </c>
      <c r="I134" s="8274" t="s">
        <v>2422</v>
      </c>
      <c r="J134" s="0" t="s">
        <v>17</v>
      </c>
      <c r="K134" s="0" t="s">
        <v>863</v>
      </c>
      <c r="L134" s="0" t="s">
        <v>863</v>
      </c>
      <c r="M134" s="0" t="s">
        <v>2382</v>
      </c>
      <c r="N134" s="0" t="s">
        <v>462</v>
      </c>
    </row>
    <row customHeight="1" ht="11.25">
      <c r="A135" s="8274" t="s">
        <v>2233</v>
      </c>
      <c r="B135" s="8274" t="s">
        <v>14</v>
      </c>
      <c r="C135" s="8274" t="s">
        <v>2660</v>
      </c>
      <c r="D135" s="8274" t="s">
        <v>2661</v>
      </c>
      <c r="E135" s="8274" t="s">
        <v>2662</v>
      </c>
      <c r="F135" s="8274" t="s">
        <v>2322</v>
      </c>
      <c r="G135" s="8274" t="s">
        <v>17</v>
      </c>
      <c r="H135" s="8274" t="s">
        <v>17</v>
      </c>
      <c r="I135" s="8274" t="s">
        <v>2665</v>
      </c>
      <c r="J135" s="0" t="s">
        <v>17</v>
      </c>
      <c r="K135" s="0" t="s">
        <v>931</v>
      </c>
      <c r="L135" s="0" t="s">
        <v>2240</v>
      </c>
      <c r="M135" s="0" t="s">
        <v>2241</v>
      </c>
      <c r="N135" s="0" t="s">
        <v>462</v>
      </c>
    </row>
    <row customHeight="1" ht="11.25">
      <c r="A136" s="8274" t="s">
        <v>2233</v>
      </c>
      <c r="B136" s="8274" t="s">
        <v>14</v>
      </c>
      <c r="C136" s="8274" t="s">
        <v>2660</v>
      </c>
      <c r="D136" s="8274" t="s">
        <v>2661</v>
      </c>
      <c r="E136" s="8274" t="s">
        <v>2662</v>
      </c>
      <c r="F136" s="8274" t="s">
        <v>2322</v>
      </c>
      <c r="G136" s="8274" t="s">
        <v>17</v>
      </c>
      <c r="H136" s="8274" t="s">
        <v>17</v>
      </c>
      <c r="I136" s="8274" t="s">
        <v>2665</v>
      </c>
      <c r="J136" s="0" t="s">
        <v>17</v>
      </c>
      <c r="K136" s="0" t="s">
        <v>2654</v>
      </c>
      <c r="L136" s="0" t="s">
        <v>2655</v>
      </c>
      <c r="M136" s="0" t="s">
        <v>2656</v>
      </c>
      <c r="N136" s="0" t="s">
        <v>462</v>
      </c>
    </row>
    <row customHeight="1" ht="11.25">
      <c r="A137" s="8274" t="s">
        <v>2233</v>
      </c>
      <c r="B137" s="8274" t="s">
        <v>14</v>
      </c>
      <c r="C137" s="8274" t="s">
        <v>2660</v>
      </c>
      <c r="D137" s="8274" t="s">
        <v>2661</v>
      </c>
      <c r="E137" s="8274" t="s">
        <v>2662</v>
      </c>
      <c r="F137" s="8274" t="s">
        <v>2322</v>
      </c>
      <c r="G137" s="8274" t="s">
        <v>17</v>
      </c>
      <c r="H137" s="8274" t="s">
        <v>17</v>
      </c>
      <c r="I137" s="8274" t="s">
        <v>2259</v>
      </c>
      <c r="J137" s="0" t="s">
        <v>17</v>
      </c>
      <c r="K137" s="0" t="s">
        <v>931</v>
      </c>
      <c r="L137" s="0" t="s">
        <v>2240</v>
      </c>
      <c r="M137" s="0" t="s">
        <v>2241</v>
      </c>
      <c r="N137" s="0" t="s">
        <v>462</v>
      </c>
    </row>
    <row customHeight="1" ht="11.25">
      <c r="A138" s="8274" t="s">
        <v>2233</v>
      </c>
      <c r="B138" s="8274" t="s">
        <v>14</v>
      </c>
      <c r="C138" s="8274" t="s">
        <v>2660</v>
      </c>
      <c r="D138" s="8274" t="s">
        <v>2661</v>
      </c>
      <c r="E138" s="8274" t="s">
        <v>2662</v>
      </c>
      <c r="F138" s="8274" t="s">
        <v>2322</v>
      </c>
      <c r="G138" s="8274" t="s">
        <v>17</v>
      </c>
      <c r="H138" s="8274" t="s">
        <v>17</v>
      </c>
      <c r="I138" s="8274" t="s">
        <v>2666</v>
      </c>
      <c r="J138" s="0" t="s">
        <v>17</v>
      </c>
      <c r="K138" s="0" t="s">
        <v>2654</v>
      </c>
      <c r="L138" s="0" t="s">
        <v>2655</v>
      </c>
      <c r="M138" s="0" t="s">
        <v>2656</v>
      </c>
      <c r="N138" s="0" t="s">
        <v>462</v>
      </c>
    </row>
    <row customHeight="1" ht="11.25">
      <c r="A139" s="8274" t="s">
        <v>2233</v>
      </c>
      <c r="B139" s="8274" t="s">
        <v>14</v>
      </c>
      <c r="C139" s="8274" t="s">
        <v>2667</v>
      </c>
      <c r="D139" s="8274" t="s">
        <v>2668</v>
      </c>
      <c r="E139" s="8274" t="s">
        <v>2669</v>
      </c>
      <c r="F139" s="8274" t="s">
        <v>2369</v>
      </c>
      <c r="G139" s="8274" t="s">
        <v>2670</v>
      </c>
      <c r="H139" s="8274" t="s">
        <v>17</v>
      </c>
      <c r="I139" s="8274" t="s">
        <v>2499</v>
      </c>
      <c r="J139" s="0" t="s">
        <v>17</v>
      </c>
      <c r="K139" s="0" t="s">
        <v>931</v>
      </c>
      <c r="L139" s="0" t="s">
        <v>2240</v>
      </c>
      <c r="M139" s="0" t="s">
        <v>2241</v>
      </c>
      <c r="N139" s="0" t="s">
        <v>462</v>
      </c>
    </row>
    <row customHeight="1" ht="11.25">
      <c r="A140" s="8274" t="s">
        <v>2233</v>
      </c>
      <c r="B140" s="8274" t="s">
        <v>14</v>
      </c>
      <c r="C140" s="8274" t="s">
        <v>2671</v>
      </c>
      <c r="D140" s="8274" t="s">
        <v>2672</v>
      </c>
      <c r="E140" s="8274" t="s">
        <v>2673</v>
      </c>
      <c r="F140" s="8274" t="s">
        <v>2427</v>
      </c>
      <c r="G140" s="8274" t="s">
        <v>2674</v>
      </c>
      <c r="H140" s="8274" t="s">
        <v>17</v>
      </c>
      <c r="I140" s="8274" t="s">
        <v>2674</v>
      </c>
      <c r="J140" s="0" t="s">
        <v>17</v>
      </c>
      <c r="K140" s="0" t="s">
        <v>931</v>
      </c>
      <c r="L140" s="0" t="s">
        <v>2240</v>
      </c>
      <c r="M140" s="0" t="s">
        <v>2241</v>
      </c>
      <c r="N140" s="0" t="s">
        <v>462</v>
      </c>
    </row>
    <row customHeight="1" ht="11.25">
      <c r="A141" s="8274" t="s">
        <v>2233</v>
      </c>
      <c r="B141" s="8274" t="s">
        <v>14</v>
      </c>
      <c r="C141" s="8274" t="s">
        <v>2675</v>
      </c>
      <c r="D141" s="8274" t="s">
        <v>2676</v>
      </c>
      <c r="E141" s="8274" t="s">
        <v>2677</v>
      </c>
      <c r="F141" s="8274" t="s">
        <v>2678</v>
      </c>
      <c r="G141" s="8274" t="s">
        <v>2679</v>
      </c>
      <c r="H141" s="8274" t="s">
        <v>17</v>
      </c>
      <c r="I141" s="8274" t="s">
        <v>2680</v>
      </c>
      <c r="J141" s="0" t="s">
        <v>2681</v>
      </c>
      <c r="K141" s="0" t="s">
        <v>991</v>
      </c>
      <c r="L141" s="0" t="s">
        <v>2260</v>
      </c>
      <c r="M141" s="0" t="s">
        <v>2261</v>
      </c>
      <c r="N141" s="0" t="s">
        <v>462</v>
      </c>
    </row>
    <row customHeight="1" ht="11.25">
      <c r="A142" s="8274" t="s">
        <v>2233</v>
      </c>
      <c r="B142" s="8274" t="s">
        <v>14</v>
      </c>
      <c r="C142" s="8274" t="s">
        <v>2675</v>
      </c>
      <c r="D142" s="8274" t="s">
        <v>2676</v>
      </c>
      <c r="E142" s="8274" t="s">
        <v>2677</v>
      </c>
      <c r="F142" s="8274" t="s">
        <v>2678</v>
      </c>
      <c r="G142" s="8274" t="s">
        <v>2679</v>
      </c>
      <c r="H142" s="8274" t="s">
        <v>17</v>
      </c>
      <c r="I142" s="8274" t="s">
        <v>2682</v>
      </c>
      <c r="J142" s="0" t="s">
        <v>17</v>
      </c>
      <c r="K142" s="0" t="s">
        <v>991</v>
      </c>
      <c r="L142" s="0" t="s">
        <v>2260</v>
      </c>
      <c r="M142" s="0" t="s">
        <v>2261</v>
      </c>
      <c r="N142" s="0" t="s">
        <v>462</v>
      </c>
    </row>
    <row customHeight="1" ht="11.25">
      <c r="A143" s="8274" t="s">
        <v>2233</v>
      </c>
      <c r="B143" s="8274" t="s">
        <v>14</v>
      </c>
      <c r="C143" s="8274" t="s">
        <v>2675</v>
      </c>
      <c r="D143" s="8274" t="s">
        <v>2676</v>
      </c>
      <c r="E143" s="8274" t="s">
        <v>2677</v>
      </c>
      <c r="F143" s="8274" t="s">
        <v>2678</v>
      </c>
      <c r="G143" s="8274" t="s">
        <v>2679</v>
      </c>
      <c r="H143" s="8274" t="s">
        <v>17</v>
      </c>
      <c r="I143" s="8274" t="s">
        <v>2683</v>
      </c>
      <c r="J143" s="0" t="s">
        <v>17</v>
      </c>
      <c r="K143" s="0" t="s">
        <v>991</v>
      </c>
      <c r="L143" s="0" t="s">
        <v>2260</v>
      </c>
      <c r="M143" s="0" t="s">
        <v>2261</v>
      </c>
      <c r="N143" s="0" t="s">
        <v>462</v>
      </c>
    </row>
    <row customHeight="1" ht="11.25">
      <c r="A144" s="8274" t="s">
        <v>2233</v>
      </c>
      <c r="B144" s="8274" t="s">
        <v>14</v>
      </c>
      <c r="C144" s="8274" t="s">
        <v>2684</v>
      </c>
      <c r="D144" s="8274" t="s">
        <v>2685</v>
      </c>
      <c r="E144" s="8274" t="s">
        <v>2686</v>
      </c>
      <c r="F144" s="8274" t="s">
        <v>2251</v>
      </c>
      <c r="G144" s="8274" t="s">
        <v>17</v>
      </c>
      <c r="H144" s="8274" t="s">
        <v>17</v>
      </c>
      <c r="I144" s="8274" t="s">
        <v>2247</v>
      </c>
      <c r="J144" s="0" t="s">
        <v>17</v>
      </c>
      <c r="K144" s="0" t="s">
        <v>975</v>
      </c>
      <c r="L144" s="0" t="s">
        <v>2253</v>
      </c>
      <c r="M144" s="0" t="s">
        <v>2254</v>
      </c>
      <c r="N144" s="0" t="s">
        <v>462</v>
      </c>
    </row>
    <row customHeight="1" ht="11.25">
      <c r="A145" s="8274" t="s">
        <v>2233</v>
      </c>
      <c r="B145" s="8274" t="s">
        <v>14</v>
      </c>
      <c r="C145" s="8274" t="s">
        <v>2684</v>
      </c>
      <c r="D145" s="8274" t="s">
        <v>2685</v>
      </c>
      <c r="E145" s="8274" t="s">
        <v>2686</v>
      </c>
      <c r="F145" s="8274" t="s">
        <v>2251</v>
      </c>
      <c r="G145" s="8274" t="s">
        <v>17</v>
      </c>
      <c r="H145" s="8274" t="s">
        <v>17</v>
      </c>
      <c r="I145" s="8274" t="s">
        <v>2274</v>
      </c>
      <c r="J145" s="0" t="s">
        <v>17</v>
      </c>
      <c r="K145" s="0" t="s">
        <v>975</v>
      </c>
      <c r="L145" s="0" t="s">
        <v>2253</v>
      </c>
      <c r="M145" s="0" t="s">
        <v>2254</v>
      </c>
      <c r="N145" s="0" t="s">
        <v>462</v>
      </c>
    </row>
    <row customHeight="1" ht="11.25">
      <c r="A146" s="8274" t="s">
        <v>2233</v>
      </c>
      <c r="B146" s="8274" t="s">
        <v>14</v>
      </c>
      <c r="C146" s="8274" t="s">
        <v>2687</v>
      </c>
      <c r="D146" s="8274" t="s">
        <v>2688</v>
      </c>
      <c r="E146" s="8274" t="s">
        <v>2689</v>
      </c>
      <c r="F146" s="8274" t="s">
        <v>2358</v>
      </c>
      <c r="G146" s="8274" t="s">
        <v>2690</v>
      </c>
      <c r="H146" s="8274" t="s">
        <v>17</v>
      </c>
      <c r="I146" s="8274" t="s">
        <v>2691</v>
      </c>
      <c r="J146" s="0" t="s">
        <v>17</v>
      </c>
      <c r="K146" s="0" t="s">
        <v>863</v>
      </c>
      <c r="L146" s="0" t="s">
        <v>863</v>
      </c>
      <c r="M146" s="0" t="s">
        <v>2382</v>
      </c>
      <c r="N146" s="0" t="s">
        <v>462</v>
      </c>
    </row>
    <row customHeight="1" ht="11.25">
      <c r="A147" s="8274" t="s">
        <v>2233</v>
      </c>
      <c r="B147" s="8274" t="s">
        <v>14</v>
      </c>
      <c r="C147" s="8274" t="s">
        <v>2692</v>
      </c>
      <c r="D147" s="8274" t="s">
        <v>2693</v>
      </c>
      <c r="E147" s="8274" t="s">
        <v>2694</v>
      </c>
      <c r="F147" s="8274" t="s">
        <v>2365</v>
      </c>
      <c r="G147" s="8274" t="s">
        <v>17</v>
      </c>
      <c r="H147" s="8274" t="s">
        <v>17</v>
      </c>
      <c r="I147" s="8274" t="s">
        <v>2695</v>
      </c>
      <c r="J147" s="0" t="s">
        <v>17</v>
      </c>
      <c r="K147" s="0" t="s">
        <v>931</v>
      </c>
      <c r="L147" s="0" t="s">
        <v>2240</v>
      </c>
      <c r="M147" s="0" t="s">
        <v>2241</v>
      </c>
      <c r="N147" s="0" t="s">
        <v>462</v>
      </c>
    </row>
    <row customHeight="1" ht="11.25">
      <c r="A148" s="8274" t="s">
        <v>2233</v>
      </c>
      <c r="B148" s="8274" t="s">
        <v>14</v>
      </c>
      <c r="C148" s="8274" t="s">
        <v>2696</v>
      </c>
      <c r="D148" s="8274" t="s">
        <v>2697</v>
      </c>
      <c r="E148" s="8274" t="s">
        <v>2698</v>
      </c>
      <c r="F148" s="8274" t="s">
        <v>2379</v>
      </c>
      <c r="G148" s="8274" t="s">
        <v>2699</v>
      </c>
      <c r="H148" s="8274" t="s">
        <v>17</v>
      </c>
      <c r="I148" s="8274" t="s">
        <v>2247</v>
      </c>
      <c r="J148" s="0" t="s">
        <v>17</v>
      </c>
      <c r="K148" s="0" t="s">
        <v>931</v>
      </c>
      <c r="L148" s="0" t="s">
        <v>2240</v>
      </c>
      <c r="M148" s="0" t="s">
        <v>2241</v>
      </c>
      <c r="N148" s="0" t="s">
        <v>462</v>
      </c>
    </row>
    <row customHeight="1" ht="11.25">
      <c r="A149" s="8274" t="s">
        <v>2233</v>
      </c>
      <c r="B149" s="8274" t="s">
        <v>14</v>
      </c>
      <c r="C149" s="8274" t="s">
        <v>2700</v>
      </c>
      <c r="D149" s="8274" t="s">
        <v>2701</v>
      </c>
      <c r="E149" s="8274" t="s">
        <v>2702</v>
      </c>
      <c r="F149" s="8274" t="s">
        <v>2432</v>
      </c>
      <c r="G149" s="8274" t="s">
        <v>17</v>
      </c>
      <c r="H149" s="8274" t="s">
        <v>17</v>
      </c>
      <c r="I149" s="8274" t="s">
        <v>2703</v>
      </c>
      <c r="J149" s="0" t="s">
        <v>17</v>
      </c>
      <c r="K149" s="0" t="s">
        <v>931</v>
      </c>
      <c r="L149" s="0" t="s">
        <v>2240</v>
      </c>
      <c r="M149" s="0" t="s">
        <v>2241</v>
      </c>
      <c r="N149" s="0" t="s">
        <v>462</v>
      </c>
    </row>
    <row customHeight="1" ht="11.25">
      <c r="A150" s="8274" t="s">
        <v>2233</v>
      </c>
      <c r="B150" s="8274" t="s">
        <v>14</v>
      </c>
      <c r="C150" s="8274" t="s">
        <v>2704</v>
      </c>
      <c r="D150" s="8274" t="s">
        <v>2705</v>
      </c>
      <c r="E150" s="8274" t="s">
        <v>2706</v>
      </c>
      <c r="F150" s="8274" t="s">
        <v>2375</v>
      </c>
      <c r="G150" s="8274" t="s">
        <v>2707</v>
      </c>
      <c r="H150" s="8274" t="s">
        <v>17</v>
      </c>
      <c r="I150" s="8274" t="s">
        <v>2708</v>
      </c>
      <c r="J150" s="0" t="s">
        <v>17</v>
      </c>
      <c r="K150" s="0" t="s">
        <v>991</v>
      </c>
      <c r="L150" s="0" t="s">
        <v>2260</v>
      </c>
      <c r="M150" s="0" t="s">
        <v>2261</v>
      </c>
      <c r="N150" s="0" t="s">
        <v>462</v>
      </c>
    </row>
    <row customHeight="1" ht="11.25">
      <c r="A151" s="8274" t="s">
        <v>2233</v>
      </c>
      <c r="B151" s="8274" t="s">
        <v>14</v>
      </c>
      <c r="C151" s="8274" t="s">
        <v>2704</v>
      </c>
      <c r="D151" s="8274" t="s">
        <v>2705</v>
      </c>
      <c r="E151" s="8274" t="s">
        <v>2706</v>
      </c>
      <c r="F151" s="8274" t="s">
        <v>2375</v>
      </c>
      <c r="G151" s="8274" t="s">
        <v>2707</v>
      </c>
      <c r="H151" s="8274" t="s">
        <v>17</v>
      </c>
      <c r="I151" s="8274" t="s">
        <v>2708</v>
      </c>
      <c r="J151" s="0" t="s">
        <v>17</v>
      </c>
      <c r="K151" s="0" t="s">
        <v>2709</v>
      </c>
      <c r="L151" s="0" t="s">
        <v>2304</v>
      </c>
      <c r="M151" s="0" t="s">
        <v>2710</v>
      </c>
      <c r="N151" s="0" t="s">
        <v>462</v>
      </c>
    </row>
    <row customHeight="1" ht="11.25">
      <c r="A152" s="8274" t="s">
        <v>2233</v>
      </c>
      <c r="B152" s="8274" t="s">
        <v>14</v>
      </c>
      <c r="C152" s="8274" t="s">
        <v>2711</v>
      </c>
      <c r="D152" s="8274" t="s">
        <v>2712</v>
      </c>
      <c r="E152" s="8274" t="s">
        <v>2713</v>
      </c>
      <c r="F152" s="8274" t="s">
        <v>2273</v>
      </c>
      <c r="G152" s="8274" t="s">
        <v>17</v>
      </c>
      <c r="H152" s="8274" t="s">
        <v>17</v>
      </c>
      <c r="I152" s="8274" t="s">
        <v>2247</v>
      </c>
      <c r="J152" s="0" t="s">
        <v>17</v>
      </c>
      <c r="K152" s="0" t="s">
        <v>975</v>
      </c>
      <c r="L152" s="0" t="s">
        <v>2253</v>
      </c>
      <c r="M152" s="0" t="s">
        <v>2254</v>
      </c>
      <c r="N152" s="0" t="s">
        <v>462</v>
      </c>
    </row>
    <row customHeight="1" ht="11.25">
      <c r="A153" s="8274" t="s">
        <v>2233</v>
      </c>
      <c r="B153" s="8274" t="s">
        <v>14</v>
      </c>
      <c r="C153" s="8274" t="s">
        <v>2711</v>
      </c>
      <c r="D153" s="8274" t="s">
        <v>2712</v>
      </c>
      <c r="E153" s="8274" t="s">
        <v>2713</v>
      </c>
      <c r="F153" s="8274" t="s">
        <v>2273</v>
      </c>
      <c r="G153" s="8274" t="s">
        <v>17</v>
      </c>
      <c r="H153" s="8274" t="s">
        <v>17</v>
      </c>
      <c r="I153" s="8274" t="s">
        <v>2714</v>
      </c>
      <c r="J153" s="0" t="s">
        <v>17</v>
      </c>
      <c r="K153" s="0" t="s">
        <v>863</v>
      </c>
      <c r="L153" s="0" t="s">
        <v>863</v>
      </c>
      <c r="M153" s="0" t="s">
        <v>2382</v>
      </c>
      <c r="N153" s="0" t="s">
        <v>462</v>
      </c>
    </row>
    <row customHeight="1" ht="11.25">
      <c r="A154" s="8274" t="s">
        <v>2233</v>
      </c>
      <c r="B154" s="8274" t="s">
        <v>14</v>
      </c>
      <c r="C154" s="8274" t="s">
        <v>2711</v>
      </c>
      <c r="D154" s="8274" t="s">
        <v>2712</v>
      </c>
      <c r="E154" s="8274" t="s">
        <v>2713</v>
      </c>
      <c r="F154" s="8274" t="s">
        <v>2273</v>
      </c>
      <c r="G154" s="8274" t="s">
        <v>17</v>
      </c>
      <c r="H154" s="8274" t="s">
        <v>17</v>
      </c>
      <c r="I154" s="8274" t="s">
        <v>2715</v>
      </c>
      <c r="J154" s="0" t="s">
        <v>17</v>
      </c>
      <c r="K154" s="0" t="s">
        <v>931</v>
      </c>
      <c r="L154" s="0" t="s">
        <v>2240</v>
      </c>
      <c r="M154" s="0" t="s">
        <v>2241</v>
      </c>
      <c r="N154" s="0" t="s">
        <v>462</v>
      </c>
    </row>
    <row customHeight="1" ht="11.25">
      <c r="A155" s="8274" t="s">
        <v>2233</v>
      </c>
      <c r="B155" s="8274" t="s">
        <v>14</v>
      </c>
      <c r="C155" s="8274" t="s">
        <v>2716</v>
      </c>
      <c r="D155" s="8274" t="s">
        <v>2717</v>
      </c>
      <c r="E155" s="8274" t="s">
        <v>2718</v>
      </c>
      <c r="F155" s="8274" t="s">
        <v>2719</v>
      </c>
      <c r="G155" s="8274" t="s">
        <v>17</v>
      </c>
      <c r="H155" s="8274" t="s">
        <v>17</v>
      </c>
      <c r="I155" s="8274" t="s">
        <v>2247</v>
      </c>
      <c r="J155" s="0" t="s">
        <v>17</v>
      </c>
      <c r="K155" s="0" t="s">
        <v>975</v>
      </c>
      <c r="L155" s="0" t="s">
        <v>2253</v>
      </c>
      <c r="M155" s="0" t="s">
        <v>2254</v>
      </c>
      <c r="N155" s="0" t="s">
        <v>462</v>
      </c>
    </row>
    <row customHeight="1" ht="11.25">
      <c r="A156" s="8274" t="s">
        <v>2233</v>
      </c>
      <c r="B156" s="8274" t="s">
        <v>14</v>
      </c>
      <c r="C156" s="8274" t="s">
        <v>2720</v>
      </c>
      <c r="D156" s="8274" t="s">
        <v>2721</v>
      </c>
      <c r="E156" s="8274" t="s">
        <v>2722</v>
      </c>
      <c r="F156" s="8274" t="s">
        <v>2432</v>
      </c>
      <c r="G156" s="8274" t="s">
        <v>17</v>
      </c>
      <c r="H156" s="8274" t="s">
        <v>17</v>
      </c>
      <c r="I156" s="8274" t="s">
        <v>2707</v>
      </c>
      <c r="J156" s="0" t="s">
        <v>17</v>
      </c>
      <c r="K156" s="0" t="s">
        <v>931</v>
      </c>
      <c r="L156" s="0" t="s">
        <v>2240</v>
      </c>
      <c r="M156" s="0" t="s">
        <v>2241</v>
      </c>
      <c r="N156" s="0" t="s">
        <v>462</v>
      </c>
    </row>
    <row customHeight="1" ht="11.25">
      <c r="A157" s="8274" t="s">
        <v>2233</v>
      </c>
      <c r="B157" s="8274" t="s">
        <v>14</v>
      </c>
      <c r="C157" s="8274" t="s">
        <v>2723</v>
      </c>
      <c r="D157" s="8274" t="s">
        <v>2724</v>
      </c>
      <c r="E157" s="8274" t="s">
        <v>2725</v>
      </c>
      <c r="F157" s="8274" t="s">
        <v>2251</v>
      </c>
      <c r="G157" s="8274" t="s">
        <v>17</v>
      </c>
      <c r="H157" s="8274" t="s">
        <v>17</v>
      </c>
      <c r="I157" s="8274" t="s">
        <v>2259</v>
      </c>
      <c r="J157" s="0" t="s">
        <v>17</v>
      </c>
      <c r="K157" s="0" t="s">
        <v>975</v>
      </c>
      <c r="L157" s="0" t="s">
        <v>2253</v>
      </c>
      <c r="M157" s="0" t="s">
        <v>2254</v>
      </c>
      <c r="N157" s="0" t="s">
        <v>462</v>
      </c>
    </row>
    <row customHeight="1" ht="11.25">
      <c r="A158" s="8274" t="s">
        <v>2233</v>
      </c>
      <c r="B158" s="8274" t="s">
        <v>14</v>
      </c>
      <c r="C158" s="8274" t="s">
        <v>2723</v>
      </c>
      <c r="D158" s="8274" t="s">
        <v>2724</v>
      </c>
      <c r="E158" s="8274" t="s">
        <v>2725</v>
      </c>
      <c r="F158" s="8274" t="s">
        <v>2251</v>
      </c>
      <c r="G158" s="8274" t="s">
        <v>17</v>
      </c>
      <c r="H158" s="8274" t="s">
        <v>17</v>
      </c>
      <c r="I158" s="8274" t="s">
        <v>2259</v>
      </c>
      <c r="J158" s="0" t="s">
        <v>17</v>
      </c>
      <c r="K158" s="0" t="s">
        <v>2726</v>
      </c>
      <c r="L158" s="0" t="s">
        <v>2323</v>
      </c>
      <c r="M158" s="0" t="s">
        <v>2727</v>
      </c>
      <c r="N158" s="0" t="s">
        <v>462</v>
      </c>
    </row>
    <row customHeight="1" ht="11.25">
      <c r="A159" s="8274" t="s">
        <v>2233</v>
      </c>
      <c r="B159" s="8274" t="s">
        <v>14</v>
      </c>
      <c r="C159" s="8274" t="s">
        <v>2728</v>
      </c>
      <c r="D159" s="8274" t="s">
        <v>2729</v>
      </c>
      <c r="E159" s="8274" t="s">
        <v>2730</v>
      </c>
      <c r="F159" s="8274" t="s">
        <v>2560</v>
      </c>
      <c r="G159" s="8274" t="s">
        <v>17</v>
      </c>
      <c r="H159" s="8274" t="s">
        <v>17</v>
      </c>
      <c r="I159" s="8274" t="s">
        <v>2731</v>
      </c>
      <c r="J159" s="0" t="s">
        <v>17</v>
      </c>
      <c r="K159" s="0" t="s">
        <v>956</v>
      </c>
      <c r="L159" s="0" t="s">
        <v>2370</v>
      </c>
      <c r="M159" s="0" t="s">
        <v>2371</v>
      </c>
      <c r="N159" s="0" t="s">
        <v>462</v>
      </c>
    </row>
    <row customHeight="1" ht="11.25">
      <c r="A160" s="8274" t="s">
        <v>2233</v>
      </c>
      <c r="B160" s="8274" t="s">
        <v>14</v>
      </c>
      <c r="C160" s="8274" t="s">
        <v>2732</v>
      </c>
      <c r="D160" s="8274" t="s">
        <v>2733</v>
      </c>
      <c r="E160" s="8274" t="s">
        <v>2734</v>
      </c>
      <c r="F160" s="8274" t="s">
        <v>2369</v>
      </c>
      <c r="G160" s="8274" t="s">
        <v>17</v>
      </c>
      <c r="H160" s="8274" t="s">
        <v>17</v>
      </c>
      <c r="I160" s="8274" t="s">
        <v>2735</v>
      </c>
      <c r="J160" s="0" t="s">
        <v>17</v>
      </c>
      <c r="K160" s="0" t="s">
        <v>931</v>
      </c>
      <c r="L160" s="0" t="s">
        <v>2240</v>
      </c>
      <c r="M160" s="0" t="s">
        <v>2241</v>
      </c>
      <c r="N160" s="0" t="s">
        <v>462</v>
      </c>
    </row>
    <row customHeight="1" ht="11.25">
      <c r="A161" s="8274" t="s">
        <v>2233</v>
      </c>
      <c r="B161" s="8274" t="s">
        <v>14</v>
      </c>
      <c r="C161" s="8274" t="s">
        <v>2736</v>
      </c>
      <c r="D161" s="8274" t="s">
        <v>2737</v>
      </c>
      <c r="E161" s="8274" t="s">
        <v>2738</v>
      </c>
      <c r="F161" s="8274" t="s">
        <v>2506</v>
      </c>
      <c r="G161" s="8274" t="s">
        <v>17</v>
      </c>
      <c r="H161" s="8274" t="s">
        <v>17</v>
      </c>
      <c r="I161" s="8274" t="s">
        <v>2247</v>
      </c>
      <c r="J161" s="0" t="s">
        <v>17</v>
      </c>
      <c r="K161" s="0" t="s">
        <v>956</v>
      </c>
      <c r="L161" s="0" t="s">
        <v>2370</v>
      </c>
      <c r="M161" s="0" t="s">
        <v>2371</v>
      </c>
      <c r="N161" s="0" t="s">
        <v>462</v>
      </c>
    </row>
    <row customHeight="1" ht="11.25">
      <c r="A162" s="8274" t="s">
        <v>2233</v>
      </c>
      <c r="B162" s="8274" t="s">
        <v>14</v>
      </c>
      <c r="C162" s="8274" t="s">
        <v>2739</v>
      </c>
      <c r="D162" s="8274" t="s">
        <v>2740</v>
      </c>
      <c r="E162" s="8274" t="s">
        <v>2741</v>
      </c>
      <c r="F162" s="8274" t="s">
        <v>2643</v>
      </c>
      <c r="G162" s="8274" t="s">
        <v>17</v>
      </c>
      <c r="H162" s="8274" t="s">
        <v>17</v>
      </c>
      <c r="I162" s="8274" t="s">
        <v>2742</v>
      </c>
      <c r="J162" s="0" t="s">
        <v>17</v>
      </c>
      <c r="K162" s="0" t="s">
        <v>836</v>
      </c>
      <c r="L162" s="0" t="s">
        <v>2323</v>
      </c>
      <c r="M162" s="0" t="s">
        <v>2324</v>
      </c>
      <c r="N162" s="0" t="s">
        <v>462</v>
      </c>
    </row>
    <row customHeight="1" ht="11.25">
      <c r="A163" s="8274" t="s">
        <v>2233</v>
      </c>
      <c r="B163" s="8274" t="s">
        <v>14</v>
      </c>
      <c r="C163" s="8274" t="s">
        <v>2743</v>
      </c>
      <c r="D163" s="8274" t="s">
        <v>2744</v>
      </c>
      <c r="E163" s="8274" t="s">
        <v>2745</v>
      </c>
      <c r="F163" s="8274" t="s">
        <v>2285</v>
      </c>
      <c r="G163" s="8274" t="s">
        <v>2445</v>
      </c>
      <c r="H163" s="8274" t="s">
        <v>17</v>
      </c>
      <c r="I163" s="8274" t="s">
        <v>2499</v>
      </c>
      <c r="J163" s="0" t="s">
        <v>17</v>
      </c>
      <c r="K163" s="0" t="s">
        <v>991</v>
      </c>
      <c r="L163" s="0" t="s">
        <v>2260</v>
      </c>
      <c r="M163" s="0" t="s">
        <v>2261</v>
      </c>
      <c r="N163" s="0" t="s">
        <v>462</v>
      </c>
    </row>
    <row customHeight="1" ht="11.25">
      <c r="A164" s="8274" t="s">
        <v>2233</v>
      </c>
      <c r="B164" s="8274" t="s">
        <v>14</v>
      </c>
      <c r="C164" s="8274" t="s">
        <v>2746</v>
      </c>
      <c r="D164" s="8274" t="s">
        <v>2747</v>
      </c>
      <c r="E164" s="8274" t="s">
        <v>2748</v>
      </c>
      <c r="F164" s="8274" t="s">
        <v>2749</v>
      </c>
      <c r="G164" s="8274" t="s">
        <v>17</v>
      </c>
      <c r="H164" s="8274" t="s">
        <v>17</v>
      </c>
      <c r="I164" s="8274" t="s">
        <v>2311</v>
      </c>
      <c r="J164" s="0" t="s">
        <v>17</v>
      </c>
      <c r="K164" s="0" t="s">
        <v>931</v>
      </c>
      <c r="L164" s="0" t="s">
        <v>2240</v>
      </c>
      <c r="M164" s="0" t="s">
        <v>2241</v>
      </c>
      <c r="N164" s="0" t="s">
        <v>462</v>
      </c>
    </row>
    <row customHeight="1" ht="11.25">
      <c r="A165" s="8274" t="s">
        <v>2233</v>
      </c>
      <c r="B165" s="8274" t="s">
        <v>14</v>
      </c>
      <c r="C165" s="8274" t="s">
        <v>2750</v>
      </c>
      <c r="D165" s="8274" t="s">
        <v>2751</v>
      </c>
      <c r="E165" s="8274" t="s">
        <v>2752</v>
      </c>
      <c r="F165" s="8274" t="s">
        <v>2369</v>
      </c>
      <c r="G165" s="8274" t="s">
        <v>17</v>
      </c>
      <c r="H165" s="8274" t="s">
        <v>17</v>
      </c>
      <c r="I165" s="8274" t="s">
        <v>2259</v>
      </c>
      <c r="J165" s="0" t="s">
        <v>17</v>
      </c>
      <c r="K165" s="0" t="s">
        <v>931</v>
      </c>
      <c r="L165" s="0" t="s">
        <v>2240</v>
      </c>
      <c r="M165" s="0" t="s">
        <v>2241</v>
      </c>
      <c r="N165" s="0" t="s">
        <v>462</v>
      </c>
    </row>
    <row customHeight="1" ht="11.25">
      <c r="A166" s="8274" t="s">
        <v>2233</v>
      </c>
      <c r="B166" s="8274" t="s">
        <v>14</v>
      </c>
      <c r="C166" s="8274" t="s">
        <v>2753</v>
      </c>
      <c r="D166" s="8274" t="s">
        <v>2754</v>
      </c>
      <c r="E166" s="8274" t="s">
        <v>2755</v>
      </c>
      <c r="F166" s="8274" t="s">
        <v>2322</v>
      </c>
      <c r="G166" s="8274" t="s">
        <v>17</v>
      </c>
      <c r="H166" s="8274" t="s">
        <v>17</v>
      </c>
      <c r="I166" s="8274" t="s">
        <v>2259</v>
      </c>
      <c r="J166" s="0" t="s">
        <v>17</v>
      </c>
      <c r="K166" s="0" t="s">
        <v>975</v>
      </c>
      <c r="L166" s="0" t="s">
        <v>2253</v>
      </c>
      <c r="M166" s="0" t="s">
        <v>2254</v>
      </c>
      <c r="N166" s="0" t="s">
        <v>462</v>
      </c>
    </row>
    <row customHeight="1" ht="11.25">
      <c r="A167" s="8274" t="s">
        <v>2233</v>
      </c>
      <c r="B167" s="8274" t="s">
        <v>14</v>
      </c>
      <c r="C167" s="8274" t="s">
        <v>2756</v>
      </c>
      <c r="D167" s="8274" t="s">
        <v>2757</v>
      </c>
      <c r="E167" s="8274" t="s">
        <v>2758</v>
      </c>
      <c r="F167" s="8274" t="s">
        <v>2285</v>
      </c>
      <c r="G167" s="8274" t="s">
        <v>17</v>
      </c>
      <c r="H167" s="8274" t="s">
        <v>17</v>
      </c>
      <c r="I167" s="8274" t="s">
        <v>2311</v>
      </c>
      <c r="J167" s="0" t="s">
        <v>17</v>
      </c>
      <c r="K167" s="0" t="s">
        <v>931</v>
      </c>
      <c r="L167" s="0" t="s">
        <v>2240</v>
      </c>
      <c r="M167" s="0" t="s">
        <v>2241</v>
      </c>
      <c r="N167" s="0" t="s">
        <v>462</v>
      </c>
    </row>
    <row customHeight="1" ht="11.25">
      <c r="A168" s="8274" t="s">
        <v>2233</v>
      </c>
      <c r="B168" s="8274" t="s">
        <v>14</v>
      </c>
      <c r="C168" s="8274" t="s">
        <v>2759</v>
      </c>
      <c r="D168" s="8274" t="s">
        <v>2760</v>
      </c>
      <c r="E168" s="8274" t="s">
        <v>2761</v>
      </c>
      <c r="F168" s="8274" t="s">
        <v>2520</v>
      </c>
      <c r="G168" s="8274" t="s">
        <v>17</v>
      </c>
      <c r="H168" s="8274" t="s">
        <v>17</v>
      </c>
      <c r="I168" s="8274" t="s">
        <v>2329</v>
      </c>
      <c r="J168" s="0" t="s">
        <v>17</v>
      </c>
      <c r="K168" s="0" t="s">
        <v>931</v>
      </c>
      <c r="L168" s="0" t="s">
        <v>2240</v>
      </c>
      <c r="M168" s="0" t="s">
        <v>2241</v>
      </c>
      <c r="N168" s="0" t="s">
        <v>462</v>
      </c>
    </row>
    <row customHeight="1" ht="11.25">
      <c r="A169" s="8274" t="s">
        <v>2233</v>
      </c>
      <c r="B169" s="8274" t="s">
        <v>14</v>
      </c>
      <c r="C169" s="8274" t="s">
        <v>2762</v>
      </c>
      <c r="D169" s="8274" t="s">
        <v>2763</v>
      </c>
      <c r="E169" s="8274" t="s">
        <v>2764</v>
      </c>
      <c r="F169" s="8274" t="s">
        <v>2285</v>
      </c>
      <c r="G169" s="8274" t="s">
        <v>17</v>
      </c>
      <c r="H169" s="8274" t="s">
        <v>17</v>
      </c>
      <c r="I169" s="8274" t="s">
        <v>2311</v>
      </c>
      <c r="J169" s="0" t="s">
        <v>17</v>
      </c>
      <c r="K169" s="0" t="s">
        <v>931</v>
      </c>
      <c r="L169" s="0" t="s">
        <v>2240</v>
      </c>
      <c r="M169" s="0" t="s">
        <v>2241</v>
      </c>
      <c r="N169" s="0" t="s">
        <v>462</v>
      </c>
    </row>
    <row customHeight="1" ht="11.25">
      <c r="A170" s="8274" t="s">
        <v>2233</v>
      </c>
      <c r="B170" s="8274" t="s">
        <v>14</v>
      </c>
      <c r="C170" s="8274" t="s">
        <v>2765</v>
      </c>
      <c r="D170" s="8274" t="s">
        <v>2766</v>
      </c>
      <c r="E170" s="8274" t="s">
        <v>2767</v>
      </c>
      <c r="F170" s="8274" t="s">
        <v>2427</v>
      </c>
      <c r="G170" s="8274" t="s">
        <v>17</v>
      </c>
      <c r="H170" s="8274" t="s">
        <v>17</v>
      </c>
      <c r="I170" s="8274" t="s">
        <v>2329</v>
      </c>
      <c r="J170" s="0" t="s">
        <v>17</v>
      </c>
      <c r="K170" s="0" t="s">
        <v>931</v>
      </c>
      <c r="L170" s="0" t="s">
        <v>2240</v>
      </c>
      <c r="M170" s="0" t="s">
        <v>2241</v>
      </c>
      <c r="N170" s="0" t="s">
        <v>462</v>
      </c>
    </row>
    <row customHeight="1" ht="11.25">
      <c r="A171" s="8274" t="s">
        <v>2233</v>
      </c>
      <c r="B171" s="8274" t="s">
        <v>14</v>
      </c>
      <c r="C171" s="8274" t="s">
        <v>2768</v>
      </c>
      <c r="D171" s="8274" t="s">
        <v>2769</v>
      </c>
      <c r="E171" s="8274" t="s">
        <v>2770</v>
      </c>
      <c r="F171" s="8274" t="s">
        <v>2285</v>
      </c>
      <c r="G171" s="8274" t="s">
        <v>2445</v>
      </c>
      <c r="H171" s="8274" t="s">
        <v>17</v>
      </c>
      <c r="I171" s="8274" t="s">
        <v>2445</v>
      </c>
      <c r="J171" s="0" t="s">
        <v>17</v>
      </c>
      <c r="K171" s="0" t="s">
        <v>931</v>
      </c>
      <c r="L171" s="0" t="s">
        <v>2240</v>
      </c>
      <c r="M171" s="0" t="s">
        <v>2241</v>
      </c>
      <c r="N171" s="0" t="s">
        <v>462</v>
      </c>
    </row>
    <row customHeight="1" ht="11.25">
      <c r="A172" s="8274" t="s">
        <v>2233</v>
      </c>
      <c r="B172" s="8274" t="s">
        <v>14</v>
      </c>
      <c r="C172" s="8274" t="s">
        <v>2771</v>
      </c>
      <c r="D172" s="8274" t="s">
        <v>2772</v>
      </c>
      <c r="E172" s="8274" t="s">
        <v>2773</v>
      </c>
      <c r="F172" s="8274" t="s">
        <v>2285</v>
      </c>
      <c r="G172" s="8274" t="s">
        <v>17</v>
      </c>
      <c r="H172" s="8274" t="s">
        <v>17</v>
      </c>
      <c r="I172" s="8274" t="s">
        <v>2329</v>
      </c>
      <c r="J172" s="0" t="s">
        <v>17</v>
      </c>
      <c r="K172" s="0" t="s">
        <v>975</v>
      </c>
      <c r="L172" s="0" t="s">
        <v>2253</v>
      </c>
      <c r="M172" s="0" t="s">
        <v>2254</v>
      </c>
      <c r="N172" s="0" t="s">
        <v>462</v>
      </c>
    </row>
    <row customHeight="1" ht="11.25">
      <c r="A173" s="8274" t="s">
        <v>2233</v>
      </c>
      <c r="B173" s="8274" t="s">
        <v>14</v>
      </c>
      <c r="C173" s="8274" t="s">
        <v>2774</v>
      </c>
      <c r="D173" s="8274" t="s">
        <v>2775</v>
      </c>
      <c r="E173" s="8274" t="s">
        <v>2776</v>
      </c>
      <c r="F173" s="8274" t="s">
        <v>2375</v>
      </c>
      <c r="G173" s="8274" t="s">
        <v>17</v>
      </c>
      <c r="H173" s="8274" t="s">
        <v>17</v>
      </c>
      <c r="I173" s="8274" t="s">
        <v>2311</v>
      </c>
      <c r="J173" s="0" t="s">
        <v>17</v>
      </c>
      <c r="K173" s="0" t="s">
        <v>931</v>
      </c>
      <c r="L173" s="0" t="s">
        <v>2240</v>
      </c>
      <c r="M173" s="0" t="s">
        <v>2241</v>
      </c>
      <c r="N173" s="0" t="s">
        <v>462</v>
      </c>
    </row>
    <row customHeight="1" ht="11.25">
      <c r="A174" s="8274" t="s">
        <v>2233</v>
      </c>
      <c r="B174" s="8274" t="s">
        <v>14</v>
      </c>
      <c r="C174" s="8274" t="s">
        <v>2774</v>
      </c>
      <c r="D174" s="8274" t="s">
        <v>2775</v>
      </c>
      <c r="E174" s="8274" t="s">
        <v>2776</v>
      </c>
      <c r="F174" s="8274" t="s">
        <v>2375</v>
      </c>
      <c r="G174" s="8274" t="s">
        <v>17</v>
      </c>
      <c r="H174" s="8274" t="s">
        <v>17</v>
      </c>
      <c r="I174" s="8274" t="s">
        <v>2777</v>
      </c>
      <c r="J174" s="0" t="s">
        <v>17</v>
      </c>
      <c r="K174" s="0" t="s">
        <v>991</v>
      </c>
      <c r="L174" s="0" t="s">
        <v>2260</v>
      </c>
      <c r="M174" s="0" t="s">
        <v>2261</v>
      </c>
      <c r="N174" s="0" t="s">
        <v>462</v>
      </c>
    </row>
    <row customHeight="1" ht="11.25">
      <c r="A175" s="8274" t="s">
        <v>2233</v>
      </c>
      <c r="B175" s="8274" t="s">
        <v>14</v>
      </c>
      <c r="C175" s="8274" t="s">
        <v>2778</v>
      </c>
      <c r="D175" s="8274" t="s">
        <v>2779</v>
      </c>
      <c r="E175" s="8274" t="s">
        <v>2780</v>
      </c>
      <c r="F175" s="8274" t="s">
        <v>2520</v>
      </c>
      <c r="G175" s="8274" t="s">
        <v>17</v>
      </c>
      <c r="H175" s="8274" t="s">
        <v>17</v>
      </c>
      <c r="I175" s="8274" t="s">
        <v>2274</v>
      </c>
      <c r="J175" s="0" t="s">
        <v>17</v>
      </c>
      <c r="K175" s="0" t="s">
        <v>931</v>
      </c>
      <c r="L175" s="0" t="s">
        <v>2240</v>
      </c>
      <c r="M175" s="0" t="s">
        <v>2241</v>
      </c>
      <c r="N175" s="0" t="s">
        <v>462</v>
      </c>
    </row>
    <row customHeight="1" ht="11.25">
      <c r="A176" s="8274" t="s">
        <v>2233</v>
      </c>
      <c r="B176" s="8274" t="s">
        <v>14</v>
      </c>
      <c r="C176" s="8274" t="s">
        <v>2781</v>
      </c>
      <c r="D176" s="8274" t="s">
        <v>2782</v>
      </c>
      <c r="E176" s="8274" t="s">
        <v>2783</v>
      </c>
      <c r="F176" s="8274" t="s">
        <v>2369</v>
      </c>
      <c r="G176" s="8274" t="s">
        <v>17</v>
      </c>
      <c r="H176" s="8274" t="s">
        <v>17</v>
      </c>
      <c r="I176" s="8274" t="s">
        <v>2680</v>
      </c>
      <c r="J176" s="0" t="s">
        <v>17</v>
      </c>
      <c r="K176" s="0" t="s">
        <v>975</v>
      </c>
      <c r="L176" s="0" t="s">
        <v>2253</v>
      </c>
      <c r="M176" s="0" t="s">
        <v>2254</v>
      </c>
      <c r="N176" s="0" t="s">
        <v>462</v>
      </c>
    </row>
    <row customHeight="1" ht="11.25">
      <c r="A177" s="8274" t="s">
        <v>2233</v>
      </c>
      <c r="B177" s="8274" t="s">
        <v>14</v>
      </c>
      <c r="C177" s="8274" t="s">
        <v>2784</v>
      </c>
      <c r="D177" s="8274" t="s">
        <v>2785</v>
      </c>
      <c r="E177" s="8274" t="s">
        <v>2786</v>
      </c>
      <c r="F177" s="8274" t="s">
        <v>2251</v>
      </c>
      <c r="G177" s="8274" t="s">
        <v>17</v>
      </c>
      <c r="H177" s="8274" t="s">
        <v>17</v>
      </c>
      <c r="I177" s="8274" t="s">
        <v>2680</v>
      </c>
      <c r="J177" s="0" t="s">
        <v>17</v>
      </c>
      <c r="K177" s="0" t="s">
        <v>975</v>
      </c>
      <c r="L177" s="0" t="s">
        <v>2253</v>
      </c>
      <c r="M177" s="0" t="s">
        <v>2254</v>
      </c>
      <c r="N177" s="0" t="s">
        <v>462</v>
      </c>
    </row>
    <row customHeight="1" ht="11.25">
      <c r="A178" s="8274" t="s">
        <v>2233</v>
      </c>
      <c r="B178" s="8274" t="s">
        <v>14</v>
      </c>
      <c r="C178" s="8274" t="s">
        <v>2787</v>
      </c>
      <c r="D178" s="8274" t="s">
        <v>2788</v>
      </c>
      <c r="E178" s="8274" t="s">
        <v>2789</v>
      </c>
      <c r="F178" s="8274" t="s">
        <v>2285</v>
      </c>
      <c r="G178" s="8274" t="s">
        <v>17</v>
      </c>
      <c r="H178" s="8274" t="s">
        <v>17</v>
      </c>
      <c r="I178" s="8274" t="s">
        <v>2790</v>
      </c>
      <c r="J178" s="0" t="s">
        <v>17</v>
      </c>
      <c r="K178" s="0" t="s">
        <v>931</v>
      </c>
      <c r="L178" s="0" t="s">
        <v>2240</v>
      </c>
      <c r="M178" s="0" t="s">
        <v>2241</v>
      </c>
      <c r="N178" s="0" t="s">
        <v>462</v>
      </c>
    </row>
    <row customHeight="1" ht="11.25">
      <c r="A179" s="8274" t="s">
        <v>2233</v>
      </c>
      <c r="B179" s="8274" t="s">
        <v>14</v>
      </c>
      <c r="C179" s="8274" t="s">
        <v>2791</v>
      </c>
      <c r="D179" s="8274" t="s">
        <v>2792</v>
      </c>
      <c r="E179" s="8274" t="s">
        <v>2793</v>
      </c>
      <c r="F179" s="8274" t="s">
        <v>2506</v>
      </c>
      <c r="G179" s="8274" t="s">
        <v>17</v>
      </c>
      <c r="H179" s="8274" t="s">
        <v>17</v>
      </c>
      <c r="I179" s="8274" t="s">
        <v>2422</v>
      </c>
      <c r="J179" s="0" t="s">
        <v>17</v>
      </c>
      <c r="K179" s="0" t="s">
        <v>975</v>
      </c>
      <c r="L179" s="0" t="s">
        <v>2253</v>
      </c>
      <c r="M179" s="0" t="s">
        <v>2254</v>
      </c>
      <c r="N179" s="0" t="s">
        <v>462</v>
      </c>
    </row>
    <row customHeight="1" ht="11.25">
      <c r="A180" s="8274" t="s">
        <v>2233</v>
      </c>
      <c r="B180" s="8274" t="s">
        <v>14</v>
      </c>
      <c r="C180" s="8274" t="s">
        <v>2794</v>
      </c>
      <c r="D180" s="8274" t="s">
        <v>2795</v>
      </c>
      <c r="E180" s="8274" t="s">
        <v>2796</v>
      </c>
      <c r="F180" s="8274" t="s">
        <v>2251</v>
      </c>
      <c r="G180" s="8274" t="s">
        <v>2616</v>
      </c>
      <c r="H180" s="8274" t="s">
        <v>17</v>
      </c>
      <c r="I180" s="8274" t="s">
        <v>2259</v>
      </c>
      <c r="J180" s="0" t="s">
        <v>17</v>
      </c>
      <c r="K180" s="0" t="s">
        <v>991</v>
      </c>
      <c r="L180" s="0" t="s">
        <v>2260</v>
      </c>
      <c r="M180" s="0" t="s">
        <v>2261</v>
      </c>
      <c r="N180" s="0" t="s">
        <v>462</v>
      </c>
    </row>
    <row customHeight="1" ht="11.25">
      <c r="A181" s="8274" t="s">
        <v>2233</v>
      </c>
      <c r="B181" s="8274" t="s">
        <v>14</v>
      </c>
      <c r="C181" s="8274" t="s">
        <v>2797</v>
      </c>
      <c r="D181" s="8274" t="s">
        <v>2798</v>
      </c>
      <c r="E181" s="8274" t="s">
        <v>2799</v>
      </c>
      <c r="F181" s="8274" t="s">
        <v>2432</v>
      </c>
      <c r="G181" s="8274" t="s">
        <v>17</v>
      </c>
      <c r="H181" s="8274" t="s">
        <v>17</v>
      </c>
      <c r="I181" s="8274" t="s">
        <v>2247</v>
      </c>
      <c r="J181" s="0" t="s">
        <v>17</v>
      </c>
      <c r="K181" s="0" t="s">
        <v>931</v>
      </c>
      <c r="L181" s="0" t="s">
        <v>2240</v>
      </c>
      <c r="M181" s="0" t="s">
        <v>2241</v>
      </c>
      <c r="N181" s="0" t="s">
        <v>462</v>
      </c>
    </row>
    <row customHeight="1" ht="11.25">
      <c r="A182" s="8274" t="s">
        <v>2233</v>
      </c>
      <c r="B182" s="8274" t="s">
        <v>14</v>
      </c>
      <c r="C182" s="8274" t="s">
        <v>2800</v>
      </c>
      <c r="D182" s="8274" t="s">
        <v>2801</v>
      </c>
      <c r="E182" s="8274" t="s">
        <v>2802</v>
      </c>
      <c r="F182" s="8274" t="s">
        <v>2379</v>
      </c>
      <c r="G182" s="8274" t="s">
        <v>17</v>
      </c>
      <c r="H182" s="8274" t="s">
        <v>17</v>
      </c>
      <c r="I182" s="8274" t="s">
        <v>2329</v>
      </c>
      <c r="J182" s="0" t="s">
        <v>17</v>
      </c>
      <c r="K182" s="0" t="s">
        <v>991</v>
      </c>
      <c r="L182" s="0" t="s">
        <v>2260</v>
      </c>
      <c r="M182" s="0" t="s">
        <v>2261</v>
      </c>
      <c r="N182" s="0" t="s">
        <v>462</v>
      </c>
    </row>
    <row customHeight="1" ht="11.25">
      <c r="A183" s="8274" t="s">
        <v>2233</v>
      </c>
      <c r="B183" s="8274" t="s">
        <v>14</v>
      </c>
      <c r="C183" s="8274" t="s">
        <v>2803</v>
      </c>
      <c r="D183" s="8274" t="s">
        <v>2804</v>
      </c>
      <c r="E183" s="8274" t="s">
        <v>2805</v>
      </c>
      <c r="F183" s="8274" t="s">
        <v>2285</v>
      </c>
      <c r="G183" s="8274" t="s">
        <v>17</v>
      </c>
      <c r="H183" s="8274" t="s">
        <v>17</v>
      </c>
      <c r="I183" s="8274" t="s">
        <v>2247</v>
      </c>
      <c r="J183" s="0" t="s">
        <v>17</v>
      </c>
      <c r="K183" s="0" t="s">
        <v>975</v>
      </c>
      <c r="L183" s="0" t="s">
        <v>2253</v>
      </c>
      <c r="M183" s="0" t="s">
        <v>2254</v>
      </c>
      <c r="N183" s="0" t="s">
        <v>462</v>
      </c>
    </row>
    <row customHeight="1" ht="11.25">
      <c r="A184" s="8274" t="s">
        <v>2233</v>
      </c>
      <c r="B184" s="8274" t="s">
        <v>14</v>
      </c>
      <c r="C184" s="8274" t="s">
        <v>2803</v>
      </c>
      <c r="D184" s="8274" t="s">
        <v>2804</v>
      </c>
      <c r="E184" s="8274" t="s">
        <v>2805</v>
      </c>
      <c r="F184" s="8274" t="s">
        <v>2285</v>
      </c>
      <c r="G184" s="8274" t="s">
        <v>17</v>
      </c>
      <c r="H184" s="8274" t="s">
        <v>17</v>
      </c>
      <c r="I184" s="8274" t="s">
        <v>2806</v>
      </c>
      <c r="J184" s="0" t="s">
        <v>17</v>
      </c>
      <c r="K184" s="0" t="s">
        <v>991</v>
      </c>
      <c r="L184" s="0" t="s">
        <v>2260</v>
      </c>
      <c r="M184" s="0" t="s">
        <v>2261</v>
      </c>
      <c r="N184" s="0" t="s">
        <v>462</v>
      </c>
    </row>
    <row customHeight="1" ht="11.25">
      <c r="A185" s="8274" t="s">
        <v>2233</v>
      </c>
      <c r="B185" s="8274" t="s">
        <v>14</v>
      </c>
      <c r="C185" s="8274" t="s">
        <v>2807</v>
      </c>
      <c r="D185" s="8274" t="s">
        <v>2808</v>
      </c>
      <c r="E185" s="8274" t="s">
        <v>2809</v>
      </c>
      <c r="F185" s="8274" t="s">
        <v>2375</v>
      </c>
      <c r="G185" s="8274" t="s">
        <v>2521</v>
      </c>
      <c r="H185" s="8274" t="s">
        <v>17</v>
      </c>
      <c r="I185" s="8274" t="s">
        <v>2521</v>
      </c>
      <c r="J185" s="0" t="s">
        <v>17</v>
      </c>
      <c r="K185" s="0" t="s">
        <v>991</v>
      </c>
      <c r="L185" s="0" t="s">
        <v>2260</v>
      </c>
      <c r="M185" s="0" t="s">
        <v>2261</v>
      </c>
      <c r="N185" s="0" t="s">
        <v>462</v>
      </c>
    </row>
    <row customHeight="1" ht="11.25">
      <c r="A186" s="8274" t="s">
        <v>2233</v>
      </c>
      <c r="B186" s="8274" t="s">
        <v>14</v>
      </c>
      <c r="C186" s="8274" t="s">
        <v>2810</v>
      </c>
      <c r="D186" s="8274" t="s">
        <v>2811</v>
      </c>
      <c r="E186" s="8274" t="s">
        <v>2812</v>
      </c>
      <c r="F186" s="8274" t="s">
        <v>2560</v>
      </c>
      <c r="G186" s="8274" t="s">
        <v>17</v>
      </c>
      <c r="H186" s="8274" t="s">
        <v>17</v>
      </c>
      <c r="I186" s="8274" t="s">
        <v>2259</v>
      </c>
      <c r="J186" s="0" t="s">
        <v>17</v>
      </c>
      <c r="K186" s="0" t="s">
        <v>931</v>
      </c>
      <c r="L186" s="0" t="s">
        <v>2240</v>
      </c>
      <c r="M186" s="0" t="s">
        <v>2241</v>
      </c>
      <c r="N186" s="0" t="s">
        <v>462</v>
      </c>
    </row>
    <row customHeight="1" ht="11.25">
      <c r="A187" s="8274" t="s">
        <v>2233</v>
      </c>
      <c r="B187" s="8274" t="s">
        <v>14</v>
      </c>
      <c r="C187" s="8274" t="s">
        <v>2813</v>
      </c>
      <c r="D187" s="8274" t="s">
        <v>2814</v>
      </c>
      <c r="E187" s="8274" t="s">
        <v>2815</v>
      </c>
      <c r="F187" s="8274" t="s">
        <v>2560</v>
      </c>
      <c r="G187" s="8274" t="s">
        <v>17</v>
      </c>
      <c r="H187" s="8274" t="s">
        <v>17</v>
      </c>
      <c r="I187" s="8274" t="s">
        <v>2556</v>
      </c>
      <c r="J187" s="0" t="s">
        <v>17</v>
      </c>
      <c r="K187" s="0" t="s">
        <v>931</v>
      </c>
      <c r="L187" s="0" t="s">
        <v>2240</v>
      </c>
      <c r="M187" s="0" t="s">
        <v>2241</v>
      </c>
      <c r="N187" s="0" t="s">
        <v>462</v>
      </c>
    </row>
    <row customHeight="1" ht="11.25">
      <c r="A188" s="8274" t="s">
        <v>2233</v>
      </c>
      <c r="B188" s="8274" t="s">
        <v>14</v>
      </c>
      <c r="C188" s="8274" t="s">
        <v>2816</v>
      </c>
      <c r="D188" s="8274" t="s">
        <v>2817</v>
      </c>
      <c r="E188" s="8274" t="s">
        <v>2818</v>
      </c>
      <c r="F188" s="8274" t="s">
        <v>2560</v>
      </c>
      <c r="G188" s="8274" t="s">
        <v>17</v>
      </c>
      <c r="H188" s="8274" t="s">
        <v>17</v>
      </c>
      <c r="I188" s="8274" t="s">
        <v>2259</v>
      </c>
      <c r="J188" s="0" t="s">
        <v>17</v>
      </c>
      <c r="K188" s="0" t="s">
        <v>991</v>
      </c>
      <c r="L188" s="0" t="s">
        <v>2260</v>
      </c>
      <c r="M188" s="0" t="s">
        <v>2261</v>
      </c>
      <c r="N188" s="0" t="s">
        <v>462</v>
      </c>
    </row>
    <row customHeight="1" ht="11.25">
      <c r="A189" s="8274" t="s">
        <v>2233</v>
      </c>
      <c r="B189" s="8274" t="s">
        <v>14</v>
      </c>
      <c r="C189" s="8274" t="s">
        <v>2816</v>
      </c>
      <c r="D189" s="8274" t="s">
        <v>2817</v>
      </c>
      <c r="E189" s="8274" t="s">
        <v>2818</v>
      </c>
      <c r="F189" s="8274" t="s">
        <v>2560</v>
      </c>
      <c r="G189" s="8274" t="s">
        <v>17</v>
      </c>
      <c r="H189" s="8274" t="s">
        <v>17</v>
      </c>
      <c r="I189" s="8274" t="s">
        <v>2259</v>
      </c>
      <c r="J189" s="0" t="s">
        <v>17</v>
      </c>
      <c r="K189" s="0" t="s">
        <v>975</v>
      </c>
      <c r="L189" s="0" t="s">
        <v>2253</v>
      </c>
      <c r="M189" s="0" t="s">
        <v>2254</v>
      </c>
      <c r="N189" s="0" t="s">
        <v>462</v>
      </c>
    </row>
    <row customHeight="1" ht="11.25">
      <c r="A190" s="8274" t="s">
        <v>2233</v>
      </c>
      <c r="B190" s="8274" t="s">
        <v>14</v>
      </c>
      <c r="C190" s="8274" t="s">
        <v>2819</v>
      </c>
      <c r="D190" s="8274" t="s">
        <v>2820</v>
      </c>
      <c r="E190" s="8274" t="s">
        <v>2821</v>
      </c>
      <c r="F190" s="8274" t="s">
        <v>2822</v>
      </c>
      <c r="G190" s="8274" t="s">
        <v>17</v>
      </c>
      <c r="H190" s="8274" t="s">
        <v>17</v>
      </c>
      <c r="I190" s="8274" t="s">
        <v>2463</v>
      </c>
      <c r="J190" s="0" t="s">
        <v>17</v>
      </c>
      <c r="K190" s="0" t="s">
        <v>931</v>
      </c>
      <c r="L190" s="0" t="s">
        <v>2240</v>
      </c>
      <c r="M190" s="0" t="s">
        <v>2241</v>
      </c>
      <c r="N190" s="0" t="s">
        <v>462</v>
      </c>
    </row>
    <row customHeight="1" ht="11.25">
      <c r="A191" s="8274" t="s">
        <v>2233</v>
      </c>
      <c r="B191" s="8274" t="s">
        <v>14</v>
      </c>
      <c r="C191" s="8274" t="s">
        <v>2823</v>
      </c>
      <c r="D191" s="8274" t="s">
        <v>2824</v>
      </c>
      <c r="E191" s="8274" t="s">
        <v>2825</v>
      </c>
      <c r="F191" s="8274" t="s">
        <v>2427</v>
      </c>
      <c r="G191" s="8274" t="s">
        <v>17</v>
      </c>
      <c r="H191" s="8274" t="s">
        <v>17</v>
      </c>
      <c r="I191" s="8274" t="s">
        <v>2463</v>
      </c>
      <c r="J191" s="0" t="s">
        <v>17</v>
      </c>
      <c r="K191" s="0" t="s">
        <v>931</v>
      </c>
      <c r="L191" s="0" t="s">
        <v>2240</v>
      </c>
      <c r="M191" s="0" t="s">
        <v>2241</v>
      </c>
      <c r="N191" s="0" t="s">
        <v>462</v>
      </c>
    </row>
    <row customHeight="1" ht="11.25">
      <c r="A192" s="8274" t="s">
        <v>2233</v>
      </c>
      <c r="B192" s="8274" t="s">
        <v>14</v>
      </c>
      <c r="C192" s="8274" t="s">
        <v>2826</v>
      </c>
      <c r="D192" s="8274" t="s">
        <v>2827</v>
      </c>
      <c r="E192" s="8274" t="s">
        <v>2828</v>
      </c>
      <c r="F192" s="8274" t="s">
        <v>2829</v>
      </c>
      <c r="G192" s="8274" t="s">
        <v>2830</v>
      </c>
      <c r="H192" s="8274" t="s">
        <v>17</v>
      </c>
      <c r="I192" s="8274" t="s">
        <v>2830</v>
      </c>
      <c r="J192" s="0" t="s">
        <v>17</v>
      </c>
      <c r="K192" s="0" t="s">
        <v>931</v>
      </c>
      <c r="L192" s="0" t="s">
        <v>2240</v>
      </c>
      <c r="M192" s="0" t="s">
        <v>2241</v>
      </c>
      <c r="N192" s="0" t="s">
        <v>462</v>
      </c>
    </row>
    <row customHeight="1" ht="11.25">
      <c r="A193" s="8274" t="s">
        <v>2233</v>
      </c>
      <c r="B193" s="8274" t="s">
        <v>14</v>
      </c>
      <c r="C193" s="8274" t="s">
        <v>2831</v>
      </c>
      <c r="D193" s="8274" t="s">
        <v>2832</v>
      </c>
      <c r="E193" s="8274" t="s">
        <v>2833</v>
      </c>
      <c r="F193" s="8274" t="s">
        <v>2520</v>
      </c>
      <c r="G193" s="8274" t="s">
        <v>17</v>
      </c>
      <c r="H193" s="8274" t="s">
        <v>17</v>
      </c>
      <c r="I193" s="8274" t="s">
        <v>2329</v>
      </c>
      <c r="J193" s="0" t="s">
        <v>17</v>
      </c>
      <c r="K193" s="0" t="s">
        <v>931</v>
      </c>
      <c r="L193" s="0" t="s">
        <v>2240</v>
      </c>
      <c r="M193" s="0" t="s">
        <v>2241</v>
      </c>
      <c r="N193" s="0" t="s">
        <v>462</v>
      </c>
    </row>
    <row customHeight="1" ht="11.25">
      <c r="A194" s="8274" t="s">
        <v>2233</v>
      </c>
      <c r="B194" s="8274" t="s">
        <v>14</v>
      </c>
      <c r="C194" s="8274" t="s">
        <v>2834</v>
      </c>
      <c r="D194" s="8274" t="s">
        <v>2835</v>
      </c>
      <c r="E194" s="8274" t="s">
        <v>2836</v>
      </c>
      <c r="F194" s="8274" t="s">
        <v>2829</v>
      </c>
      <c r="G194" s="8274" t="s">
        <v>17</v>
      </c>
      <c r="H194" s="8274" t="s">
        <v>17</v>
      </c>
      <c r="I194" s="8274" t="s">
        <v>2311</v>
      </c>
      <c r="J194" s="0" t="s">
        <v>17</v>
      </c>
      <c r="K194" s="0" t="s">
        <v>931</v>
      </c>
      <c r="L194" s="0" t="s">
        <v>2240</v>
      </c>
      <c r="M194" s="0" t="s">
        <v>2241</v>
      </c>
      <c r="N194" s="0" t="s">
        <v>462</v>
      </c>
    </row>
    <row customHeight="1" ht="11.25">
      <c r="A195" s="8274" t="s">
        <v>2233</v>
      </c>
      <c r="B195" s="8274" t="s">
        <v>14</v>
      </c>
      <c r="C195" s="8274" t="s">
        <v>2837</v>
      </c>
      <c r="D195" s="8274" t="s">
        <v>2838</v>
      </c>
      <c r="E195" s="8274" t="s">
        <v>2839</v>
      </c>
      <c r="F195" s="8274" t="s">
        <v>2365</v>
      </c>
      <c r="G195" s="8274" t="s">
        <v>17</v>
      </c>
      <c r="H195" s="8274" t="s">
        <v>17</v>
      </c>
      <c r="I195" s="8274" t="s">
        <v>2247</v>
      </c>
      <c r="J195" s="0" t="s">
        <v>17</v>
      </c>
      <c r="K195" s="0" t="s">
        <v>991</v>
      </c>
      <c r="L195" s="0" t="s">
        <v>2260</v>
      </c>
      <c r="M195" s="0" t="s">
        <v>2261</v>
      </c>
      <c r="N195" s="0" t="s">
        <v>462</v>
      </c>
    </row>
    <row customHeight="1" ht="11.25">
      <c r="A196" s="8274" t="s">
        <v>2233</v>
      </c>
      <c r="B196" s="8274" t="s">
        <v>14</v>
      </c>
      <c r="C196" s="8274" t="s">
        <v>2840</v>
      </c>
      <c r="D196" s="8274" t="s">
        <v>2841</v>
      </c>
      <c r="E196" s="8274" t="s">
        <v>2842</v>
      </c>
      <c r="F196" s="8274" t="s">
        <v>2379</v>
      </c>
      <c r="G196" s="8274" t="s">
        <v>17</v>
      </c>
      <c r="H196" s="8274" t="s">
        <v>17</v>
      </c>
      <c r="I196" s="8274" t="s">
        <v>2247</v>
      </c>
      <c r="J196" s="0" t="s">
        <v>17</v>
      </c>
      <c r="K196" s="0" t="s">
        <v>975</v>
      </c>
      <c r="L196" s="0" t="s">
        <v>2253</v>
      </c>
      <c r="M196" s="0" t="s">
        <v>2254</v>
      </c>
      <c r="N196" s="0" t="s">
        <v>462</v>
      </c>
    </row>
    <row customHeight="1" ht="11.25">
      <c r="A197" s="8274" t="s">
        <v>2233</v>
      </c>
      <c r="B197" s="8274" t="s">
        <v>14</v>
      </c>
      <c r="C197" s="8274" t="s">
        <v>2843</v>
      </c>
      <c r="D197" s="8274" t="s">
        <v>2844</v>
      </c>
      <c r="E197" s="8274" t="s">
        <v>2845</v>
      </c>
      <c r="F197" s="8274" t="s">
        <v>2829</v>
      </c>
      <c r="G197" s="8274" t="s">
        <v>17</v>
      </c>
      <c r="H197" s="8274" t="s">
        <v>17</v>
      </c>
      <c r="I197" s="8274" t="s">
        <v>2329</v>
      </c>
      <c r="J197" s="0" t="s">
        <v>17</v>
      </c>
      <c r="K197" s="0" t="s">
        <v>931</v>
      </c>
      <c r="L197" s="0" t="s">
        <v>2240</v>
      </c>
      <c r="M197" s="0" t="s">
        <v>2241</v>
      </c>
      <c r="N197" s="0" t="s">
        <v>462</v>
      </c>
    </row>
    <row customHeight="1" ht="11.25">
      <c r="A198" s="8274" t="s">
        <v>2233</v>
      </c>
      <c r="B198" s="8274" t="s">
        <v>14</v>
      </c>
      <c r="C198" s="8274" t="s">
        <v>2846</v>
      </c>
      <c r="D198" s="8274" t="s">
        <v>2847</v>
      </c>
      <c r="E198" s="8274" t="s">
        <v>2848</v>
      </c>
      <c r="F198" s="8274" t="s">
        <v>2829</v>
      </c>
      <c r="G198" s="8274" t="s">
        <v>17</v>
      </c>
      <c r="H198" s="8274" t="s">
        <v>17</v>
      </c>
      <c r="I198" s="8274" t="s">
        <v>2329</v>
      </c>
      <c r="J198" s="0" t="s">
        <v>17</v>
      </c>
      <c r="K198" s="0" t="s">
        <v>931</v>
      </c>
      <c r="L198" s="0" t="s">
        <v>2240</v>
      </c>
      <c r="M198" s="0" t="s">
        <v>2241</v>
      </c>
      <c r="N198" s="0" t="s">
        <v>462</v>
      </c>
    </row>
    <row customHeight="1" ht="11.25">
      <c r="A199" s="8274" t="s">
        <v>2233</v>
      </c>
      <c r="B199" s="8274" t="s">
        <v>14</v>
      </c>
      <c r="C199" s="8274" t="s">
        <v>2849</v>
      </c>
      <c r="D199" s="8274" t="s">
        <v>2850</v>
      </c>
      <c r="E199" s="8274" t="s">
        <v>2851</v>
      </c>
      <c r="F199" s="8274" t="s">
        <v>2365</v>
      </c>
      <c r="G199" s="8274" t="s">
        <v>17</v>
      </c>
      <c r="H199" s="8274" t="s">
        <v>17</v>
      </c>
      <c r="I199" s="8274" t="s">
        <v>2247</v>
      </c>
      <c r="J199" s="0" t="s">
        <v>17</v>
      </c>
      <c r="K199" s="0" t="s">
        <v>975</v>
      </c>
      <c r="L199" s="0" t="s">
        <v>2253</v>
      </c>
      <c r="M199" s="0" t="s">
        <v>2254</v>
      </c>
      <c r="N199" s="0" t="s">
        <v>462</v>
      </c>
    </row>
    <row customHeight="1" ht="11.25">
      <c r="A200" s="8274" t="s">
        <v>2233</v>
      </c>
      <c r="B200" s="8274" t="s">
        <v>14</v>
      </c>
      <c r="C200" s="8274" t="s">
        <v>2852</v>
      </c>
      <c r="D200" s="8274" t="s">
        <v>2853</v>
      </c>
      <c r="E200" s="8274" t="s">
        <v>2854</v>
      </c>
      <c r="F200" s="8274" t="s">
        <v>2273</v>
      </c>
      <c r="G200" s="8274" t="s">
        <v>17</v>
      </c>
      <c r="H200" s="8274" t="s">
        <v>17</v>
      </c>
      <c r="I200" s="8274" t="s">
        <v>2247</v>
      </c>
      <c r="J200" s="0" t="s">
        <v>17</v>
      </c>
      <c r="K200" s="0" t="s">
        <v>931</v>
      </c>
      <c r="L200" s="0" t="s">
        <v>2240</v>
      </c>
      <c r="M200" s="0" t="s">
        <v>2241</v>
      </c>
      <c r="N200" s="0" t="s">
        <v>462</v>
      </c>
    </row>
    <row customHeight="1" ht="11.25">
      <c r="A201" s="8274" t="s">
        <v>2233</v>
      </c>
      <c r="B201" s="8274" t="s">
        <v>14</v>
      </c>
      <c r="C201" s="8274" t="s">
        <v>2855</v>
      </c>
      <c r="D201" s="8274" t="s">
        <v>2856</v>
      </c>
      <c r="E201" s="8274" t="s">
        <v>2857</v>
      </c>
      <c r="F201" s="8274" t="s">
        <v>2858</v>
      </c>
      <c r="G201" s="8274" t="s">
        <v>17</v>
      </c>
      <c r="H201" s="8274" t="s">
        <v>17</v>
      </c>
      <c r="I201" s="8274" t="s">
        <v>2859</v>
      </c>
      <c r="J201" s="0" t="s">
        <v>17</v>
      </c>
      <c r="K201" s="0" t="s">
        <v>836</v>
      </c>
      <c r="L201" s="0" t="s">
        <v>2280</v>
      </c>
      <c r="M201" s="0" t="s">
        <v>2281</v>
      </c>
      <c r="N201" s="0" t="s">
        <v>462</v>
      </c>
    </row>
    <row customHeight="1" ht="11.25">
      <c r="A202" s="8274" t="s">
        <v>2233</v>
      </c>
      <c r="B202" s="8274" t="s">
        <v>14</v>
      </c>
      <c r="C202" s="8274" t="s">
        <v>2855</v>
      </c>
      <c r="D202" s="8274" t="s">
        <v>2856</v>
      </c>
      <c r="E202" s="8274" t="s">
        <v>2857</v>
      </c>
      <c r="F202" s="8274" t="s">
        <v>2858</v>
      </c>
      <c r="G202" s="8274" t="s">
        <v>17</v>
      </c>
      <c r="H202" s="8274" t="s">
        <v>17</v>
      </c>
      <c r="I202" s="8274" t="s">
        <v>2859</v>
      </c>
      <c r="J202" s="0" t="s">
        <v>17</v>
      </c>
      <c r="K202" s="0" t="s">
        <v>899</v>
      </c>
      <c r="L202" s="0" t="s">
        <v>2280</v>
      </c>
      <c r="M202" s="0" t="s">
        <v>2281</v>
      </c>
      <c r="N202" s="0" t="s">
        <v>462</v>
      </c>
    </row>
    <row customHeight="1" ht="11.25">
      <c r="A203" s="8274" t="s">
        <v>2233</v>
      </c>
      <c r="B203" s="8274" t="s">
        <v>14</v>
      </c>
      <c r="C203" s="8274" t="s">
        <v>2855</v>
      </c>
      <c r="D203" s="8274" t="s">
        <v>2856</v>
      </c>
      <c r="E203" s="8274" t="s">
        <v>2857</v>
      </c>
      <c r="F203" s="8274" t="s">
        <v>2858</v>
      </c>
      <c r="G203" s="8274" t="s">
        <v>17</v>
      </c>
      <c r="H203" s="8274" t="s">
        <v>17</v>
      </c>
      <c r="I203" s="8274" t="s">
        <v>2259</v>
      </c>
      <c r="J203" s="0" t="s">
        <v>17</v>
      </c>
      <c r="K203" s="0" t="s">
        <v>836</v>
      </c>
      <c r="L203" s="0" t="s">
        <v>2280</v>
      </c>
      <c r="M203" s="0" t="s">
        <v>2281</v>
      </c>
      <c r="N203" s="0" t="s">
        <v>462</v>
      </c>
    </row>
    <row customHeight="1" ht="11.25">
      <c r="A204" s="8274" t="s">
        <v>2233</v>
      </c>
      <c r="B204" s="8274" t="s">
        <v>14</v>
      </c>
      <c r="C204" s="8274" t="s">
        <v>2855</v>
      </c>
      <c r="D204" s="8274" t="s">
        <v>2856</v>
      </c>
      <c r="E204" s="8274" t="s">
        <v>2857</v>
      </c>
      <c r="F204" s="8274" t="s">
        <v>2858</v>
      </c>
      <c r="G204" s="8274" t="s">
        <v>17</v>
      </c>
      <c r="H204" s="8274" t="s">
        <v>17</v>
      </c>
      <c r="I204" s="8274" t="s">
        <v>2259</v>
      </c>
      <c r="J204" s="0" t="s">
        <v>17</v>
      </c>
      <c r="K204" s="0" t="s">
        <v>899</v>
      </c>
      <c r="L204" s="0" t="s">
        <v>2280</v>
      </c>
      <c r="M204" s="0" t="s">
        <v>2281</v>
      </c>
      <c r="N204" s="0" t="s">
        <v>462</v>
      </c>
    </row>
    <row customHeight="1" ht="11.25">
      <c r="A205" s="8274" t="s">
        <v>2233</v>
      </c>
      <c r="B205" s="8274" t="s">
        <v>14</v>
      </c>
      <c r="C205" s="8274" t="s">
        <v>2855</v>
      </c>
      <c r="D205" s="8274" t="s">
        <v>2856</v>
      </c>
      <c r="E205" s="8274" t="s">
        <v>2857</v>
      </c>
      <c r="F205" s="8274" t="s">
        <v>2858</v>
      </c>
      <c r="G205" s="8274" t="s">
        <v>17</v>
      </c>
      <c r="H205" s="8274" t="s">
        <v>17</v>
      </c>
      <c r="I205" s="8274" t="s">
        <v>2279</v>
      </c>
      <c r="J205" s="0" t="s">
        <v>17</v>
      </c>
      <c r="K205" s="0" t="s">
        <v>836</v>
      </c>
      <c r="L205" s="0" t="s">
        <v>2280</v>
      </c>
      <c r="M205" s="0" t="s">
        <v>2281</v>
      </c>
      <c r="N205" s="0" t="s">
        <v>462</v>
      </c>
    </row>
    <row customHeight="1" ht="11.25">
      <c r="A206" s="8274" t="s">
        <v>2233</v>
      </c>
      <c r="B206" s="8274" t="s">
        <v>14</v>
      </c>
      <c r="C206" s="8274" t="s">
        <v>2855</v>
      </c>
      <c r="D206" s="8274" t="s">
        <v>2856</v>
      </c>
      <c r="E206" s="8274" t="s">
        <v>2857</v>
      </c>
      <c r="F206" s="8274" t="s">
        <v>2858</v>
      </c>
      <c r="G206" s="8274" t="s">
        <v>17</v>
      </c>
      <c r="H206" s="8274" t="s">
        <v>17</v>
      </c>
      <c r="I206" s="8274" t="s">
        <v>2279</v>
      </c>
      <c r="J206" s="0" t="s">
        <v>17</v>
      </c>
      <c r="K206" s="0" t="s">
        <v>899</v>
      </c>
      <c r="L206" s="0" t="s">
        <v>2280</v>
      </c>
      <c r="M206" s="0" t="s">
        <v>2281</v>
      </c>
      <c r="N206" s="0" t="s">
        <v>462</v>
      </c>
    </row>
    <row customHeight="1" ht="11.25">
      <c r="A207" s="8274" t="s">
        <v>2233</v>
      </c>
      <c r="B207" s="8274" t="s">
        <v>14</v>
      </c>
      <c r="C207" s="8274" t="s">
        <v>2855</v>
      </c>
      <c r="D207" s="8274" t="s">
        <v>2856</v>
      </c>
      <c r="E207" s="8274" t="s">
        <v>2857</v>
      </c>
      <c r="F207" s="8274" t="s">
        <v>2858</v>
      </c>
      <c r="G207" s="8274" t="s">
        <v>17</v>
      </c>
      <c r="H207" s="8274" t="s">
        <v>17</v>
      </c>
      <c r="I207" s="8274" t="s">
        <v>2568</v>
      </c>
      <c r="J207" s="0" t="s">
        <v>17</v>
      </c>
      <c r="K207" s="0" t="s">
        <v>836</v>
      </c>
      <c r="L207" s="0" t="s">
        <v>2280</v>
      </c>
      <c r="M207" s="0" t="s">
        <v>2281</v>
      </c>
      <c r="N207" s="0" t="s">
        <v>462</v>
      </c>
    </row>
    <row customHeight="1" ht="11.25">
      <c r="A208" s="8274" t="s">
        <v>2233</v>
      </c>
      <c r="B208" s="8274" t="s">
        <v>14</v>
      </c>
      <c r="C208" s="8274" t="s">
        <v>2855</v>
      </c>
      <c r="D208" s="8274" t="s">
        <v>2856</v>
      </c>
      <c r="E208" s="8274" t="s">
        <v>2857</v>
      </c>
      <c r="F208" s="8274" t="s">
        <v>2858</v>
      </c>
      <c r="G208" s="8274" t="s">
        <v>17</v>
      </c>
      <c r="H208" s="8274" t="s">
        <v>17</v>
      </c>
      <c r="I208" s="8274" t="s">
        <v>2568</v>
      </c>
      <c r="J208" s="0" t="s">
        <v>17</v>
      </c>
      <c r="K208" s="0" t="s">
        <v>899</v>
      </c>
      <c r="L208" s="0" t="s">
        <v>2280</v>
      </c>
      <c r="M208" s="0" t="s">
        <v>2281</v>
      </c>
      <c r="N208" s="0" t="s">
        <v>462</v>
      </c>
    </row>
    <row customHeight="1" ht="11.25">
      <c r="A209" s="8274" t="s">
        <v>2233</v>
      </c>
      <c r="B209" s="8274" t="s">
        <v>14</v>
      </c>
      <c r="C209" s="8274" t="s">
        <v>2860</v>
      </c>
      <c r="D209" s="8274" t="s">
        <v>2861</v>
      </c>
      <c r="E209" s="8274" t="s">
        <v>2862</v>
      </c>
      <c r="F209" s="8274" t="s">
        <v>2863</v>
      </c>
      <c r="G209" s="8274" t="s">
        <v>17</v>
      </c>
      <c r="H209" s="8274" t="s">
        <v>17</v>
      </c>
      <c r="I209" s="8274" t="s">
        <v>2247</v>
      </c>
      <c r="J209" s="0" t="s">
        <v>17</v>
      </c>
      <c r="K209" s="0" t="s">
        <v>991</v>
      </c>
      <c r="L209" s="0" t="s">
        <v>2260</v>
      </c>
      <c r="M209" s="0" t="s">
        <v>2261</v>
      </c>
      <c r="N209" s="0" t="s">
        <v>462</v>
      </c>
    </row>
    <row customHeight="1" ht="11.25">
      <c r="A210" s="8274" t="s">
        <v>2233</v>
      </c>
      <c r="B210" s="8274" t="s">
        <v>14</v>
      </c>
      <c r="C210" s="8274" t="s">
        <v>2860</v>
      </c>
      <c r="D210" s="8274" t="s">
        <v>2861</v>
      </c>
      <c r="E210" s="8274" t="s">
        <v>2862</v>
      </c>
      <c r="F210" s="8274" t="s">
        <v>2863</v>
      </c>
      <c r="G210" s="8274" t="s">
        <v>17</v>
      </c>
      <c r="H210" s="8274" t="s">
        <v>17</v>
      </c>
      <c r="I210" s="8274" t="s">
        <v>2247</v>
      </c>
      <c r="J210" s="0" t="s">
        <v>17</v>
      </c>
      <c r="K210" s="0" t="s">
        <v>975</v>
      </c>
      <c r="L210" s="0" t="s">
        <v>2253</v>
      </c>
      <c r="M210" s="0" t="s">
        <v>2254</v>
      </c>
      <c r="N210" s="0" t="s">
        <v>462</v>
      </c>
    </row>
    <row customHeight="1" ht="11.25">
      <c r="A211" s="8274" t="s">
        <v>2233</v>
      </c>
      <c r="B211" s="8274" t="s">
        <v>14</v>
      </c>
      <c r="C211" s="8274" t="s">
        <v>2864</v>
      </c>
      <c r="D211" s="8274" t="s">
        <v>2865</v>
      </c>
      <c r="E211" s="8274" t="s">
        <v>2349</v>
      </c>
      <c r="F211" s="8274" t="s">
        <v>2866</v>
      </c>
      <c r="G211" s="8274" t="s">
        <v>17</v>
      </c>
      <c r="H211" s="8274" t="s">
        <v>17</v>
      </c>
      <c r="I211" s="8274" t="s">
        <v>2316</v>
      </c>
      <c r="J211" s="0" t="s">
        <v>17</v>
      </c>
      <c r="K211" s="0" t="s">
        <v>975</v>
      </c>
      <c r="L211" s="0" t="s">
        <v>2253</v>
      </c>
      <c r="M211" s="0" t="s">
        <v>2254</v>
      </c>
      <c r="N211" s="0" t="s">
        <v>462</v>
      </c>
    </row>
    <row customHeight="1" ht="11.25">
      <c r="A212" s="8274" t="s">
        <v>2233</v>
      </c>
      <c r="B212" s="8274" t="s">
        <v>14</v>
      </c>
      <c r="C212" s="8274" t="s">
        <v>2867</v>
      </c>
      <c r="D212" s="8274" t="s">
        <v>2868</v>
      </c>
      <c r="E212" s="8274" t="s">
        <v>2869</v>
      </c>
      <c r="F212" s="8274" t="s">
        <v>2870</v>
      </c>
      <c r="G212" s="8274" t="s">
        <v>17</v>
      </c>
      <c r="H212" s="8274" t="s">
        <v>17</v>
      </c>
      <c r="I212" s="8274" t="s">
        <v>2274</v>
      </c>
      <c r="J212" s="0" t="s">
        <v>17</v>
      </c>
      <c r="K212" s="0" t="s">
        <v>863</v>
      </c>
      <c r="L212" s="0" t="s">
        <v>863</v>
      </c>
      <c r="M212" s="0" t="s">
        <v>2382</v>
      </c>
      <c r="N212" s="0" t="s">
        <v>462</v>
      </c>
    </row>
    <row customHeight="1" ht="11.25">
      <c r="A213" s="8274" t="s">
        <v>2233</v>
      </c>
      <c r="B213" s="8274" t="s">
        <v>14</v>
      </c>
      <c r="C213" s="8274" t="s">
        <v>2867</v>
      </c>
      <c r="D213" s="8274" t="s">
        <v>2868</v>
      </c>
      <c r="E213" s="8274" t="s">
        <v>2869</v>
      </c>
      <c r="F213" s="8274" t="s">
        <v>2870</v>
      </c>
      <c r="G213" s="8274" t="s">
        <v>17</v>
      </c>
      <c r="H213" s="8274" t="s">
        <v>17</v>
      </c>
      <c r="I213" s="8274" t="s">
        <v>2871</v>
      </c>
      <c r="J213" s="0" t="s">
        <v>17</v>
      </c>
      <c r="K213" s="0" t="s">
        <v>863</v>
      </c>
      <c r="L213" s="0" t="s">
        <v>863</v>
      </c>
      <c r="M213" s="0" t="s">
        <v>2382</v>
      </c>
      <c r="N213" s="0" t="s">
        <v>462</v>
      </c>
    </row>
    <row customHeight="1" ht="11.25">
      <c r="A214" s="8274" t="s">
        <v>2233</v>
      </c>
      <c r="B214" s="8274" t="s">
        <v>14</v>
      </c>
      <c r="C214" s="8274" t="s">
        <v>2872</v>
      </c>
      <c r="D214" s="8274" t="s">
        <v>2873</v>
      </c>
      <c r="E214" s="8274" t="s">
        <v>2874</v>
      </c>
      <c r="F214" s="8274" t="s">
        <v>2875</v>
      </c>
      <c r="G214" s="8274" t="s">
        <v>17</v>
      </c>
      <c r="H214" s="8274" t="s">
        <v>17</v>
      </c>
      <c r="I214" s="8274" t="s">
        <v>2463</v>
      </c>
      <c r="J214" s="0" t="s">
        <v>17</v>
      </c>
      <c r="K214" s="0" t="s">
        <v>931</v>
      </c>
      <c r="L214" s="0" t="s">
        <v>2240</v>
      </c>
      <c r="M214" s="0" t="s">
        <v>2241</v>
      </c>
      <c r="N214" s="0" t="s">
        <v>462</v>
      </c>
    </row>
    <row customHeight="1" ht="11.25">
      <c r="A215" s="8274" t="s">
        <v>2233</v>
      </c>
      <c r="B215" s="8274" t="s">
        <v>14</v>
      </c>
      <c r="C215" s="8274" t="s">
        <v>2255</v>
      </c>
      <c r="D215" s="8274" t="s">
        <v>2256</v>
      </c>
      <c r="E215" s="8274" t="s">
        <v>2257</v>
      </c>
      <c r="F215" s="8274" t="s">
        <v>2251</v>
      </c>
      <c r="G215" s="8274" t="s">
        <v>17</v>
      </c>
      <c r="H215" s="8274" t="s">
        <v>17</v>
      </c>
      <c r="I215" s="8274" t="s">
        <v>2876</v>
      </c>
      <c r="J215" s="0" t="s">
        <v>17</v>
      </c>
      <c r="K215" s="0" t="s">
        <v>2877</v>
      </c>
      <c r="L215" s="0" t="s">
        <v>2655</v>
      </c>
      <c r="M215" s="0" t="s">
        <v>2878</v>
      </c>
      <c r="N215" s="0" t="s">
        <v>465</v>
      </c>
    </row>
    <row customHeight="1" ht="11.25">
      <c r="A216" s="8274" t="s">
        <v>2233</v>
      </c>
      <c r="B216" s="8274" t="s">
        <v>14</v>
      </c>
      <c r="C216" s="8274" t="s">
        <v>2255</v>
      </c>
      <c r="D216" s="8274" t="s">
        <v>2256</v>
      </c>
      <c r="E216" s="8274" t="s">
        <v>2257</v>
      </c>
      <c r="F216" s="8274" t="s">
        <v>2251</v>
      </c>
      <c r="G216" s="8274" t="s">
        <v>17</v>
      </c>
      <c r="H216" s="8274" t="s">
        <v>17</v>
      </c>
      <c r="I216" s="8274" t="s">
        <v>2879</v>
      </c>
      <c r="J216" s="0" t="s">
        <v>17</v>
      </c>
      <c r="K216" s="0" t="s">
        <v>2877</v>
      </c>
      <c r="L216" s="0" t="s">
        <v>2655</v>
      </c>
      <c r="M216" s="0" t="s">
        <v>2878</v>
      </c>
      <c r="N216" s="0" t="s">
        <v>465</v>
      </c>
    </row>
    <row customHeight="1" ht="11.25">
      <c r="A217" s="8274" t="s">
        <v>2233</v>
      </c>
      <c r="B217" s="8274" t="s">
        <v>14</v>
      </c>
      <c r="C217" s="8274" t="s">
        <v>2282</v>
      </c>
      <c r="D217" s="8274" t="s">
        <v>2283</v>
      </c>
      <c r="E217" s="8274" t="s">
        <v>2284</v>
      </c>
      <c r="F217" s="8274" t="s">
        <v>2285</v>
      </c>
      <c r="G217" s="8274" t="s">
        <v>17</v>
      </c>
      <c r="H217" s="8274" t="s">
        <v>17</v>
      </c>
      <c r="I217" s="8274" t="s">
        <v>2286</v>
      </c>
      <c r="J217" s="0" t="s">
        <v>17</v>
      </c>
      <c r="K217" s="0" t="s">
        <v>2877</v>
      </c>
      <c r="L217" s="0" t="s">
        <v>2880</v>
      </c>
      <c r="M217" s="0" t="s">
        <v>2881</v>
      </c>
      <c r="N217" s="0" t="s">
        <v>465</v>
      </c>
    </row>
    <row customHeight="1" ht="11.25">
      <c r="A218" s="8274" t="s">
        <v>2233</v>
      </c>
      <c r="B218" s="8274" t="s">
        <v>14</v>
      </c>
      <c r="C218" s="8274" t="s">
        <v>2287</v>
      </c>
      <c r="D218" s="8274" t="s">
        <v>2288</v>
      </c>
      <c r="E218" s="8274" t="s">
        <v>2289</v>
      </c>
      <c r="F218" s="8274" t="s">
        <v>2290</v>
      </c>
      <c r="G218" s="8274" t="s">
        <v>17</v>
      </c>
      <c r="H218" s="8274" t="s">
        <v>17</v>
      </c>
      <c r="I218" s="8274" t="s">
        <v>2882</v>
      </c>
      <c r="J218" s="0" t="s">
        <v>17</v>
      </c>
      <c r="K218" s="0" t="s">
        <v>2877</v>
      </c>
      <c r="L218" s="0" t="s">
        <v>2880</v>
      </c>
      <c r="M218" s="0" t="s">
        <v>2881</v>
      </c>
      <c r="N218" s="0" t="s">
        <v>465</v>
      </c>
    </row>
    <row customHeight="1" ht="11.25">
      <c r="A219" s="8274" t="s">
        <v>2233</v>
      </c>
      <c r="B219" s="8274" t="s">
        <v>14</v>
      </c>
      <c r="C219" s="8274" t="s">
        <v>2359</v>
      </c>
      <c r="D219" s="8274" t="s">
        <v>2360</v>
      </c>
      <c r="E219" s="8274" t="s">
        <v>2361</v>
      </c>
      <c r="F219" s="8274" t="s">
        <v>2273</v>
      </c>
      <c r="G219" s="8274" t="s">
        <v>17</v>
      </c>
      <c r="H219" s="8274" t="s">
        <v>17</v>
      </c>
      <c r="I219" s="8274" t="s">
        <v>2883</v>
      </c>
      <c r="J219" s="0" t="s">
        <v>17</v>
      </c>
      <c r="K219" s="0" t="s">
        <v>2877</v>
      </c>
      <c r="L219" s="0" t="s">
        <v>2655</v>
      </c>
      <c r="M219" s="0" t="s">
        <v>2878</v>
      </c>
      <c r="N219" s="0" t="s">
        <v>465</v>
      </c>
    </row>
    <row customHeight="1" ht="11.25">
      <c r="A220" s="8274" t="s">
        <v>2233</v>
      </c>
      <c r="B220" s="8274" t="s">
        <v>14</v>
      </c>
      <c r="C220" s="8274" t="s">
        <v>2383</v>
      </c>
      <c r="D220" s="8274" t="s">
        <v>2384</v>
      </c>
      <c r="E220" s="8274" t="s">
        <v>2385</v>
      </c>
      <c r="F220" s="8274" t="s">
        <v>2365</v>
      </c>
      <c r="G220" s="8274" t="s">
        <v>17</v>
      </c>
      <c r="H220" s="8274" t="s">
        <v>17</v>
      </c>
      <c r="I220" s="8274" t="s">
        <v>2884</v>
      </c>
      <c r="J220" s="0" t="s">
        <v>17</v>
      </c>
      <c r="K220" s="0" t="s">
        <v>2877</v>
      </c>
      <c r="L220" s="0" t="s">
        <v>2655</v>
      </c>
      <c r="M220" s="0" t="s">
        <v>2878</v>
      </c>
      <c r="N220" s="0" t="s">
        <v>465</v>
      </c>
    </row>
    <row customHeight="1" ht="11.25">
      <c r="A221" s="8274" t="s">
        <v>2233</v>
      </c>
      <c r="B221" s="8274" t="s">
        <v>14</v>
      </c>
      <c r="C221" s="8274" t="s">
        <v>2394</v>
      </c>
      <c r="D221" s="8274" t="s">
        <v>2395</v>
      </c>
      <c r="E221" s="8274" t="s">
        <v>2396</v>
      </c>
      <c r="F221" s="8274" t="s">
        <v>1481</v>
      </c>
      <c r="G221" s="8274" t="s">
        <v>17</v>
      </c>
      <c r="H221" s="8274" t="s">
        <v>17</v>
      </c>
      <c r="I221" s="8274" t="s">
        <v>2885</v>
      </c>
      <c r="J221" s="0" t="s">
        <v>17</v>
      </c>
      <c r="K221" s="0" t="s">
        <v>2877</v>
      </c>
      <c r="L221" s="0" t="s">
        <v>2655</v>
      </c>
      <c r="M221" s="0" t="s">
        <v>2878</v>
      </c>
      <c r="N221" s="0" t="s">
        <v>465</v>
      </c>
    </row>
    <row customHeight="1" ht="11.25">
      <c r="A222" s="8274" t="s">
        <v>2233</v>
      </c>
      <c r="B222" s="8274" t="s">
        <v>14</v>
      </c>
      <c r="C222" s="8274" t="s">
        <v>2406</v>
      </c>
      <c r="D222" s="8274" t="s">
        <v>2407</v>
      </c>
      <c r="E222" s="8274" t="s">
        <v>2408</v>
      </c>
      <c r="F222" s="8274" t="s">
        <v>2409</v>
      </c>
      <c r="G222" s="8274" t="s">
        <v>2410</v>
      </c>
      <c r="H222" s="8274" t="s">
        <v>17</v>
      </c>
      <c r="I222" s="8274" t="s">
        <v>2416</v>
      </c>
      <c r="J222" s="0" t="s">
        <v>17</v>
      </c>
      <c r="K222" s="0" t="s">
        <v>2877</v>
      </c>
      <c r="L222" s="0" t="s">
        <v>2880</v>
      </c>
      <c r="M222" s="0" t="s">
        <v>2881</v>
      </c>
      <c r="N222" s="0" t="s">
        <v>465</v>
      </c>
    </row>
    <row customHeight="1" ht="11.25">
      <c r="A223" s="8274" t="s">
        <v>2233</v>
      </c>
      <c r="B223" s="8274" t="s">
        <v>14</v>
      </c>
      <c r="C223" s="8274" t="s">
        <v>2417</v>
      </c>
      <c r="D223" s="8274" t="s">
        <v>2418</v>
      </c>
      <c r="E223" s="8274" t="s">
        <v>2419</v>
      </c>
      <c r="F223" s="8274" t="s">
        <v>2420</v>
      </c>
      <c r="G223" s="8274" t="s">
        <v>17</v>
      </c>
      <c r="H223" s="8274" t="s">
        <v>17</v>
      </c>
      <c r="I223" s="8274" t="s">
        <v>2421</v>
      </c>
      <c r="J223" s="0" t="s">
        <v>17</v>
      </c>
      <c r="K223" s="0" t="s">
        <v>2886</v>
      </c>
      <c r="L223" s="0" t="s">
        <v>2304</v>
      </c>
      <c r="M223" s="0" t="s">
        <v>2887</v>
      </c>
      <c r="N223" s="0" t="s">
        <v>465</v>
      </c>
    </row>
    <row customHeight="1" ht="11.25">
      <c r="A224" s="8274" t="s">
        <v>2233</v>
      </c>
      <c r="B224" s="8274" t="s">
        <v>14</v>
      </c>
      <c r="C224" s="8274" t="s">
        <v>2450</v>
      </c>
      <c r="D224" s="8274" t="s">
        <v>2451</v>
      </c>
      <c r="E224" s="8274" t="s">
        <v>2452</v>
      </c>
      <c r="F224" s="8274" t="s">
        <v>2432</v>
      </c>
      <c r="G224" s="8274" t="s">
        <v>17</v>
      </c>
      <c r="H224" s="8274" t="s">
        <v>17</v>
      </c>
      <c r="I224" s="8274" t="s">
        <v>2876</v>
      </c>
      <c r="J224" s="0" t="s">
        <v>17</v>
      </c>
      <c r="K224" s="0" t="s">
        <v>2886</v>
      </c>
      <c r="L224" s="0" t="s">
        <v>2304</v>
      </c>
      <c r="M224" s="0" t="s">
        <v>2887</v>
      </c>
      <c r="N224" s="0" t="s">
        <v>465</v>
      </c>
    </row>
    <row customHeight="1" ht="11.25">
      <c r="A225" s="8274" t="s">
        <v>2233</v>
      </c>
      <c r="B225" s="8274" t="s">
        <v>14</v>
      </c>
      <c r="C225" s="8274" t="s">
        <v>2464</v>
      </c>
      <c r="D225" s="8274" t="s">
        <v>2465</v>
      </c>
      <c r="E225" s="8274" t="s">
        <v>2466</v>
      </c>
      <c r="F225" s="8274" t="s">
        <v>2251</v>
      </c>
      <c r="G225" s="8274" t="s">
        <v>17</v>
      </c>
      <c r="H225" s="8274" t="s">
        <v>17</v>
      </c>
      <c r="I225" s="8274" t="s">
        <v>2888</v>
      </c>
      <c r="J225" s="0" t="s">
        <v>17</v>
      </c>
      <c r="K225" s="0" t="s">
        <v>2877</v>
      </c>
      <c r="L225" s="0" t="s">
        <v>2655</v>
      </c>
      <c r="M225" s="0" t="s">
        <v>2878</v>
      </c>
      <c r="N225" s="0" t="s">
        <v>465</v>
      </c>
    </row>
    <row customHeight="1" ht="11.25">
      <c r="A226" s="8274" t="s">
        <v>2233</v>
      </c>
      <c r="B226" s="8274" t="s">
        <v>14</v>
      </c>
      <c r="C226" s="8274" t="s">
        <v>2467</v>
      </c>
      <c r="D226" s="8274" t="s">
        <v>2468</v>
      </c>
      <c r="E226" s="8274" t="s">
        <v>2469</v>
      </c>
      <c r="F226" s="8274" t="s">
        <v>51</v>
      </c>
      <c r="G226" s="8274" t="s">
        <v>2470</v>
      </c>
      <c r="H226" s="8274" t="s">
        <v>17</v>
      </c>
      <c r="I226" s="8274" t="s">
        <v>2470</v>
      </c>
      <c r="J226" s="0" t="s">
        <v>17</v>
      </c>
      <c r="K226" s="0" t="s">
        <v>2877</v>
      </c>
      <c r="L226" s="0" t="s">
        <v>2880</v>
      </c>
      <c r="M226" s="0" t="s">
        <v>2881</v>
      </c>
      <c r="N226" s="0" t="s">
        <v>465</v>
      </c>
    </row>
    <row customHeight="1" ht="11.25">
      <c r="A227" s="8274" t="s">
        <v>2233</v>
      </c>
      <c r="B227" s="8274" t="s">
        <v>14</v>
      </c>
      <c r="C227" s="8274" t="s">
        <v>2471</v>
      </c>
      <c r="D227" s="8274" t="s">
        <v>2472</v>
      </c>
      <c r="E227" s="8274" t="s">
        <v>2473</v>
      </c>
      <c r="F227" s="8274" t="s">
        <v>2432</v>
      </c>
      <c r="G227" s="8274" t="s">
        <v>17</v>
      </c>
      <c r="H227" s="8274" t="s">
        <v>17</v>
      </c>
      <c r="I227" s="8274" t="s">
        <v>2889</v>
      </c>
      <c r="J227" s="0" t="s">
        <v>17</v>
      </c>
      <c r="K227" s="0" t="s">
        <v>2877</v>
      </c>
      <c r="L227" s="0" t="s">
        <v>2501</v>
      </c>
      <c r="M227" s="0" t="s">
        <v>2890</v>
      </c>
      <c r="N227" s="0" t="s">
        <v>465</v>
      </c>
    </row>
    <row customHeight="1" ht="11.25">
      <c r="A228" s="8274" t="s">
        <v>2233</v>
      </c>
      <c r="B228" s="8274" t="s">
        <v>14</v>
      </c>
      <c r="C228" s="8274" t="s">
        <v>2471</v>
      </c>
      <c r="D228" s="8274" t="s">
        <v>2472</v>
      </c>
      <c r="E228" s="8274" t="s">
        <v>2473</v>
      </c>
      <c r="F228" s="8274" t="s">
        <v>2432</v>
      </c>
      <c r="G228" s="8274" t="s">
        <v>17</v>
      </c>
      <c r="H228" s="8274" t="s">
        <v>17</v>
      </c>
      <c r="I228" s="8274" t="s">
        <v>2889</v>
      </c>
      <c r="J228" s="0" t="s">
        <v>17</v>
      </c>
      <c r="K228" s="0" t="s">
        <v>2886</v>
      </c>
      <c r="L228" s="0" t="s">
        <v>2304</v>
      </c>
      <c r="M228" s="0" t="s">
        <v>2887</v>
      </c>
      <c r="N228" s="0" t="s">
        <v>465</v>
      </c>
    </row>
    <row customHeight="1" ht="11.25">
      <c r="A229" s="8274" t="s">
        <v>2233</v>
      </c>
      <c r="B229" s="8274" t="s">
        <v>14</v>
      </c>
      <c r="C229" s="8274" t="s">
        <v>2491</v>
      </c>
      <c r="D229" s="8274" t="s">
        <v>2492</v>
      </c>
      <c r="E229" s="8274" t="s">
        <v>2493</v>
      </c>
      <c r="F229" s="8274" t="s">
        <v>2310</v>
      </c>
      <c r="G229" s="8274" t="s">
        <v>2494</v>
      </c>
      <c r="H229" s="8274" t="s">
        <v>17</v>
      </c>
      <c r="I229" s="8274" t="s">
        <v>2494</v>
      </c>
      <c r="J229" s="0" t="s">
        <v>17</v>
      </c>
      <c r="K229" s="0" t="s">
        <v>2877</v>
      </c>
      <c r="L229" s="0" t="s">
        <v>2880</v>
      </c>
      <c r="M229" s="0" t="s">
        <v>2881</v>
      </c>
      <c r="N229" s="0" t="s">
        <v>465</v>
      </c>
    </row>
    <row customHeight="1" ht="11.25">
      <c r="A230" s="8274" t="s">
        <v>2233</v>
      </c>
      <c r="B230" s="8274" t="s">
        <v>14</v>
      </c>
      <c r="C230" s="8274" t="s">
        <v>2495</v>
      </c>
      <c r="D230" s="8274" t="s">
        <v>2496</v>
      </c>
      <c r="E230" s="8274" t="s">
        <v>2497</v>
      </c>
      <c r="F230" s="8274" t="s">
        <v>2310</v>
      </c>
      <c r="G230" s="8274" t="s">
        <v>17</v>
      </c>
      <c r="H230" s="8274" t="s">
        <v>17</v>
      </c>
      <c r="I230" s="8274" t="s">
        <v>2498</v>
      </c>
      <c r="J230" s="0" t="s">
        <v>17</v>
      </c>
      <c r="K230" s="0" t="s">
        <v>2877</v>
      </c>
      <c r="L230" s="0" t="s">
        <v>2655</v>
      </c>
      <c r="M230" s="0" t="s">
        <v>2878</v>
      </c>
      <c r="N230" s="0" t="s">
        <v>465</v>
      </c>
    </row>
    <row customHeight="1" ht="11.25">
      <c r="A231" s="8274" t="s">
        <v>2233</v>
      </c>
      <c r="B231" s="8274" t="s">
        <v>14</v>
      </c>
      <c r="C231" s="8274" t="s">
        <v>2590</v>
      </c>
      <c r="D231" s="8274" t="s">
        <v>2591</v>
      </c>
      <c r="E231" s="8274" t="s">
        <v>2592</v>
      </c>
      <c r="F231" s="8274" t="s">
        <v>2328</v>
      </c>
      <c r="G231" s="8274" t="s">
        <v>17</v>
      </c>
      <c r="H231" s="8274" t="s">
        <v>17</v>
      </c>
      <c r="I231" s="8274" t="s">
        <v>2891</v>
      </c>
      <c r="J231" s="0" t="s">
        <v>17</v>
      </c>
      <c r="K231" s="0" t="s">
        <v>2877</v>
      </c>
      <c r="L231" s="0" t="s">
        <v>2655</v>
      </c>
      <c r="M231" s="0" t="s">
        <v>2878</v>
      </c>
      <c r="N231" s="0" t="s">
        <v>465</v>
      </c>
    </row>
    <row customHeight="1" ht="11.25">
      <c r="A232" s="8274" t="s">
        <v>2233</v>
      </c>
      <c r="B232" s="8274" t="s">
        <v>14</v>
      </c>
      <c r="C232" s="8274" t="s">
        <v>2590</v>
      </c>
      <c r="D232" s="8274" t="s">
        <v>2591</v>
      </c>
      <c r="E232" s="8274" t="s">
        <v>2592</v>
      </c>
      <c r="F232" s="8274" t="s">
        <v>2328</v>
      </c>
      <c r="G232" s="8274" t="s">
        <v>17</v>
      </c>
      <c r="H232" s="8274" t="s">
        <v>17</v>
      </c>
      <c r="I232" s="8274" t="s">
        <v>2892</v>
      </c>
      <c r="J232" s="0" t="s">
        <v>17</v>
      </c>
      <c r="K232" s="0" t="s">
        <v>2877</v>
      </c>
      <c r="L232" s="0" t="s">
        <v>2501</v>
      </c>
      <c r="M232" s="0" t="s">
        <v>2890</v>
      </c>
      <c r="N232" s="0" t="s">
        <v>465</v>
      </c>
    </row>
    <row customHeight="1" ht="11.25">
      <c r="A233" s="8274" t="s">
        <v>2233</v>
      </c>
      <c r="B233" s="8274" t="s">
        <v>14</v>
      </c>
      <c r="C233" s="8274" t="s">
        <v>2604</v>
      </c>
      <c r="D233" s="8274" t="s">
        <v>2605</v>
      </c>
      <c r="E233" s="8274" t="s">
        <v>2606</v>
      </c>
      <c r="F233" s="8274" t="s">
        <v>2379</v>
      </c>
      <c r="G233" s="8274" t="s">
        <v>17</v>
      </c>
      <c r="H233" s="8274" t="s">
        <v>17</v>
      </c>
      <c r="I233" s="8274" t="s">
        <v>2607</v>
      </c>
      <c r="J233" s="0" t="s">
        <v>17</v>
      </c>
      <c r="K233" s="0" t="s">
        <v>2877</v>
      </c>
      <c r="L233" s="0" t="s">
        <v>2880</v>
      </c>
      <c r="M233" s="0" t="s">
        <v>2881</v>
      </c>
      <c r="N233" s="0" t="s">
        <v>465</v>
      </c>
    </row>
    <row customHeight="1" ht="11.25">
      <c r="A234" s="8274" t="s">
        <v>2233</v>
      </c>
      <c r="B234" s="8274" t="s">
        <v>14</v>
      </c>
      <c r="C234" s="8274" t="s">
        <v>2613</v>
      </c>
      <c r="D234" s="8274" t="s">
        <v>2614</v>
      </c>
      <c r="E234" s="8274" t="s">
        <v>2615</v>
      </c>
      <c r="F234" s="8274" t="s">
        <v>2520</v>
      </c>
      <c r="G234" s="8274" t="s">
        <v>2616</v>
      </c>
      <c r="H234" s="8274" t="s">
        <v>17</v>
      </c>
      <c r="I234" s="8274" t="s">
        <v>2616</v>
      </c>
      <c r="J234" s="0" t="s">
        <v>17</v>
      </c>
      <c r="K234" s="0" t="s">
        <v>2877</v>
      </c>
      <c r="L234" s="0" t="s">
        <v>2501</v>
      </c>
      <c r="M234" s="0" t="s">
        <v>2890</v>
      </c>
      <c r="N234" s="0" t="s">
        <v>465</v>
      </c>
    </row>
    <row customHeight="1" ht="11.25">
      <c r="A235" s="8274" t="s">
        <v>2233</v>
      </c>
      <c r="B235" s="8274" t="s">
        <v>14</v>
      </c>
      <c r="C235" s="8274" t="s">
        <v>2622</v>
      </c>
      <c r="D235" s="8274" t="s">
        <v>2623</v>
      </c>
      <c r="E235" s="8274" t="s">
        <v>2624</v>
      </c>
      <c r="F235" s="8274" t="s">
        <v>2560</v>
      </c>
      <c r="G235" s="8274" t="s">
        <v>2625</v>
      </c>
      <c r="H235" s="8274" t="s">
        <v>17</v>
      </c>
      <c r="I235" s="8274" t="s">
        <v>2626</v>
      </c>
      <c r="J235" s="0" t="s">
        <v>17</v>
      </c>
      <c r="K235" s="0" t="s">
        <v>2877</v>
      </c>
      <c r="L235" s="0" t="s">
        <v>2880</v>
      </c>
      <c r="M235" s="0" t="s">
        <v>2881</v>
      </c>
      <c r="N235" s="0" t="s">
        <v>465</v>
      </c>
    </row>
    <row customHeight="1" ht="11.25">
      <c r="A236" s="8274" t="s">
        <v>2233</v>
      </c>
      <c r="B236" s="8274" t="s">
        <v>14</v>
      </c>
      <c r="C236" s="8274" t="s">
        <v>2644</v>
      </c>
      <c r="D236" s="8274" t="s">
        <v>2645</v>
      </c>
      <c r="E236" s="8274" t="s">
        <v>2646</v>
      </c>
      <c r="F236" s="8274" t="s">
        <v>2322</v>
      </c>
      <c r="G236" s="8274" t="s">
        <v>2647</v>
      </c>
      <c r="H236" s="8274" t="s">
        <v>17</v>
      </c>
      <c r="I236" s="8274" t="s">
        <v>2649</v>
      </c>
      <c r="J236" s="0" t="s">
        <v>17</v>
      </c>
      <c r="K236" s="0" t="s">
        <v>2877</v>
      </c>
      <c r="L236" s="0" t="s">
        <v>2655</v>
      </c>
      <c r="M236" s="0" t="s">
        <v>2878</v>
      </c>
      <c r="N236" s="0" t="s">
        <v>465</v>
      </c>
    </row>
    <row customHeight="1" ht="11.25">
      <c r="A237" s="8274" t="s">
        <v>2233</v>
      </c>
      <c r="B237" s="8274" t="s">
        <v>14</v>
      </c>
      <c r="C237" s="8274" t="s">
        <v>2650</v>
      </c>
      <c r="D237" s="8274" t="s">
        <v>2651</v>
      </c>
      <c r="E237" s="8274" t="s">
        <v>2652</v>
      </c>
      <c r="F237" s="8274" t="s">
        <v>2482</v>
      </c>
      <c r="G237" s="8274" t="s">
        <v>2653</v>
      </c>
      <c r="H237" s="8274" t="s">
        <v>17</v>
      </c>
      <c r="I237" s="8274" t="s">
        <v>2259</v>
      </c>
      <c r="J237" s="0" t="s">
        <v>17</v>
      </c>
      <c r="K237" s="0" t="s">
        <v>2877</v>
      </c>
      <c r="L237" s="0" t="s">
        <v>2880</v>
      </c>
      <c r="M237" s="0" t="s">
        <v>2881</v>
      </c>
      <c r="N237" s="0" t="s">
        <v>465</v>
      </c>
    </row>
    <row customHeight="1" ht="11.25">
      <c r="A238" s="8274" t="s">
        <v>2233</v>
      </c>
      <c r="B238" s="8274" t="s">
        <v>14</v>
      </c>
      <c r="C238" s="8274" t="s">
        <v>2657</v>
      </c>
      <c r="D238" s="8274" t="s">
        <v>46</v>
      </c>
      <c r="E238" s="8274" t="s">
        <v>49</v>
      </c>
      <c r="F238" s="8274" t="s">
        <v>51</v>
      </c>
      <c r="G238" s="8274" t="s">
        <v>2658</v>
      </c>
      <c r="H238" s="8274" t="s">
        <v>17</v>
      </c>
      <c r="I238" s="8274" t="s">
        <v>2893</v>
      </c>
      <c r="J238" s="0" t="s">
        <v>17</v>
      </c>
      <c r="K238" s="0" t="s">
        <v>2877</v>
      </c>
      <c r="L238" s="0" t="s">
        <v>2655</v>
      </c>
      <c r="M238" s="0" t="s">
        <v>2878</v>
      </c>
      <c r="N238" s="0" t="s">
        <v>465</v>
      </c>
    </row>
    <row customHeight="1" ht="11.25">
      <c r="A239" s="8274" t="s">
        <v>2233</v>
      </c>
      <c r="B239" s="8274" t="s">
        <v>14</v>
      </c>
      <c r="C239" s="8274" t="s">
        <v>2660</v>
      </c>
      <c r="D239" s="8274" t="s">
        <v>2661</v>
      </c>
      <c r="E239" s="8274" t="s">
        <v>2662</v>
      </c>
      <c r="F239" s="8274" t="s">
        <v>2322</v>
      </c>
      <c r="G239" s="8274" t="s">
        <v>17</v>
      </c>
      <c r="H239" s="8274" t="s">
        <v>17</v>
      </c>
      <c r="I239" s="8274" t="s">
        <v>2894</v>
      </c>
      <c r="J239" s="0" t="s">
        <v>2895</v>
      </c>
      <c r="K239" s="0" t="s">
        <v>2877</v>
      </c>
      <c r="L239" s="0" t="s">
        <v>2880</v>
      </c>
      <c r="M239" s="0" t="s">
        <v>2881</v>
      </c>
      <c r="N239" s="0" t="s">
        <v>465</v>
      </c>
    </row>
    <row customHeight="1" ht="11.25">
      <c r="A240" s="8274" t="s">
        <v>2233</v>
      </c>
      <c r="B240" s="8274" t="s">
        <v>14</v>
      </c>
      <c r="C240" s="8274" t="s">
        <v>2660</v>
      </c>
      <c r="D240" s="8274" t="s">
        <v>2661</v>
      </c>
      <c r="E240" s="8274" t="s">
        <v>2662</v>
      </c>
      <c r="F240" s="8274" t="s">
        <v>2322</v>
      </c>
      <c r="G240" s="8274" t="s">
        <v>17</v>
      </c>
      <c r="H240" s="8274" t="s">
        <v>17</v>
      </c>
      <c r="I240" s="8274" t="s">
        <v>2894</v>
      </c>
      <c r="J240" s="0" t="s">
        <v>17</v>
      </c>
      <c r="K240" s="0" t="s">
        <v>2877</v>
      </c>
      <c r="L240" s="0" t="s">
        <v>2880</v>
      </c>
      <c r="M240" s="0" t="s">
        <v>2881</v>
      </c>
      <c r="N240" s="0" t="s">
        <v>465</v>
      </c>
    </row>
    <row customHeight="1" ht="11.25">
      <c r="A241" s="8274" t="s">
        <v>2233</v>
      </c>
      <c r="B241" s="8274" t="s">
        <v>14</v>
      </c>
      <c r="C241" s="8274" t="s">
        <v>2660</v>
      </c>
      <c r="D241" s="8274" t="s">
        <v>2661</v>
      </c>
      <c r="E241" s="8274" t="s">
        <v>2662</v>
      </c>
      <c r="F241" s="8274" t="s">
        <v>2322</v>
      </c>
      <c r="G241" s="8274" t="s">
        <v>17</v>
      </c>
      <c r="H241" s="8274" t="s">
        <v>17</v>
      </c>
      <c r="I241" s="8274" t="s">
        <v>2896</v>
      </c>
      <c r="J241" s="0" t="s">
        <v>17</v>
      </c>
      <c r="K241" s="0" t="s">
        <v>2886</v>
      </c>
      <c r="L241" s="0" t="s">
        <v>2304</v>
      </c>
      <c r="M241" s="0" t="s">
        <v>2887</v>
      </c>
      <c r="N241" s="0" t="s">
        <v>465</v>
      </c>
    </row>
    <row customHeight="1" ht="11.25">
      <c r="A242" s="8274" t="s">
        <v>2233</v>
      </c>
      <c r="B242" s="8274" t="s">
        <v>14</v>
      </c>
      <c r="C242" s="8274" t="s">
        <v>2660</v>
      </c>
      <c r="D242" s="8274" t="s">
        <v>2661</v>
      </c>
      <c r="E242" s="8274" t="s">
        <v>2662</v>
      </c>
      <c r="F242" s="8274" t="s">
        <v>2322</v>
      </c>
      <c r="G242" s="8274" t="s">
        <v>17</v>
      </c>
      <c r="H242" s="8274" t="s">
        <v>17</v>
      </c>
      <c r="I242" s="8274" t="s">
        <v>2665</v>
      </c>
      <c r="J242" s="0" t="s">
        <v>17</v>
      </c>
      <c r="K242" s="0" t="s">
        <v>2877</v>
      </c>
      <c r="L242" s="0" t="s">
        <v>2880</v>
      </c>
      <c r="M242" s="0" t="s">
        <v>2881</v>
      </c>
      <c r="N242" s="0" t="s">
        <v>465</v>
      </c>
    </row>
    <row customHeight="1" ht="11.25">
      <c r="A243" s="8274" t="s">
        <v>2233</v>
      </c>
      <c r="B243" s="8274" t="s">
        <v>14</v>
      </c>
      <c r="C243" s="8274" t="s">
        <v>2667</v>
      </c>
      <c r="D243" s="8274" t="s">
        <v>2668</v>
      </c>
      <c r="E243" s="8274" t="s">
        <v>2669</v>
      </c>
      <c r="F243" s="8274" t="s">
        <v>2369</v>
      </c>
      <c r="G243" s="8274" t="s">
        <v>2670</v>
      </c>
      <c r="H243" s="8274" t="s">
        <v>17</v>
      </c>
      <c r="I243" s="8274" t="s">
        <v>2499</v>
      </c>
      <c r="J243" s="0" t="s">
        <v>17</v>
      </c>
      <c r="K243" s="0" t="s">
        <v>2877</v>
      </c>
      <c r="L243" s="0" t="s">
        <v>2501</v>
      </c>
      <c r="M243" s="0" t="s">
        <v>2890</v>
      </c>
      <c r="N243" s="0" t="s">
        <v>465</v>
      </c>
    </row>
    <row customHeight="1" ht="11.25">
      <c r="A244" s="8274" t="s">
        <v>2233</v>
      </c>
      <c r="B244" s="8274" t="s">
        <v>14</v>
      </c>
      <c r="C244" s="8274" t="s">
        <v>2671</v>
      </c>
      <c r="D244" s="8274" t="s">
        <v>2672</v>
      </c>
      <c r="E244" s="8274" t="s">
        <v>2673</v>
      </c>
      <c r="F244" s="8274" t="s">
        <v>2427</v>
      </c>
      <c r="G244" s="8274" t="s">
        <v>2674</v>
      </c>
      <c r="H244" s="8274" t="s">
        <v>17</v>
      </c>
      <c r="I244" s="8274" t="s">
        <v>2674</v>
      </c>
      <c r="J244" s="0" t="s">
        <v>17</v>
      </c>
      <c r="K244" s="0" t="s">
        <v>2877</v>
      </c>
      <c r="L244" s="0" t="s">
        <v>2880</v>
      </c>
      <c r="M244" s="0" t="s">
        <v>2881</v>
      </c>
      <c r="N244" s="0" t="s">
        <v>465</v>
      </c>
    </row>
    <row customHeight="1" ht="11.25">
      <c r="A245" s="8274" t="s">
        <v>2233</v>
      </c>
      <c r="B245" s="8274" t="s">
        <v>14</v>
      </c>
      <c r="C245" s="8274" t="s">
        <v>2700</v>
      </c>
      <c r="D245" s="8274" t="s">
        <v>2701</v>
      </c>
      <c r="E245" s="8274" t="s">
        <v>2702</v>
      </c>
      <c r="F245" s="8274" t="s">
        <v>2432</v>
      </c>
      <c r="G245" s="8274" t="s">
        <v>17</v>
      </c>
      <c r="H245" s="8274" t="s">
        <v>17</v>
      </c>
      <c r="I245" s="8274" t="s">
        <v>2703</v>
      </c>
      <c r="J245" s="0" t="s">
        <v>17</v>
      </c>
      <c r="K245" s="0" t="s">
        <v>2877</v>
      </c>
      <c r="L245" s="0" t="s">
        <v>2880</v>
      </c>
      <c r="M245" s="0" t="s">
        <v>2881</v>
      </c>
      <c r="N245" s="0" t="s">
        <v>465</v>
      </c>
    </row>
    <row customHeight="1" ht="11.25">
      <c r="A246" s="8274" t="s">
        <v>2233</v>
      </c>
      <c r="B246" s="8274" t="s">
        <v>14</v>
      </c>
      <c r="C246" s="8274" t="s">
        <v>2720</v>
      </c>
      <c r="D246" s="8274" t="s">
        <v>2721</v>
      </c>
      <c r="E246" s="8274" t="s">
        <v>2722</v>
      </c>
      <c r="F246" s="8274" t="s">
        <v>2432</v>
      </c>
      <c r="G246" s="8274" t="s">
        <v>17</v>
      </c>
      <c r="H246" s="8274" t="s">
        <v>17</v>
      </c>
      <c r="I246" s="8274" t="s">
        <v>2616</v>
      </c>
      <c r="J246" s="0" t="s">
        <v>17</v>
      </c>
      <c r="K246" s="0" t="s">
        <v>2877</v>
      </c>
      <c r="L246" s="0" t="s">
        <v>2880</v>
      </c>
      <c r="M246" s="0" t="s">
        <v>2881</v>
      </c>
      <c r="N246" s="0" t="s">
        <v>465</v>
      </c>
    </row>
    <row customHeight="1" ht="11.25">
      <c r="A247" s="8274" t="s">
        <v>2233</v>
      </c>
      <c r="B247" s="8274" t="s">
        <v>14</v>
      </c>
      <c r="C247" s="8274" t="s">
        <v>2756</v>
      </c>
      <c r="D247" s="8274" t="s">
        <v>2757</v>
      </c>
      <c r="E247" s="8274" t="s">
        <v>2758</v>
      </c>
      <c r="F247" s="8274" t="s">
        <v>2285</v>
      </c>
      <c r="G247" s="8274" t="s">
        <v>17</v>
      </c>
      <c r="H247" s="8274" t="s">
        <v>17</v>
      </c>
      <c r="I247" s="8274" t="s">
        <v>2311</v>
      </c>
      <c r="J247" s="0" t="s">
        <v>17</v>
      </c>
      <c r="K247" s="0" t="s">
        <v>2877</v>
      </c>
      <c r="L247" s="0" t="s">
        <v>2880</v>
      </c>
      <c r="M247" s="0" t="s">
        <v>2881</v>
      </c>
      <c r="N247" s="0" t="s">
        <v>465</v>
      </c>
    </row>
    <row customHeight="1" ht="11.25">
      <c r="A248" s="8274" t="s">
        <v>2233</v>
      </c>
      <c r="B248" s="8274" t="s">
        <v>14</v>
      </c>
      <c r="C248" s="8274" t="s">
        <v>2768</v>
      </c>
      <c r="D248" s="8274" t="s">
        <v>2769</v>
      </c>
      <c r="E248" s="8274" t="s">
        <v>2770</v>
      </c>
      <c r="F248" s="8274" t="s">
        <v>2285</v>
      </c>
      <c r="G248" s="8274" t="s">
        <v>2445</v>
      </c>
      <c r="H248" s="8274" t="s">
        <v>17</v>
      </c>
      <c r="I248" s="8274" t="s">
        <v>2897</v>
      </c>
      <c r="J248" s="0" t="s">
        <v>17</v>
      </c>
      <c r="K248" s="0" t="s">
        <v>2877</v>
      </c>
      <c r="L248" s="0" t="s">
        <v>2655</v>
      </c>
      <c r="M248" s="0" t="s">
        <v>2878</v>
      </c>
      <c r="N248" s="0" t="s">
        <v>465</v>
      </c>
    </row>
    <row customHeight="1" ht="11.25">
      <c r="A249" s="8274" t="s">
        <v>2233</v>
      </c>
      <c r="B249" s="8274" t="s">
        <v>14</v>
      </c>
      <c r="C249" s="8274" t="s">
        <v>2803</v>
      </c>
      <c r="D249" s="8274" t="s">
        <v>2804</v>
      </c>
      <c r="E249" s="8274" t="s">
        <v>2805</v>
      </c>
      <c r="F249" s="8274" t="s">
        <v>2285</v>
      </c>
      <c r="G249" s="8274" t="s">
        <v>17</v>
      </c>
      <c r="H249" s="8274" t="s">
        <v>17</v>
      </c>
      <c r="I249" s="8274" t="s">
        <v>2876</v>
      </c>
      <c r="J249" s="0" t="s">
        <v>17</v>
      </c>
      <c r="K249" s="0" t="s">
        <v>2877</v>
      </c>
      <c r="L249" s="0" t="s">
        <v>2655</v>
      </c>
      <c r="M249" s="0" t="s">
        <v>2878</v>
      </c>
      <c r="N249" s="0" t="s">
        <v>465</v>
      </c>
    </row>
    <row customHeight="1" ht="11.25">
      <c r="A250" s="8274" t="s">
        <v>2233</v>
      </c>
      <c r="B250" s="8274" t="s">
        <v>14</v>
      </c>
      <c r="C250" s="8274" t="s">
        <v>2807</v>
      </c>
      <c r="D250" s="8274" t="s">
        <v>2808</v>
      </c>
      <c r="E250" s="8274" t="s">
        <v>2809</v>
      </c>
      <c r="F250" s="8274" t="s">
        <v>2375</v>
      </c>
      <c r="G250" s="8274" t="s">
        <v>2521</v>
      </c>
      <c r="H250" s="8274" t="s">
        <v>17</v>
      </c>
      <c r="I250" s="8274" t="s">
        <v>2521</v>
      </c>
      <c r="J250" s="0" t="s">
        <v>17</v>
      </c>
      <c r="K250" s="0" t="s">
        <v>2877</v>
      </c>
      <c r="L250" s="0" t="s">
        <v>2880</v>
      </c>
      <c r="M250" s="0" t="s">
        <v>2881</v>
      </c>
      <c r="N250" s="0" t="s">
        <v>465</v>
      </c>
    </row>
    <row customHeight="1" ht="11.25">
      <c r="A251" s="8274" t="s">
        <v>2233</v>
      </c>
      <c r="B251" s="8274" t="s">
        <v>14</v>
      </c>
      <c r="C251" s="8274" t="s">
        <v>2816</v>
      </c>
      <c r="D251" s="8274" t="s">
        <v>2817</v>
      </c>
      <c r="E251" s="8274" t="s">
        <v>2818</v>
      </c>
      <c r="F251" s="8274" t="s">
        <v>2560</v>
      </c>
      <c r="G251" s="8274" t="s">
        <v>17</v>
      </c>
      <c r="H251" s="8274" t="s">
        <v>17</v>
      </c>
      <c r="I251" s="8274" t="s">
        <v>2898</v>
      </c>
      <c r="J251" s="0" t="s">
        <v>17</v>
      </c>
      <c r="K251" s="0" t="s">
        <v>2877</v>
      </c>
      <c r="L251" s="0" t="s">
        <v>2655</v>
      </c>
      <c r="M251" s="0" t="s">
        <v>2878</v>
      </c>
      <c r="N251" s="0" t="s">
        <v>465</v>
      </c>
    </row>
    <row customHeight="1" ht="11.25">
      <c r="A252" s="8274" t="s">
        <v>2233</v>
      </c>
      <c r="B252" s="8274" t="s">
        <v>14</v>
      </c>
      <c r="C252" s="8274" t="s">
        <v>2819</v>
      </c>
      <c r="D252" s="8274" t="s">
        <v>2820</v>
      </c>
      <c r="E252" s="8274" t="s">
        <v>2821</v>
      </c>
      <c r="F252" s="8274" t="s">
        <v>2822</v>
      </c>
      <c r="G252" s="8274" t="s">
        <v>17</v>
      </c>
      <c r="H252" s="8274" t="s">
        <v>17</v>
      </c>
      <c r="I252" s="8274" t="s">
        <v>2899</v>
      </c>
      <c r="J252" s="0" t="s">
        <v>17</v>
      </c>
      <c r="K252" s="0" t="s">
        <v>2877</v>
      </c>
      <c r="L252" s="0" t="s">
        <v>2501</v>
      </c>
      <c r="M252" s="0" t="s">
        <v>2890</v>
      </c>
      <c r="N252" s="0" t="s">
        <v>465</v>
      </c>
    </row>
    <row customHeight="1" ht="11.25">
      <c r="A253" s="8274" t="s">
        <v>2233</v>
      </c>
      <c r="B253" s="8274" t="s">
        <v>14</v>
      </c>
      <c r="C253" s="8274" t="s">
        <v>2819</v>
      </c>
      <c r="D253" s="8274" t="s">
        <v>2820</v>
      </c>
      <c r="E253" s="8274" t="s">
        <v>2821</v>
      </c>
      <c r="F253" s="8274" t="s">
        <v>2822</v>
      </c>
      <c r="G253" s="8274" t="s">
        <v>17</v>
      </c>
      <c r="H253" s="8274" t="s">
        <v>17</v>
      </c>
      <c r="I253" s="8274" t="s">
        <v>2742</v>
      </c>
      <c r="J253" s="0" t="s">
        <v>17</v>
      </c>
      <c r="K253" s="0" t="s">
        <v>2877</v>
      </c>
      <c r="L253" s="0" t="s">
        <v>2501</v>
      </c>
      <c r="M253" s="0" t="s">
        <v>2890</v>
      </c>
      <c r="N253" s="0" t="s">
        <v>465</v>
      </c>
    </row>
    <row customHeight="1" ht="11.25">
      <c r="A254" s="8274" t="s">
        <v>2233</v>
      </c>
      <c r="B254" s="8274" t="s">
        <v>14</v>
      </c>
      <c r="C254" s="8274" t="s">
        <v>2823</v>
      </c>
      <c r="D254" s="8274" t="s">
        <v>2824</v>
      </c>
      <c r="E254" s="8274" t="s">
        <v>2825</v>
      </c>
      <c r="F254" s="8274" t="s">
        <v>2427</v>
      </c>
      <c r="G254" s="8274" t="s">
        <v>17</v>
      </c>
      <c r="H254" s="8274" t="s">
        <v>17</v>
      </c>
      <c r="I254" s="8274" t="s">
        <v>2463</v>
      </c>
      <c r="J254" s="0" t="s">
        <v>17</v>
      </c>
      <c r="K254" s="0" t="s">
        <v>2877</v>
      </c>
      <c r="L254" s="0" t="s">
        <v>2880</v>
      </c>
      <c r="M254" s="0" t="s">
        <v>2881</v>
      </c>
      <c r="N254" s="0" t="s">
        <v>465</v>
      </c>
    </row>
    <row customHeight="1" ht="11.25">
      <c r="A255" s="8274" t="s">
        <v>2233</v>
      </c>
      <c r="B255" s="8274" t="s">
        <v>14</v>
      </c>
      <c r="C255" s="8274" t="s">
        <v>2852</v>
      </c>
      <c r="D255" s="8274" t="s">
        <v>2853</v>
      </c>
      <c r="E255" s="8274" t="s">
        <v>2854</v>
      </c>
      <c r="F255" s="8274" t="s">
        <v>2273</v>
      </c>
      <c r="G255" s="8274" t="s">
        <v>17</v>
      </c>
      <c r="H255" s="8274" t="s">
        <v>17</v>
      </c>
      <c r="I255" s="8274" t="s">
        <v>2876</v>
      </c>
      <c r="J255" s="0" t="s">
        <v>17</v>
      </c>
      <c r="K255" s="0" t="s">
        <v>2877</v>
      </c>
      <c r="L255" s="0" t="s">
        <v>2655</v>
      </c>
      <c r="M255" s="0" t="s">
        <v>2878</v>
      </c>
      <c r="N255" s="0" t="s">
        <v>465</v>
      </c>
    </row>
    <row customHeight="1" ht="11.25">
      <c r="A256" s="8274" t="s">
        <v>2233</v>
      </c>
      <c r="B256" s="8274" t="s">
        <v>14</v>
      </c>
      <c r="C256" s="8274" t="s">
        <v>2855</v>
      </c>
      <c r="D256" s="8274" t="s">
        <v>2856</v>
      </c>
      <c r="E256" s="8274" t="s">
        <v>2857</v>
      </c>
      <c r="F256" s="8274" t="s">
        <v>2858</v>
      </c>
      <c r="G256" s="8274" t="s">
        <v>17</v>
      </c>
      <c r="H256" s="8274" t="s">
        <v>17</v>
      </c>
      <c r="I256" s="8274" t="s">
        <v>2859</v>
      </c>
      <c r="J256" s="0" t="s">
        <v>17</v>
      </c>
      <c r="K256" s="0" t="s">
        <v>2886</v>
      </c>
      <c r="L256" s="0" t="s">
        <v>2304</v>
      </c>
      <c r="M256" s="0" t="s">
        <v>2887</v>
      </c>
      <c r="N256" s="0" t="s">
        <v>465</v>
      </c>
    </row>
    <row customHeight="1" ht="11.25">
      <c r="A257" s="8274" t="s">
        <v>2233</v>
      </c>
      <c r="B257" s="8274" t="s">
        <v>14</v>
      </c>
      <c r="C257" s="8274" t="s">
        <v>2855</v>
      </c>
      <c r="D257" s="8274" t="s">
        <v>2856</v>
      </c>
      <c r="E257" s="8274" t="s">
        <v>2857</v>
      </c>
      <c r="F257" s="8274" t="s">
        <v>2858</v>
      </c>
      <c r="G257" s="8274" t="s">
        <v>17</v>
      </c>
      <c r="H257" s="8274" t="s">
        <v>17</v>
      </c>
      <c r="I257" s="8274" t="s">
        <v>2900</v>
      </c>
      <c r="J257" s="0" t="s">
        <v>17</v>
      </c>
      <c r="K257" s="0" t="s">
        <v>2877</v>
      </c>
      <c r="L257" s="0" t="s">
        <v>2901</v>
      </c>
      <c r="M257" s="0" t="s">
        <v>2902</v>
      </c>
      <c r="N257" s="0" t="s">
        <v>465</v>
      </c>
    </row>
    <row customHeight="1" ht="11.25">
      <c r="A258" s="8274" t="s">
        <v>2233</v>
      </c>
      <c r="B258" s="8274" t="s">
        <v>14</v>
      </c>
      <c r="C258" s="8274" t="s">
        <v>2867</v>
      </c>
      <c r="D258" s="8274" t="s">
        <v>2868</v>
      </c>
      <c r="E258" s="8274" t="s">
        <v>2869</v>
      </c>
      <c r="F258" s="8274" t="s">
        <v>2870</v>
      </c>
      <c r="G258" s="8274" t="s">
        <v>17</v>
      </c>
      <c r="H258" s="8274" t="s">
        <v>17</v>
      </c>
      <c r="I258" s="8274" t="s">
        <v>2903</v>
      </c>
      <c r="J258" s="0" t="s">
        <v>17</v>
      </c>
      <c r="K258" s="0" t="s">
        <v>2877</v>
      </c>
      <c r="L258" s="0" t="s">
        <v>2655</v>
      </c>
      <c r="M258" s="0" t="s">
        <v>2878</v>
      </c>
      <c r="N258" s="0" t="s">
        <v>465</v>
      </c>
    </row>
    <row customHeight="1" ht="11.25">
      <c r="A259" s="8274" t="s">
        <v>2233</v>
      </c>
      <c r="B259" s="8274" t="s">
        <v>14</v>
      </c>
      <c r="C259" s="8274" t="s">
        <v>2242</v>
      </c>
      <c r="D259" s="8274" t="s">
        <v>2243</v>
      </c>
      <c r="E259" s="8274" t="s">
        <v>2244</v>
      </c>
      <c r="F259" s="8274" t="s">
        <v>2245</v>
      </c>
      <c r="G259" s="8274" t="s">
        <v>2246</v>
      </c>
      <c r="H259" s="8274" t="s">
        <v>17</v>
      </c>
      <c r="I259" s="8274" t="s">
        <v>2246</v>
      </c>
      <c r="J259" s="0" t="s">
        <v>17</v>
      </c>
      <c r="K259" s="0" t="s">
        <v>2904</v>
      </c>
      <c r="L259" s="0" t="s">
        <v>2905</v>
      </c>
      <c r="M259" s="0" t="s">
        <v>2906</v>
      </c>
      <c r="N259" s="0" t="s">
        <v>463</v>
      </c>
    </row>
    <row customHeight="1" ht="11.25">
      <c r="A260" s="8274" t="s">
        <v>2233</v>
      </c>
      <c r="B260" s="8274" t="s">
        <v>14</v>
      </c>
      <c r="C260" s="8274" t="s">
        <v>2907</v>
      </c>
      <c r="D260" s="8274" t="s">
        <v>2908</v>
      </c>
      <c r="E260" s="8274" t="s">
        <v>2909</v>
      </c>
      <c r="F260" s="8274" t="s">
        <v>2482</v>
      </c>
      <c r="G260" s="8274" t="s">
        <v>2910</v>
      </c>
      <c r="H260" s="8274" t="s">
        <v>17</v>
      </c>
      <c r="I260" s="8274" t="s">
        <v>2911</v>
      </c>
      <c r="J260" s="0" t="s">
        <v>2912</v>
      </c>
      <c r="K260" s="0" t="s">
        <v>2904</v>
      </c>
      <c r="L260" s="0" t="s">
        <v>2913</v>
      </c>
      <c r="M260" s="0" t="s">
        <v>2914</v>
      </c>
      <c r="N260" s="0" t="s">
        <v>463</v>
      </c>
    </row>
    <row customHeight="1" ht="11.25">
      <c r="A261" s="8274" t="s">
        <v>2233</v>
      </c>
      <c r="B261" s="8274" t="s">
        <v>14</v>
      </c>
      <c r="C261" s="8274" t="s">
        <v>2907</v>
      </c>
      <c r="D261" s="8274" t="s">
        <v>2908</v>
      </c>
      <c r="E261" s="8274" t="s">
        <v>2909</v>
      </c>
      <c r="F261" s="8274" t="s">
        <v>2482</v>
      </c>
      <c r="G261" s="8274" t="s">
        <v>2910</v>
      </c>
      <c r="H261" s="8274" t="s">
        <v>17</v>
      </c>
      <c r="I261" s="8274" t="s">
        <v>2911</v>
      </c>
      <c r="J261" s="0" t="s">
        <v>2912</v>
      </c>
      <c r="K261" s="0" t="s">
        <v>2904</v>
      </c>
      <c r="L261" s="0" t="s">
        <v>2915</v>
      </c>
      <c r="M261" s="0" t="s">
        <v>2916</v>
      </c>
      <c r="N261" s="0" t="s">
        <v>463</v>
      </c>
    </row>
    <row customHeight="1" ht="11.25">
      <c r="A262" s="8274" t="s">
        <v>2233</v>
      </c>
      <c r="B262" s="8274" t="s">
        <v>14</v>
      </c>
      <c r="C262" s="8274" t="s">
        <v>2907</v>
      </c>
      <c r="D262" s="8274" t="s">
        <v>2908</v>
      </c>
      <c r="E262" s="8274" t="s">
        <v>2909</v>
      </c>
      <c r="F262" s="8274" t="s">
        <v>2482</v>
      </c>
      <c r="G262" s="8274" t="s">
        <v>2910</v>
      </c>
      <c r="H262" s="8274" t="s">
        <v>17</v>
      </c>
      <c r="I262" s="8274" t="s">
        <v>2911</v>
      </c>
      <c r="J262" s="0" t="s">
        <v>2912</v>
      </c>
      <c r="K262" s="0" t="s">
        <v>2917</v>
      </c>
      <c r="L262" s="0" t="s">
        <v>2915</v>
      </c>
      <c r="M262" s="0" t="s">
        <v>2916</v>
      </c>
      <c r="N262" s="0" t="s">
        <v>463</v>
      </c>
    </row>
    <row customHeight="1" ht="11.25">
      <c r="A263" s="8274" t="s">
        <v>2233</v>
      </c>
      <c r="B263" s="8274" t="s">
        <v>14</v>
      </c>
      <c r="C263" s="8274" t="s">
        <v>2907</v>
      </c>
      <c r="D263" s="8274" t="s">
        <v>2908</v>
      </c>
      <c r="E263" s="8274" t="s">
        <v>2909</v>
      </c>
      <c r="F263" s="8274" t="s">
        <v>2482</v>
      </c>
      <c r="G263" s="8274" t="s">
        <v>2910</v>
      </c>
      <c r="H263" s="8274" t="s">
        <v>17</v>
      </c>
      <c r="I263" s="8274" t="s">
        <v>2918</v>
      </c>
      <c r="J263" s="0" t="s">
        <v>17</v>
      </c>
      <c r="K263" s="0" t="s">
        <v>2904</v>
      </c>
      <c r="L263" s="0" t="s">
        <v>2919</v>
      </c>
      <c r="M263" s="0" t="s">
        <v>2920</v>
      </c>
      <c r="N263" s="0" t="s">
        <v>463</v>
      </c>
    </row>
    <row customHeight="1" ht="11.25">
      <c r="A264" s="8274" t="s">
        <v>2233</v>
      </c>
      <c r="B264" s="8274" t="s">
        <v>14</v>
      </c>
      <c r="C264" s="8274" t="s">
        <v>2907</v>
      </c>
      <c r="D264" s="8274" t="s">
        <v>2908</v>
      </c>
      <c r="E264" s="8274" t="s">
        <v>2909</v>
      </c>
      <c r="F264" s="8274" t="s">
        <v>2482</v>
      </c>
      <c r="G264" s="8274" t="s">
        <v>2910</v>
      </c>
      <c r="H264" s="8274" t="s">
        <v>17</v>
      </c>
      <c r="I264" s="8274" t="s">
        <v>2918</v>
      </c>
      <c r="J264" s="0" t="s">
        <v>17</v>
      </c>
      <c r="K264" s="0" t="s">
        <v>2917</v>
      </c>
      <c r="L264" s="0" t="s">
        <v>2919</v>
      </c>
      <c r="M264" s="0" t="s">
        <v>2920</v>
      </c>
      <c r="N264" s="0" t="s">
        <v>463</v>
      </c>
    </row>
    <row customHeight="1" ht="11.25">
      <c r="A265" s="8274" t="s">
        <v>2233</v>
      </c>
      <c r="B265" s="8274" t="s">
        <v>14</v>
      </c>
      <c r="C265" s="8274" t="s">
        <v>2907</v>
      </c>
      <c r="D265" s="8274" t="s">
        <v>2908</v>
      </c>
      <c r="E265" s="8274" t="s">
        <v>2909</v>
      </c>
      <c r="F265" s="8274" t="s">
        <v>2482</v>
      </c>
      <c r="G265" s="8274" t="s">
        <v>2910</v>
      </c>
      <c r="H265" s="8274" t="s">
        <v>17</v>
      </c>
      <c r="I265" s="8274" t="s">
        <v>2921</v>
      </c>
      <c r="J265" s="0" t="s">
        <v>17</v>
      </c>
      <c r="K265" s="0" t="s">
        <v>2904</v>
      </c>
      <c r="L265" s="0" t="s">
        <v>2913</v>
      </c>
      <c r="M265" s="0" t="s">
        <v>2914</v>
      </c>
      <c r="N265" s="0" t="s">
        <v>463</v>
      </c>
    </row>
    <row customHeight="1" ht="11.25">
      <c r="A266" s="8274" t="s">
        <v>2233</v>
      </c>
      <c r="B266" s="8274" t="s">
        <v>14</v>
      </c>
      <c r="C266" s="8274" t="s">
        <v>2907</v>
      </c>
      <c r="D266" s="8274" t="s">
        <v>2908</v>
      </c>
      <c r="E266" s="8274" t="s">
        <v>2909</v>
      </c>
      <c r="F266" s="8274" t="s">
        <v>2482</v>
      </c>
      <c r="G266" s="8274" t="s">
        <v>2910</v>
      </c>
      <c r="H266" s="8274" t="s">
        <v>17</v>
      </c>
      <c r="I266" s="8274" t="s">
        <v>2921</v>
      </c>
      <c r="J266" s="0" t="s">
        <v>17</v>
      </c>
      <c r="K266" s="0" t="s">
        <v>2904</v>
      </c>
      <c r="L266" s="0" t="s">
        <v>2915</v>
      </c>
      <c r="M266" s="0" t="s">
        <v>2916</v>
      </c>
      <c r="N266" s="0" t="s">
        <v>463</v>
      </c>
    </row>
    <row customHeight="1" ht="11.25">
      <c r="A267" s="8274" t="s">
        <v>2233</v>
      </c>
      <c r="B267" s="8274" t="s">
        <v>14</v>
      </c>
      <c r="C267" s="8274" t="s">
        <v>2907</v>
      </c>
      <c r="D267" s="8274" t="s">
        <v>2908</v>
      </c>
      <c r="E267" s="8274" t="s">
        <v>2909</v>
      </c>
      <c r="F267" s="8274" t="s">
        <v>2482</v>
      </c>
      <c r="G267" s="8274" t="s">
        <v>2910</v>
      </c>
      <c r="H267" s="8274" t="s">
        <v>17</v>
      </c>
      <c r="I267" s="8274" t="s">
        <v>2921</v>
      </c>
      <c r="J267" s="0" t="s">
        <v>17</v>
      </c>
      <c r="K267" s="0" t="s">
        <v>2917</v>
      </c>
      <c r="L267" s="0" t="s">
        <v>2915</v>
      </c>
      <c r="M267" s="0" t="s">
        <v>2916</v>
      </c>
      <c r="N267" s="0" t="s">
        <v>463</v>
      </c>
    </row>
    <row customHeight="1" ht="11.25">
      <c r="A268" s="8274" t="s">
        <v>2233</v>
      </c>
      <c r="B268" s="8274" t="s">
        <v>14</v>
      </c>
      <c r="C268" s="8274" t="s">
        <v>2262</v>
      </c>
      <c r="D268" s="8274" t="s">
        <v>2263</v>
      </c>
      <c r="E268" s="8274" t="s">
        <v>2264</v>
      </c>
      <c r="F268" s="8274" t="s">
        <v>2245</v>
      </c>
      <c r="G268" s="8274" t="s">
        <v>2265</v>
      </c>
      <c r="H268" s="8274" t="s">
        <v>17</v>
      </c>
      <c r="I268" s="8274" t="s">
        <v>2265</v>
      </c>
      <c r="J268" s="0" t="s">
        <v>17</v>
      </c>
      <c r="K268" s="0" t="s">
        <v>2904</v>
      </c>
      <c r="L268" s="0" t="s">
        <v>2905</v>
      </c>
      <c r="M268" s="0" t="s">
        <v>2906</v>
      </c>
      <c r="N268" s="0" t="s">
        <v>463</v>
      </c>
    </row>
    <row customHeight="1" ht="11.25">
      <c r="A269" s="8274" t="s">
        <v>2233</v>
      </c>
      <c r="B269" s="8274" t="s">
        <v>14</v>
      </c>
      <c r="C269" s="8274" t="s">
        <v>2270</v>
      </c>
      <c r="D269" s="8274" t="s">
        <v>2271</v>
      </c>
      <c r="E269" s="8274" t="s">
        <v>2272</v>
      </c>
      <c r="F269" s="8274" t="s">
        <v>2273</v>
      </c>
      <c r="G269" s="8274" t="s">
        <v>17</v>
      </c>
      <c r="H269" s="8274" t="s">
        <v>17</v>
      </c>
      <c r="I269" s="8274" t="s">
        <v>2311</v>
      </c>
      <c r="J269" s="0" t="s">
        <v>17</v>
      </c>
      <c r="K269" s="0" t="s">
        <v>2904</v>
      </c>
      <c r="L269" s="0" t="s">
        <v>2905</v>
      </c>
      <c r="M269" s="0" t="s">
        <v>2906</v>
      </c>
      <c r="N269" s="0" t="s">
        <v>463</v>
      </c>
    </row>
    <row customHeight="1" ht="11.25">
      <c r="A270" s="8274" t="s">
        <v>2233</v>
      </c>
      <c r="B270" s="8274" t="s">
        <v>14</v>
      </c>
      <c r="C270" s="8274" t="s">
        <v>2275</v>
      </c>
      <c r="D270" s="8274" t="s">
        <v>2276</v>
      </c>
      <c r="E270" s="8274" t="s">
        <v>2277</v>
      </c>
      <c r="F270" s="8274" t="s">
        <v>2278</v>
      </c>
      <c r="G270" s="8274" t="s">
        <v>17</v>
      </c>
      <c r="H270" s="8274" t="s">
        <v>17</v>
      </c>
      <c r="I270" s="8274" t="s">
        <v>2311</v>
      </c>
      <c r="J270" s="0" t="s">
        <v>17</v>
      </c>
      <c r="K270" s="0" t="s">
        <v>2904</v>
      </c>
      <c r="L270" s="0" t="s">
        <v>2905</v>
      </c>
      <c r="M270" s="0" t="s">
        <v>2906</v>
      </c>
      <c r="N270" s="0" t="s">
        <v>463</v>
      </c>
    </row>
    <row customHeight="1" ht="11.25">
      <c r="A271" s="8274" t="s">
        <v>2233</v>
      </c>
      <c r="B271" s="8274" t="s">
        <v>14</v>
      </c>
      <c r="C271" s="8274" t="s">
        <v>2922</v>
      </c>
      <c r="D271" s="8274" t="s">
        <v>2923</v>
      </c>
      <c r="E271" s="8274" t="s">
        <v>2924</v>
      </c>
      <c r="F271" s="8274" t="s">
        <v>2358</v>
      </c>
      <c r="G271" s="8274" t="s">
        <v>17</v>
      </c>
      <c r="H271" s="8274" t="s">
        <v>17</v>
      </c>
      <c r="I271" s="8274" t="s">
        <v>2925</v>
      </c>
      <c r="J271" s="0" t="s">
        <v>17</v>
      </c>
      <c r="K271" s="0" t="s">
        <v>2917</v>
      </c>
      <c r="L271" s="0" t="s">
        <v>2913</v>
      </c>
      <c r="M271" s="0" t="s">
        <v>2926</v>
      </c>
      <c r="N271" s="0" t="s">
        <v>463</v>
      </c>
    </row>
    <row customHeight="1" ht="11.25">
      <c r="A272" s="8274" t="s">
        <v>2233</v>
      </c>
      <c r="B272" s="8274" t="s">
        <v>14</v>
      </c>
      <c r="C272" s="8274" t="s">
        <v>2287</v>
      </c>
      <c r="D272" s="8274" t="s">
        <v>2288</v>
      </c>
      <c r="E272" s="8274" t="s">
        <v>2289</v>
      </c>
      <c r="F272" s="8274" t="s">
        <v>2290</v>
      </c>
      <c r="G272" s="8274" t="s">
        <v>17</v>
      </c>
      <c r="H272" s="8274" t="s">
        <v>17</v>
      </c>
      <c r="I272" s="8274" t="s">
        <v>2311</v>
      </c>
      <c r="J272" s="0" t="s">
        <v>17</v>
      </c>
      <c r="K272" s="0" t="s">
        <v>2904</v>
      </c>
      <c r="L272" s="0" t="s">
        <v>2905</v>
      </c>
      <c r="M272" s="0" t="s">
        <v>2906</v>
      </c>
      <c r="N272" s="0" t="s">
        <v>463</v>
      </c>
    </row>
    <row customHeight="1" ht="11.25">
      <c r="A273" s="8274" t="s">
        <v>2233</v>
      </c>
      <c r="B273" s="8274" t="s">
        <v>14</v>
      </c>
      <c r="C273" s="8274" t="s">
        <v>2334</v>
      </c>
      <c r="D273" s="8274" t="s">
        <v>2335</v>
      </c>
      <c r="E273" s="8274" t="s">
        <v>2336</v>
      </c>
      <c r="F273" s="8274" t="s">
        <v>2337</v>
      </c>
      <c r="G273" s="8274" t="s">
        <v>2265</v>
      </c>
      <c r="H273" s="8274" t="s">
        <v>17</v>
      </c>
      <c r="I273" s="8274" t="s">
        <v>2265</v>
      </c>
      <c r="J273" s="0" t="s">
        <v>17</v>
      </c>
      <c r="K273" s="0" t="s">
        <v>2904</v>
      </c>
      <c r="L273" s="0" t="s">
        <v>2905</v>
      </c>
      <c r="M273" s="0" t="s">
        <v>2906</v>
      </c>
      <c r="N273" s="0" t="s">
        <v>463</v>
      </c>
    </row>
    <row customHeight="1" ht="11.25">
      <c r="A274" s="8274" t="s">
        <v>2233</v>
      </c>
      <c r="B274" s="8274" t="s">
        <v>14</v>
      </c>
      <c r="C274" s="8274" t="s">
        <v>2927</v>
      </c>
      <c r="D274" s="8274" t="s">
        <v>2928</v>
      </c>
      <c r="E274" s="8274" t="s">
        <v>2929</v>
      </c>
      <c r="F274" s="8274" t="s">
        <v>2358</v>
      </c>
      <c r="G274" s="8274" t="s">
        <v>17</v>
      </c>
      <c r="H274" s="8274" t="s">
        <v>17</v>
      </c>
      <c r="I274" s="8274" t="s">
        <v>2311</v>
      </c>
      <c r="J274" s="0" t="s">
        <v>17</v>
      </c>
      <c r="K274" s="0" t="s">
        <v>2904</v>
      </c>
      <c r="L274" s="0" t="s">
        <v>2905</v>
      </c>
      <c r="M274" s="0" t="s">
        <v>2906</v>
      </c>
      <c r="N274" s="0" t="s">
        <v>463</v>
      </c>
    </row>
    <row customHeight="1" ht="11.25">
      <c r="A275" s="8274" t="s">
        <v>2233</v>
      </c>
      <c r="B275" s="8274" t="s">
        <v>14</v>
      </c>
      <c r="C275" s="8274" t="s">
        <v>2347</v>
      </c>
      <c r="D275" s="8274" t="s">
        <v>2348</v>
      </c>
      <c r="E275" s="8274" t="s">
        <v>2349</v>
      </c>
      <c r="F275" s="8274" t="s">
        <v>2350</v>
      </c>
      <c r="G275" s="8274" t="s">
        <v>17</v>
      </c>
      <c r="H275" s="8274" t="s">
        <v>17</v>
      </c>
      <c r="I275" s="8274" t="s">
        <v>2286</v>
      </c>
      <c r="J275" s="0" t="s">
        <v>17</v>
      </c>
      <c r="K275" s="0" t="s">
        <v>2904</v>
      </c>
      <c r="L275" s="0" t="s">
        <v>2905</v>
      </c>
      <c r="M275" s="0" t="s">
        <v>2906</v>
      </c>
      <c r="N275" s="0" t="s">
        <v>463</v>
      </c>
    </row>
    <row customHeight="1" ht="11.25">
      <c r="A276" s="8274" t="s">
        <v>2233</v>
      </c>
      <c r="B276" s="8274" t="s">
        <v>14</v>
      </c>
      <c r="C276" s="8274" t="s">
        <v>2351</v>
      </c>
      <c r="D276" s="8274" t="s">
        <v>2352</v>
      </c>
      <c r="E276" s="8274" t="s">
        <v>2349</v>
      </c>
      <c r="F276" s="8274" t="s">
        <v>2353</v>
      </c>
      <c r="G276" s="8274" t="s">
        <v>17</v>
      </c>
      <c r="H276" s="8274" t="s">
        <v>17</v>
      </c>
      <c r="I276" s="8274" t="s">
        <v>2507</v>
      </c>
      <c r="J276" s="0" t="s">
        <v>17</v>
      </c>
      <c r="K276" s="0" t="s">
        <v>2904</v>
      </c>
      <c r="L276" s="0" t="s">
        <v>2913</v>
      </c>
      <c r="M276" s="0" t="s">
        <v>2914</v>
      </c>
      <c r="N276" s="0" t="s">
        <v>463</v>
      </c>
    </row>
    <row customHeight="1" ht="11.25">
      <c r="A277" s="8274" t="s">
        <v>2233</v>
      </c>
      <c r="B277" s="8274" t="s">
        <v>14</v>
      </c>
      <c r="C277" s="8274" t="s">
        <v>2351</v>
      </c>
      <c r="D277" s="8274" t="s">
        <v>2352</v>
      </c>
      <c r="E277" s="8274" t="s">
        <v>2349</v>
      </c>
      <c r="F277" s="8274" t="s">
        <v>2353</v>
      </c>
      <c r="G277" s="8274" t="s">
        <v>17</v>
      </c>
      <c r="H277" s="8274" t="s">
        <v>17</v>
      </c>
      <c r="I277" s="8274" t="s">
        <v>2507</v>
      </c>
      <c r="J277" s="0" t="s">
        <v>17</v>
      </c>
      <c r="K277" s="0" t="s">
        <v>2904</v>
      </c>
      <c r="L277" s="0" t="s">
        <v>2930</v>
      </c>
      <c r="M277" s="0" t="s">
        <v>2931</v>
      </c>
      <c r="N277" s="0" t="s">
        <v>463</v>
      </c>
    </row>
    <row customHeight="1" ht="11.25">
      <c r="A278" s="8274" t="s">
        <v>2233</v>
      </c>
      <c r="B278" s="8274" t="s">
        <v>14</v>
      </c>
      <c r="C278" s="8274" t="s">
        <v>2351</v>
      </c>
      <c r="D278" s="8274" t="s">
        <v>2352</v>
      </c>
      <c r="E278" s="8274" t="s">
        <v>2349</v>
      </c>
      <c r="F278" s="8274" t="s">
        <v>2353</v>
      </c>
      <c r="G278" s="8274" t="s">
        <v>17</v>
      </c>
      <c r="H278" s="8274" t="s">
        <v>17</v>
      </c>
      <c r="I278" s="8274" t="s">
        <v>2932</v>
      </c>
      <c r="J278" s="0" t="s">
        <v>17</v>
      </c>
      <c r="K278" s="0" t="s">
        <v>2904</v>
      </c>
      <c r="L278" s="0" t="s">
        <v>2913</v>
      </c>
      <c r="M278" s="0" t="s">
        <v>2914</v>
      </c>
      <c r="N278" s="0" t="s">
        <v>463</v>
      </c>
    </row>
    <row customHeight="1" ht="11.25">
      <c r="A279" s="8274" t="s">
        <v>2233</v>
      </c>
      <c r="B279" s="8274" t="s">
        <v>14</v>
      </c>
      <c r="C279" s="8274" t="s">
        <v>2362</v>
      </c>
      <c r="D279" s="8274" t="s">
        <v>2363</v>
      </c>
      <c r="E279" s="8274" t="s">
        <v>2364</v>
      </c>
      <c r="F279" s="8274" t="s">
        <v>2365</v>
      </c>
      <c r="G279" s="8274" t="s">
        <v>17</v>
      </c>
      <c r="H279" s="8274" t="s">
        <v>17</v>
      </c>
      <c r="I279" s="8274" t="s">
        <v>2507</v>
      </c>
      <c r="J279" s="0" t="s">
        <v>17</v>
      </c>
      <c r="K279" s="0" t="s">
        <v>2904</v>
      </c>
      <c r="L279" s="0" t="s">
        <v>2930</v>
      </c>
      <c r="M279" s="0" t="s">
        <v>2931</v>
      </c>
      <c r="N279" s="0" t="s">
        <v>463</v>
      </c>
    </row>
    <row customHeight="1" ht="11.25">
      <c r="A280" s="8274" t="s">
        <v>2233</v>
      </c>
      <c r="B280" s="8274" t="s">
        <v>14</v>
      </c>
      <c r="C280" s="8274" t="s">
        <v>2933</v>
      </c>
      <c r="D280" s="8274" t="s">
        <v>2934</v>
      </c>
      <c r="E280" s="8274" t="s">
        <v>2935</v>
      </c>
      <c r="F280" s="8274" t="s">
        <v>2548</v>
      </c>
      <c r="G280" s="8274" t="s">
        <v>17</v>
      </c>
      <c r="H280" s="8274" t="s">
        <v>17</v>
      </c>
      <c r="I280" s="8274" t="s">
        <v>2463</v>
      </c>
      <c r="J280" s="0" t="s">
        <v>17</v>
      </c>
      <c r="K280" s="0" t="s">
        <v>2904</v>
      </c>
      <c r="L280" s="0" t="s">
        <v>2905</v>
      </c>
      <c r="M280" s="0" t="s">
        <v>2906</v>
      </c>
      <c r="N280" s="0" t="s">
        <v>463</v>
      </c>
    </row>
    <row customHeight="1" ht="11.25">
      <c r="A281" s="8274" t="s">
        <v>2233</v>
      </c>
      <c r="B281" s="8274" t="s">
        <v>14</v>
      </c>
      <c r="C281" s="8274" t="s">
        <v>2390</v>
      </c>
      <c r="D281" s="8274" t="s">
        <v>2391</v>
      </c>
      <c r="E281" s="8274" t="s">
        <v>2392</v>
      </c>
      <c r="F281" s="8274" t="s">
        <v>1481</v>
      </c>
      <c r="G281" s="8274" t="s">
        <v>17</v>
      </c>
      <c r="H281" s="8274" t="s">
        <v>17</v>
      </c>
      <c r="I281" s="8274" t="s">
        <v>2936</v>
      </c>
      <c r="J281" s="0" t="s">
        <v>17</v>
      </c>
      <c r="K281" s="0" t="s">
        <v>2904</v>
      </c>
      <c r="L281" s="0" t="s">
        <v>2905</v>
      </c>
      <c r="M281" s="0" t="s">
        <v>2906</v>
      </c>
      <c r="N281" s="0" t="s">
        <v>463</v>
      </c>
    </row>
    <row customHeight="1" ht="11.25">
      <c r="A282" s="8274" t="s">
        <v>2233</v>
      </c>
      <c r="B282" s="8274" t="s">
        <v>14</v>
      </c>
      <c r="C282" s="8274" t="s">
        <v>2398</v>
      </c>
      <c r="D282" s="8274" t="s">
        <v>2399</v>
      </c>
      <c r="E282" s="8274" t="s">
        <v>2400</v>
      </c>
      <c r="F282" s="8274" t="s">
        <v>1481</v>
      </c>
      <c r="G282" s="8274" t="s">
        <v>2401</v>
      </c>
      <c r="H282" s="8274" t="s">
        <v>17</v>
      </c>
      <c r="I282" s="8274" t="s">
        <v>2937</v>
      </c>
      <c r="J282" s="0" t="s">
        <v>17</v>
      </c>
      <c r="K282" s="0" t="s">
        <v>2904</v>
      </c>
      <c r="L282" s="0" t="s">
        <v>2913</v>
      </c>
      <c r="M282" s="0" t="s">
        <v>2914</v>
      </c>
      <c r="N282" s="0" t="s">
        <v>463</v>
      </c>
    </row>
    <row customHeight="1" ht="11.25">
      <c r="A283" s="8274" t="s">
        <v>2233</v>
      </c>
      <c r="B283" s="8274" t="s">
        <v>14</v>
      </c>
      <c r="C283" s="8274" t="s">
        <v>2398</v>
      </c>
      <c r="D283" s="8274" t="s">
        <v>2399</v>
      </c>
      <c r="E283" s="8274" t="s">
        <v>2400</v>
      </c>
      <c r="F283" s="8274" t="s">
        <v>1481</v>
      </c>
      <c r="G283" s="8274" t="s">
        <v>2401</v>
      </c>
      <c r="H283" s="8274" t="s">
        <v>17</v>
      </c>
      <c r="I283" s="8274" t="s">
        <v>2937</v>
      </c>
      <c r="J283" s="0" t="s">
        <v>17</v>
      </c>
      <c r="K283" s="0" t="s">
        <v>2904</v>
      </c>
      <c r="L283" s="0" t="s">
        <v>2930</v>
      </c>
      <c r="M283" s="0" t="s">
        <v>2931</v>
      </c>
      <c r="N283" s="0" t="s">
        <v>463</v>
      </c>
    </row>
    <row customHeight="1" ht="11.25">
      <c r="A284" s="8274" t="s">
        <v>2233</v>
      </c>
      <c r="B284" s="8274" t="s">
        <v>14</v>
      </c>
      <c r="C284" s="8274" t="s">
        <v>2398</v>
      </c>
      <c r="D284" s="8274" t="s">
        <v>2399</v>
      </c>
      <c r="E284" s="8274" t="s">
        <v>2400</v>
      </c>
      <c r="F284" s="8274" t="s">
        <v>1481</v>
      </c>
      <c r="G284" s="8274" t="s">
        <v>2401</v>
      </c>
      <c r="H284" s="8274" t="s">
        <v>17</v>
      </c>
      <c r="I284" s="8274" t="s">
        <v>2938</v>
      </c>
      <c r="J284" s="0" t="s">
        <v>17</v>
      </c>
      <c r="K284" s="0" t="s">
        <v>2904</v>
      </c>
      <c r="L284" s="0" t="s">
        <v>2913</v>
      </c>
      <c r="M284" s="0" t="s">
        <v>2939</v>
      </c>
      <c r="N284" s="0" t="s">
        <v>463</v>
      </c>
    </row>
    <row customHeight="1" ht="11.25">
      <c r="A285" s="8274" t="s">
        <v>2233</v>
      </c>
      <c r="B285" s="8274" t="s">
        <v>14</v>
      </c>
      <c r="C285" s="8274" t="s">
        <v>2940</v>
      </c>
      <c r="D285" s="8274" t="s">
        <v>2941</v>
      </c>
      <c r="E285" s="8274" t="s">
        <v>2942</v>
      </c>
      <c r="F285" s="8274" t="s">
        <v>1481</v>
      </c>
      <c r="G285" s="8274" t="s">
        <v>2943</v>
      </c>
      <c r="H285" s="8274" t="s">
        <v>17</v>
      </c>
      <c r="I285" s="8274" t="s">
        <v>2944</v>
      </c>
      <c r="J285" s="0" t="s">
        <v>2945</v>
      </c>
      <c r="K285" s="0" t="s">
        <v>2904</v>
      </c>
      <c r="L285" s="0" t="s">
        <v>2930</v>
      </c>
      <c r="M285" s="0" t="s">
        <v>2931</v>
      </c>
      <c r="N285" s="0" t="s">
        <v>463</v>
      </c>
    </row>
    <row customHeight="1" ht="11.25">
      <c r="A286" s="8274" t="s">
        <v>2233</v>
      </c>
      <c r="B286" s="8274" t="s">
        <v>14</v>
      </c>
      <c r="C286" s="8274" t="s">
        <v>2412</v>
      </c>
      <c r="D286" s="8274" t="s">
        <v>2413</v>
      </c>
      <c r="E286" s="8274" t="s">
        <v>2414</v>
      </c>
      <c r="F286" s="8274" t="s">
        <v>2415</v>
      </c>
      <c r="G286" s="8274" t="s">
        <v>17</v>
      </c>
      <c r="H286" s="8274" t="s">
        <v>17</v>
      </c>
      <c r="I286" s="8274" t="s">
        <v>2274</v>
      </c>
      <c r="J286" s="0" t="s">
        <v>17</v>
      </c>
      <c r="K286" s="0" t="s">
        <v>2904</v>
      </c>
      <c r="L286" s="0" t="s">
        <v>2946</v>
      </c>
      <c r="M286" s="0" t="s">
        <v>2947</v>
      </c>
      <c r="N286" s="0" t="s">
        <v>463</v>
      </c>
    </row>
    <row customHeight="1" ht="11.25">
      <c r="A287" s="8274" t="s">
        <v>2233</v>
      </c>
      <c r="B287" s="8274" t="s">
        <v>14</v>
      </c>
      <c r="C287" s="8274" t="s">
        <v>2948</v>
      </c>
      <c r="D287" s="8274" t="s">
        <v>2949</v>
      </c>
      <c r="E287" s="8274" t="s">
        <v>2414</v>
      </c>
      <c r="F287" s="8274" t="s">
        <v>2950</v>
      </c>
      <c r="G287" s="8274" t="s">
        <v>17</v>
      </c>
      <c r="H287" s="8274" t="s">
        <v>17</v>
      </c>
      <c r="I287" s="8274" t="s">
        <v>2274</v>
      </c>
      <c r="J287" s="0" t="s">
        <v>17</v>
      </c>
      <c r="K287" s="0" t="s">
        <v>2904</v>
      </c>
      <c r="L287" s="0" t="s">
        <v>2951</v>
      </c>
      <c r="M287" s="0" t="s">
        <v>2952</v>
      </c>
      <c r="N287" s="0" t="s">
        <v>463</v>
      </c>
    </row>
    <row customHeight="1" ht="11.25">
      <c r="A288" s="8274" t="s">
        <v>2233</v>
      </c>
      <c r="B288" s="8274" t="s">
        <v>14</v>
      </c>
      <c r="C288" s="8274" t="s">
        <v>2417</v>
      </c>
      <c r="D288" s="8274" t="s">
        <v>2418</v>
      </c>
      <c r="E288" s="8274" t="s">
        <v>2419</v>
      </c>
      <c r="F288" s="8274" t="s">
        <v>2420</v>
      </c>
      <c r="G288" s="8274" t="s">
        <v>17</v>
      </c>
      <c r="H288" s="8274" t="s">
        <v>17</v>
      </c>
      <c r="I288" s="8274" t="s">
        <v>2421</v>
      </c>
      <c r="J288" s="0" t="s">
        <v>17</v>
      </c>
      <c r="K288" s="0" t="s">
        <v>2904</v>
      </c>
      <c r="L288" s="0" t="s">
        <v>2953</v>
      </c>
      <c r="M288" s="0" t="s">
        <v>2954</v>
      </c>
      <c r="N288" s="0" t="s">
        <v>463</v>
      </c>
    </row>
    <row customHeight="1" ht="11.25">
      <c r="A289" s="8274" t="s">
        <v>2233</v>
      </c>
      <c r="B289" s="8274" t="s">
        <v>14</v>
      </c>
      <c r="C289" s="8274" t="s">
        <v>2417</v>
      </c>
      <c r="D289" s="8274" t="s">
        <v>2418</v>
      </c>
      <c r="E289" s="8274" t="s">
        <v>2419</v>
      </c>
      <c r="F289" s="8274" t="s">
        <v>2420</v>
      </c>
      <c r="G289" s="8274" t="s">
        <v>17</v>
      </c>
      <c r="H289" s="8274" t="s">
        <v>17</v>
      </c>
      <c r="I289" s="8274" t="s">
        <v>2422</v>
      </c>
      <c r="J289" s="0" t="s">
        <v>17</v>
      </c>
      <c r="K289" s="0" t="s">
        <v>2904</v>
      </c>
      <c r="L289" s="0" t="s">
        <v>2913</v>
      </c>
      <c r="M289" s="0" t="s">
        <v>2939</v>
      </c>
      <c r="N289" s="0" t="s">
        <v>463</v>
      </c>
    </row>
    <row customHeight="1" ht="11.25">
      <c r="A290" s="8274" t="s">
        <v>2233</v>
      </c>
      <c r="B290" s="8274" t="s">
        <v>14</v>
      </c>
      <c r="C290" s="8274" t="s">
        <v>2417</v>
      </c>
      <c r="D290" s="8274" t="s">
        <v>2418</v>
      </c>
      <c r="E290" s="8274" t="s">
        <v>2419</v>
      </c>
      <c r="F290" s="8274" t="s">
        <v>2420</v>
      </c>
      <c r="G290" s="8274" t="s">
        <v>17</v>
      </c>
      <c r="H290" s="8274" t="s">
        <v>17</v>
      </c>
      <c r="I290" s="8274" t="s">
        <v>2422</v>
      </c>
      <c r="J290" s="0" t="s">
        <v>17</v>
      </c>
      <c r="K290" s="0" t="s">
        <v>2904</v>
      </c>
      <c r="L290" s="0" t="s">
        <v>2930</v>
      </c>
      <c r="M290" s="0" t="s">
        <v>2931</v>
      </c>
      <c r="N290" s="0" t="s">
        <v>463</v>
      </c>
    </row>
    <row customHeight="1" ht="11.25">
      <c r="A291" s="8274" t="s">
        <v>2233</v>
      </c>
      <c r="B291" s="8274" t="s">
        <v>14</v>
      </c>
      <c r="C291" s="8274" t="s">
        <v>2417</v>
      </c>
      <c r="D291" s="8274" t="s">
        <v>2418</v>
      </c>
      <c r="E291" s="8274" t="s">
        <v>2419</v>
      </c>
      <c r="F291" s="8274" t="s">
        <v>2420</v>
      </c>
      <c r="G291" s="8274" t="s">
        <v>17</v>
      </c>
      <c r="H291" s="8274" t="s">
        <v>17</v>
      </c>
      <c r="I291" s="8274" t="s">
        <v>2871</v>
      </c>
      <c r="J291" s="0" t="s">
        <v>17</v>
      </c>
      <c r="K291" s="0" t="s">
        <v>2917</v>
      </c>
      <c r="L291" s="0" t="s">
        <v>2913</v>
      </c>
      <c r="M291" s="0" t="s">
        <v>2926</v>
      </c>
      <c r="N291" s="0" t="s">
        <v>463</v>
      </c>
    </row>
    <row customHeight="1" ht="11.25">
      <c r="A292" s="8274" t="s">
        <v>2233</v>
      </c>
      <c r="B292" s="8274" t="s">
        <v>14</v>
      </c>
      <c r="C292" s="8274" t="s">
        <v>2417</v>
      </c>
      <c r="D292" s="8274" t="s">
        <v>2418</v>
      </c>
      <c r="E292" s="8274" t="s">
        <v>2419</v>
      </c>
      <c r="F292" s="8274" t="s">
        <v>2420</v>
      </c>
      <c r="G292" s="8274" t="s">
        <v>17</v>
      </c>
      <c r="H292" s="8274" t="s">
        <v>17</v>
      </c>
      <c r="I292" s="8274" t="s">
        <v>2871</v>
      </c>
      <c r="J292" s="0" t="s">
        <v>17</v>
      </c>
      <c r="K292" s="0" t="s">
        <v>2917</v>
      </c>
      <c r="L292" s="0" t="s">
        <v>2955</v>
      </c>
      <c r="M292" s="0" t="s">
        <v>2956</v>
      </c>
      <c r="N292" s="0" t="s">
        <v>463</v>
      </c>
    </row>
    <row customHeight="1" ht="11.25">
      <c r="A293" s="8274" t="s">
        <v>2233</v>
      </c>
      <c r="B293" s="8274" t="s">
        <v>14</v>
      </c>
      <c r="C293" s="8274" t="s">
        <v>2957</v>
      </c>
      <c r="D293" s="8274" t="s">
        <v>2958</v>
      </c>
      <c r="E293" s="8274" t="s">
        <v>2959</v>
      </c>
      <c r="F293" s="8274" t="s">
        <v>2432</v>
      </c>
      <c r="G293" s="8274" t="s">
        <v>2960</v>
      </c>
      <c r="H293" s="8274" t="s">
        <v>17</v>
      </c>
      <c r="I293" s="8274" t="s">
        <v>2499</v>
      </c>
      <c r="J293" s="0" t="s">
        <v>17</v>
      </c>
      <c r="K293" s="0" t="s">
        <v>2904</v>
      </c>
      <c r="L293" s="0" t="s">
        <v>2930</v>
      </c>
      <c r="M293" s="0" t="s">
        <v>2931</v>
      </c>
      <c r="N293" s="0" t="s">
        <v>463</v>
      </c>
    </row>
    <row customHeight="1" ht="11.25">
      <c r="A294" s="8274" t="s">
        <v>2233</v>
      </c>
      <c r="B294" s="8274" t="s">
        <v>14</v>
      </c>
      <c r="C294" s="8274" t="s">
        <v>2961</v>
      </c>
      <c r="D294" s="8274" t="s">
        <v>2962</v>
      </c>
      <c r="E294" s="8274" t="s">
        <v>2963</v>
      </c>
      <c r="F294" s="8274" t="s">
        <v>2432</v>
      </c>
      <c r="G294" s="8274" t="s">
        <v>17</v>
      </c>
      <c r="H294" s="8274" t="s">
        <v>17</v>
      </c>
      <c r="I294" s="8274" t="s">
        <v>2416</v>
      </c>
      <c r="J294" s="0" t="s">
        <v>17</v>
      </c>
      <c r="K294" s="0" t="s">
        <v>2904</v>
      </c>
      <c r="L294" s="0" t="s">
        <v>2930</v>
      </c>
      <c r="M294" s="0" t="s">
        <v>2931</v>
      </c>
      <c r="N294" s="0" t="s">
        <v>463</v>
      </c>
    </row>
    <row customHeight="1" ht="11.25">
      <c r="A295" s="8274" t="s">
        <v>2233</v>
      </c>
      <c r="B295" s="8274" t="s">
        <v>14</v>
      </c>
      <c r="C295" s="8274" t="s">
        <v>2429</v>
      </c>
      <c r="D295" s="8274" t="s">
        <v>2430</v>
      </c>
      <c r="E295" s="8274" t="s">
        <v>2431</v>
      </c>
      <c r="F295" s="8274" t="s">
        <v>2432</v>
      </c>
      <c r="G295" s="8274" t="s">
        <v>17</v>
      </c>
      <c r="H295" s="8274" t="s">
        <v>17</v>
      </c>
      <c r="I295" s="8274" t="s">
        <v>2893</v>
      </c>
      <c r="J295" s="0" t="s">
        <v>17</v>
      </c>
      <c r="K295" s="0" t="s">
        <v>2904</v>
      </c>
      <c r="L295" s="0" t="s">
        <v>2930</v>
      </c>
      <c r="M295" s="0" t="s">
        <v>2931</v>
      </c>
      <c r="N295" s="0" t="s">
        <v>463</v>
      </c>
    </row>
    <row customHeight="1" ht="11.25">
      <c r="A296" s="8274" t="s">
        <v>2233</v>
      </c>
      <c r="B296" s="8274" t="s">
        <v>14</v>
      </c>
      <c r="C296" s="8274" t="s">
        <v>2964</v>
      </c>
      <c r="D296" s="8274" t="s">
        <v>2965</v>
      </c>
      <c r="E296" s="8274" t="s">
        <v>2966</v>
      </c>
      <c r="F296" s="8274" t="s">
        <v>2432</v>
      </c>
      <c r="G296" s="8274" t="s">
        <v>17</v>
      </c>
      <c r="H296" s="8274" t="s">
        <v>17</v>
      </c>
      <c r="I296" s="8274" t="s">
        <v>2416</v>
      </c>
      <c r="J296" s="0" t="s">
        <v>17</v>
      </c>
      <c r="K296" s="0" t="s">
        <v>2904</v>
      </c>
      <c r="L296" s="0" t="s">
        <v>2930</v>
      </c>
      <c r="M296" s="0" t="s">
        <v>2931</v>
      </c>
      <c r="N296" s="0" t="s">
        <v>463</v>
      </c>
    </row>
    <row customHeight="1" ht="11.25">
      <c r="A297" s="8274" t="s">
        <v>2233</v>
      </c>
      <c r="B297" s="8274" t="s">
        <v>14</v>
      </c>
      <c r="C297" s="8274" t="s">
        <v>2967</v>
      </c>
      <c r="D297" s="8274" t="s">
        <v>2968</v>
      </c>
      <c r="E297" s="8274" t="s">
        <v>2969</v>
      </c>
      <c r="F297" s="8274" t="s">
        <v>2432</v>
      </c>
      <c r="G297" s="8274" t="s">
        <v>17</v>
      </c>
      <c r="H297" s="8274" t="s">
        <v>17</v>
      </c>
      <c r="I297" s="8274" t="s">
        <v>2970</v>
      </c>
      <c r="J297" s="0" t="s">
        <v>17</v>
      </c>
      <c r="K297" s="0" t="s">
        <v>2904</v>
      </c>
      <c r="L297" s="0" t="s">
        <v>2930</v>
      </c>
      <c r="M297" s="0" t="s">
        <v>2931</v>
      </c>
      <c r="N297" s="0" t="s">
        <v>463</v>
      </c>
    </row>
    <row customHeight="1" ht="11.25">
      <c r="A298" s="8274" t="s">
        <v>2233</v>
      </c>
      <c r="B298" s="8274" t="s">
        <v>14</v>
      </c>
      <c r="C298" s="8274" t="s">
        <v>2971</v>
      </c>
      <c r="D298" s="8274" t="s">
        <v>2972</v>
      </c>
      <c r="E298" s="8274" t="s">
        <v>2973</v>
      </c>
      <c r="F298" s="8274" t="s">
        <v>2310</v>
      </c>
      <c r="G298" s="8274" t="s">
        <v>17</v>
      </c>
      <c r="H298" s="8274" t="s">
        <v>17</v>
      </c>
      <c r="I298" s="8274" t="s">
        <v>2974</v>
      </c>
      <c r="J298" s="0" t="s">
        <v>17</v>
      </c>
      <c r="K298" s="0" t="s">
        <v>2904</v>
      </c>
      <c r="L298" s="0" t="s">
        <v>2975</v>
      </c>
      <c r="M298" s="0" t="s">
        <v>2976</v>
      </c>
      <c r="N298" s="0" t="s">
        <v>463</v>
      </c>
    </row>
    <row customHeight="1" ht="11.25">
      <c r="A299" s="8274" t="s">
        <v>2233</v>
      </c>
      <c r="B299" s="8274" t="s">
        <v>14</v>
      </c>
      <c r="C299" s="8274" t="s">
        <v>2437</v>
      </c>
      <c r="D299" s="8274" t="s">
        <v>2438</v>
      </c>
      <c r="E299" s="8274" t="s">
        <v>2439</v>
      </c>
      <c r="F299" s="8274" t="s">
        <v>2432</v>
      </c>
      <c r="G299" s="8274" t="s">
        <v>2440</v>
      </c>
      <c r="H299" s="8274" t="s">
        <v>17</v>
      </c>
      <c r="I299" s="8274" t="s">
        <v>2259</v>
      </c>
      <c r="J299" s="0" t="s">
        <v>17</v>
      </c>
      <c r="K299" s="0" t="s">
        <v>2904</v>
      </c>
      <c r="L299" s="0" t="s">
        <v>2930</v>
      </c>
      <c r="M299" s="0" t="s">
        <v>2931</v>
      </c>
      <c r="N299" s="0" t="s">
        <v>463</v>
      </c>
    </row>
    <row customHeight="1" ht="11.25">
      <c r="A300" s="8274" t="s">
        <v>2233</v>
      </c>
      <c r="B300" s="8274" t="s">
        <v>14</v>
      </c>
      <c r="C300" s="8274" t="s">
        <v>2442</v>
      </c>
      <c r="D300" s="8274" t="s">
        <v>2443</v>
      </c>
      <c r="E300" s="8274" t="s">
        <v>2444</v>
      </c>
      <c r="F300" s="8274" t="s">
        <v>2432</v>
      </c>
      <c r="G300" s="8274" t="s">
        <v>2445</v>
      </c>
      <c r="H300" s="8274" t="s">
        <v>17</v>
      </c>
      <c r="I300" s="8274" t="s">
        <v>2445</v>
      </c>
      <c r="J300" s="0" t="s">
        <v>17</v>
      </c>
      <c r="K300" s="0" t="s">
        <v>2904</v>
      </c>
      <c r="L300" s="0" t="s">
        <v>2905</v>
      </c>
      <c r="M300" s="0" t="s">
        <v>2906</v>
      </c>
      <c r="N300" s="0" t="s">
        <v>463</v>
      </c>
    </row>
    <row customHeight="1" ht="11.25">
      <c r="A301" s="8274" t="s">
        <v>2233</v>
      </c>
      <c r="B301" s="8274" t="s">
        <v>14</v>
      </c>
      <c r="C301" s="8274" t="s">
        <v>2977</v>
      </c>
      <c r="D301" s="8274" t="s">
        <v>2978</v>
      </c>
      <c r="E301" s="8274" t="s">
        <v>2979</v>
      </c>
      <c r="F301" s="8274" t="s">
        <v>2375</v>
      </c>
      <c r="G301" s="8274" t="s">
        <v>17</v>
      </c>
      <c r="H301" s="8274" t="s">
        <v>17</v>
      </c>
      <c r="I301" s="8274" t="s">
        <v>2883</v>
      </c>
      <c r="J301" s="0" t="s">
        <v>17</v>
      </c>
      <c r="K301" s="0" t="s">
        <v>2904</v>
      </c>
      <c r="L301" s="0" t="s">
        <v>2913</v>
      </c>
      <c r="M301" s="0" t="s">
        <v>2914</v>
      </c>
      <c r="N301" s="0" t="s">
        <v>463</v>
      </c>
    </row>
    <row customHeight="1" ht="11.25">
      <c r="A302" s="8274" t="s">
        <v>2233</v>
      </c>
      <c r="B302" s="8274" t="s">
        <v>14</v>
      </c>
      <c r="C302" s="8274" t="s">
        <v>2977</v>
      </c>
      <c r="D302" s="8274" t="s">
        <v>2978</v>
      </c>
      <c r="E302" s="8274" t="s">
        <v>2979</v>
      </c>
      <c r="F302" s="8274" t="s">
        <v>2375</v>
      </c>
      <c r="G302" s="8274" t="s">
        <v>17</v>
      </c>
      <c r="H302" s="8274" t="s">
        <v>17</v>
      </c>
      <c r="I302" s="8274" t="s">
        <v>2883</v>
      </c>
      <c r="J302" s="0" t="s">
        <v>17</v>
      </c>
      <c r="K302" s="0" t="s">
        <v>2904</v>
      </c>
      <c r="L302" s="0" t="s">
        <v>2930</v>
      </c>
      <c r="M302" s="0" t="s">
        <v>2931</v>
      </c>
      <c r="N302" s="0" t="s">
        <v>463</v>
      </c>
    </row>
    <row customHeight="1" ht="11.25">
      <c r="A303" s="8274" t="s">
        <v>2233</v>
      </c>
      <c r="B303" s="8274" t="s">
        <v>14</v>
      </c>
      <c r="C303" s="8274" t="s">
        <v>2446</v>
      </c>
      <c r="D303" s="8274" t="s">
        <v>2447</v>
      </c>
      <c r="E303" s="8274" t="s">
        <v>2448</v>
      </c>
      <c r="F303" s="8274" t="s">
        <v>2375</v>
      </c>
      <c r="G303" s="8274" t="s">
        <v>17</v>
      </c>
      <c r="H303" s="8274" t="s">
        <v>17</v>
      </c>
      <c r="I303" s="8274" t="s">
        <v>2980</v>
      </c>
      <c r="J303" s="0" t="s">
        <v>17</v>
      </c>
      <c r="K303" s="0" t="s">
        <v>2904</v>
      </c>
      <c r="L303" s="0" t="s">
        <v>2905</v>
      </c>
      <c r="M303" s="0" t="s">
        <v>2906</v>
      </c>
      <c r="N303" s="0" t="s">
        <v>463</v>
      </c>
    </row>
    <row customHeight="1" ht="11.25">
      <c r="A304" s="8274" t="s">
        <v>2233</v>
      </c>
      <c r="B304" s="8274" t="s">
        <v>14</v>
      </c>
      <c r="C304" s="8274" t="s">
        <v>2981</v>
      </c>
      <c r="D304" s="8274" t="s">
        <v>2982</v>
      </c>
      <c r="E304" s="8274" t="s">
        <v>2983</v>
      </c>
      <c r="F304" s="8274" t="s">
        <v>2984</v>
      </c>
      <c r="G304" s="8274" t="s">
        <v>17</v>
      </c>
      <c r="H304" s="8274" t="s">
        <v>17</v>
      </c>
      <c r="I304" s="8274" t="s">
        <v>2985</v>
      </c>
      <c r="J304" s="0" t="s">
        <v>17</v>
      </c>
      <c r="K304" s="0" t="s">
        <v>2904</v>
      </c>
      <c r="L304" s="0" t="s">
        <v>2905</v>
      </c>
      <c r="M304" s="0" t="s">
        <v>2906</v>
      </c>
      <c r="N304" s="0" t="s">
        <v>463</v>
      </c>
    </row>
    <row customHeight="1" ht="11.25">
      <c r="A305" s="8274" t="s">
        <v>2233</v>
      </c>
      <c r="B305" s="8274" t="s">
        <v>14</v>
      </c>
      <c r="C305" s="8274" t="s">
        <v>2986</v>
      </c>
      <c r="D305" s="8274" t="s">
        <v>2987</v>
      </c>
      <c r="E305" s="8274" t="s">
        <v>2988</v>
      </c>
      <c r="F305" s="8274" t="s">
        <v>2458</v>
      </c>
      <c r="G305" s="8274" t="s">
        <v>17</v>
      </c>
      <c r="H305" s="8274" t="s">
        <v>17</v>
      </c>
      <c r="I305" s="8274" t="s">
        <v>2989</v>
      </c>
      <c r="J305" s="0" t="s">
        <v>17</v>
      </c>
      <c r="K305" s="0" t="s">
        <v>2904</v>
      </c>
      <c r="L305" s="0" t="s">
        <v>2905</v>
      </c>
      <c r="M305" s="0" t="s">
        <v>2906</v>
      </c>
      <c r="N305" s="0" t="s">
        <v>463</v>
      </c>
    </row>
    <row customHeight="1" ht="11.25">
      <c r="A306" s="8274" t="s">
        <v>2233</v>
      </c>
      <c r="B306" s="8274" t="s">
        <v>14</v>
      </c>
      <c r="C306" s="8274" t="s">
        <v>2450</v>
      </c>
      <c r="D306" s="8274" t="s">
        <v>2451</v>
      </c>
      <c r="E306" s="8274" t="s">
        <v>2452</v>
      </c>
      <c r="F306" s="8274" t="s">
        <v>2432</v>
      </c>
      <c r="G306" s="8274" t="s">
        <v>17</v>
      </c>
      <c r="H306" s="8274" t="s">
        <v>17</v>
      </c>
      <c r="I306" s="8274" t="s">
        <v>2453</v>
      </c>
      <c r="J306" s="0" t="s">
        <v>17</v>
      </c>
      <c r="K306" s="0" t="s">
        <v>2904</v>
      </c>
      <c r="L306" s="0" t="s">
        <v>2930</v>
      </c>
      <c r="M306" s="0" t="s">
        <v>2931</v>
      </c>
      <c r="N306" s="0" t="s">
        <v>463</v>
      </c>
    </row>
    <row customHeight="1" ht="11.25">
      <c r="A307" s="8274" t="s">
        <v>2233</v>
      </c>
      <c r="B307" s="8274" t="s">
        <v>14</v>
      </c>
      <c r="C307" s="8274" t="s">
        <v>2459</v>
      </c>
      <c r="D307" s="8274" t="s">
        <v>2460</v>
      </c>
      <c r="E307" s="8274" t="s">
        <v>2461</v>
      </c>
      <c r="F307" s="8274" t="s">
        <v>2462</v>
      </c>
      <c r="G307" s="8274" t="s">
        <v>17</v>
      </c>
      <c r="H307" s="8274" t="s">
        <v>17</v>
      </c>
      <c r="I307" s="8274" t="s">
        <v>2463</v>
      </c>
      <c r="J307" s="0" t="s">
        <v>17</v>
      </c>
      <c r="K307" s="0" t="s">
        <v>2904</v>
      </c>
      <c r="L307" s="0" t="s">
        <v>2919</v>
      </c>
      <c r="M307" s="0" t="s">
        <v>2920</v>
      </c>
      <c r="N307" s="0" t="s">
        <v>463</v>
      </c>
    </row>
    <row customHeight="1" ht="11.25">
      <c r="A308" s="8274" t="s">
        <v>2233</v>
      </c>
      <c r="B308" s="8274" t="s">
        <v>14</v>
      </c>
      <c r="C308" s="8274" t="s">
        <v>2459</v>
      </c>
      <c r="D308" s="8274" t="s">
        <v>2460</v>
      </c>
      <c r="E308" s="8274" t="s">
        <v>2461</v>
      </c>
      <c r="F308" s="8274" t="s">
        <v>2462</v>
      </c>
      <c r="G308" s="8274" t="s">
        <v>17</v>
      </c>
      <c r="H308" s="8274" t="s">
        <v>17</v>
      </c>
      <c r="I308" s="8274" t="s">
        <v>2463</v>
      </c>
      <c r="J308" s="0" t="s">
        <v>17</v>
      </c>
      <c r="K308" s="0" t="s">
        <v>2917</v>
      </c>
      <c r="L308" s="0" t="s">
        <v>2919</v>
      </c>
      <c r="M308" s="0" t="s">
        <v>2920</v>
      </c>
      <c r="N308" s="0" t="s">
        <v>463</v>
      </c>
    </row>
    <row customHeight="1" ht="11.25">
      <c r="A309" s="8274" t="s">
        <v>2233</v>
      </c>
      <c r="B309" s="8274" t="s">
        <v>14</v>
      </c>
      <c r="C309" s="8274" t="s">
        <v>2990</v>
      </c>
      <c r="D309" s="8274" t="s">
        <v>2991</v>
      </c>
      <c r="E309" s="8274" t="s">
        <v>2992</v>
      </c>
      <c r="F309" s="8274" t="s">
        <v>2643</v>
      </c>
      <c r="G309" s="8274" t="s">
        <v>17</v>
      </c>
      <c r="H309" s="8274" t="s">
        <v>17</v>
      </c>
      <c r="I309" s="8274" t="s">
        <v>2993</v>
      </c>
      <c r="J309" s="0" t="s">
        <v>17</v>
      </c>
      <c r="K309" s="0" t="s">
        <v>2904</v>
      </c>
      <c r="L309" s="0" t="s">
        <v>2913</v>
      </c>
      <c r="M309" s="0" t="s">
        <v>2939</v>
      </c>
      <c r="N309" s="0" t="s">
        <v>463</v>
      </c>
    </row>
    <row customHeight="1" ht="11.25">
      <c r="A310" s="8274" t="s">
        <v>2233</v>
      </c>
      <c r="B310" s="8274" t="s">
        <v>14</v>
      </c>
      <c r="C310" s="8274" t="s">
        <v>2990</v>
      </c>
      <c r="D310" s="8274" t="s">
        <v>2991</v>
      </c>
      <c r="E310" s="8274" t="s">
        <v>2992</v>
      </c>
      <c r="F310" s="8274" t="s">
        <v>2643</v>
      </c>
      <c r="G310" s="8274" t="s">
        <v>17</v>
      </c>
      <c r="H310" s="8274" t="s">
        <v>17</v>
      </c>
      <c r="I310" s="8274" t="s">
        <v>2882</v>
      </c>
      <c r="J310" s="0" t="s">
        <v>17</v>
      </c>
      <c r="K310" s="0" t="s">
        <v>2904</v>
      </c>
      <c r="L310" s="0" t="s">
        <v>2913</v>
      </c>
      <c r="M310" s="0" t="s">
        <v>2914</v>
      </c>
      <c r="N310" s="0" t="s">
        <v>463</v>
      </c>
    </row>
    <row customHeight="1" ht="11.25">
      <c r="A311" s="8274" t="s">
        <v>2233</v>
      </c>
      <c r="B311" s="8274" t="s">
        <v>14</v>
      </c>
      <c r="C311" s="8274" t="s">
        <v>2990</v>
      </c>
      <c r="D311" s="8274" t="s">
        <v>2991</v>
      </c>
      <c r="E311" s="8274" t="s">
        <v>2992</v>
      </c>
      <c r="F311" s="8274" t="s">
        <v>2643</v>
      </c>
      <c r="G311" s="8274" t="s">
        <v>17</v>
      </c>
      <c r="H311" s="8274" t="s">
        <v>17</v>
      </c>
      <c r="I311" s="8274" t="s">
        <v>2994</v>
      </c>
      <c r="J311" s="0" t="s">
        <v>17</v>
      </c>
      <c r="K311" s="0" t="s">
        <v>2904</v>
      </c>
      <c r="L311" s="0" t="s">
        <v>2975</v>
      </c>
      <c r="M311" s="0" t="s">
        <v>2976</v>
      </c>
      <c r="N311" s="0" t="s">
        <v>463</v>
      </c>
    </row>
    <row customHeight="1" ht="11.25">
      <c r="A312" s="8274" t="s">
        <v>2233</v>
      </c>
      <c r="B312" s="8274" t="s">
        <v>14</v>
      </c>
      <c r="C312" s="8274" t="s">
        <v>2467</v>
      </c>
      <c r="D312" s="8274" t="s">
        <v>2468</v>
      </c>
      <c r="E312" s="8274" t="s">
        <v>2469</v>
      </c>
      <c r="F312" s="8274" t="s">
        <v>51</v>
      </c>
      <c r="G312" s="8274" t="s">
        <v>2470</v>
      </c>
      <c r="H312" s="8274" t="s">
        <v>17</v>
      </c>
      <c r="I312" s="8274" t="s">
        <v>2470</v>
      </c>
      <c r="J312" s="0" t="s">
        <v>17</v>
      </c>
      <c r="K312" s="0" t="s">
        <v>2904</v>
      </c>
      <c r="L312" s="0" t="s">
        <v>2905</v>
      </c>
      <c r="M312" s="0" t="s">
        <v>2906</v>
      </c>
      <c r="N312" s="0" t="s">
        <v>463</v>
      </c>
    </row>
    <row customHeight="1" ht="11.25">
      <c r="A313" s="8274" t="s">
        <v>2233</v>
      </c>
      <c r="B313" s="8274" t="s">
        <v>14</v>
      </c>
      <c r="C313" s="8274" t="s">
        <v>2995</v>
      </c>
      <c r="D313" s="8274" t="s">
        <v>2996</v>
      </c>
      <c r="E313" s="8274" t="s">
        <v>2997</v>
      </c>
      <c r="F313" s="8274" t="s">
        <v>2310</v>
      </c>
      <c r="G313" s="8274" t="s">
        <v>17</v>
      </c>
      <c r="H313" s="8274" t="s">
        <v>17</v>
      </c>
      <c r="I313" s="8274" t="s">
        <v>2998</v>
      </c>
      <c r="J313" s="0" t="s">
        <v>2999</v>
      </c>
      <c r="K313" s="0" t="s">
        <v>2904</v>
      </c>
      <c r="L313" s="0" t="s">
        <v>2930</v>
      </c>
      <c r="M313" s="0" t="s">
        <v>2931</v>
      </c>
      <c r="N313" s="0" t="s">
        <v>463</v>
      </c>
    </row>
    <row customHeight="1" ht="11.25">
      <c r="A314" s="8274" t="s">
        <v>2233</v>
      </c>
      <c r="B314" s="8274" t="s">
        <v>14</v>
      </c>
      <c r="C314" s="8274" t="s">
        <v>2995</v>
      </c>
      <c r="D314" s="8274" t="s">
        <v>2996</v>
      </c>
      <c r="E314" s="8274" t="s">
        <v>2997</v>
      </c>
      <c r="F314" s="8274" t="s">
        <v>2310</v>
      </c>
      <c r="G314" s="8274" t="s">
        <v>17</v>
      </c>
      <c r="H314" s="8274" t="s">
        <v>17</v>
      </c>
      <c r="I314" s="8274" t="s">
        <v>3000</v>
      </c>
      <c r="J314" s="0" t="s">
        <v>17</v>
      </c>
      <c r="K314" s="0" t="s">
        <v>2904</v>
      </c>
      <c r="L314" s="0" t="s">
        <v>2930</v>
      </c>
      <c r="M314" s="0" t="s">
        <v>2931</v>
      </c>
      <c r="N314" s="0" t="s">
        <v>463</v>
      </c>
    </row>
    <row customHeight="1" ht="11.25">
      <c r="A315" s="8274" t="s">
        <v>2233</v>
      </c>
      <c r="B315" s="8274" t="s">
        <v>14</v>
      </c>
      <c r="C315" s="8274" t="s">
        <v>3001</v>
      </c>
      <c r="D315" s="8274" t="s">
        <v>3002</v>
      </c>
      <c r="E315" s="8274" t="s">
        <v>3003</v>
      </c>
      <c r="F315" s="8274" t="s">
        <v>2427</v>
      </c>
      <c r="G315" s="8274" t="s">
        <v>17</v>
      </c>
      <c r="H315" s="8274" t="s">
        <v>17</v>
      </c>
      <c r="I315" s="8274" t="s">
        <v>2985</v>
      </c>
      <c r="J315" s="0" t="s">
        <v>17</v>
      </c>
      <c r="K315" s="0" t="s">
        <v>2904</v>
      </c>
      <c r="L315" s="0" t="s">
        <v>2905</v>
      </c>
      <c r="M315" s="0" t="s">
        <v>2906</v>
      </c>
      <c r="N315" s="0" t="s">
        <v>463</v>
      </c>
    </row>
    <row customHeight="1" ht="11.25">
      <c r="A316" s="8274" t="s">
        <v>2233</v>
      </c>
      <c r="B316" s="8274" t="s">
        <v>14</v>
      </c>
      <c r="C316" s="8274" t="s">
        <v>2471</v>
      </c>
      <c r="D316" s="8274" t="s">
        <v>2472</v>
      </c>
      <c r="E316" s="8274" t="s">
        <v>2473</v>
      </c>
      <c r="F316" s="8274" t="s">
        <v>2432</v>
      </c>
      <c r="G316" s="8274" t="s">
        <v>17</v>
      </c>
      <c r="H316" s="8274" t="s">
        <v>17</v>
      </c>
      <c r="I316" s="8274" t="s">
        <v>2474</v>
      </c>
      <c r="J316" s="0" t="s">
        <v>17</v>
      </c>
      <c r="K316" s="0" t="s">
        <v>2904</v>
      </c>
      <c r="L316" s="0" t="s">
        <v>2905</v>
      </c>
      <c r="M316" s="0" t="s">
        <v>2906</v>
      </c>
      <c r="N316" s="0" t="s">
        <v>463</v>
      </c>
    </row>
    <row customHeight="1" ht="11.25">
      <c r="A317" s="8274" t="s">
        <v>2233</v>
      </c>
      <c r="B317" s="8274" t="s">
        <v>14</v>
      </c>
      <c r="C317" s="8274" t="s">
        <v>3004</v>
      </c>
      <c r="D317" s="8274" t="s">
        <v>3005</v>
      </c>
      <c r="E317" s="8274" t="s">
        <v>3006</v>
      </c>
      <c r="F317" s="8274" t="s">
        <v>2310</v>
      </c>
      <c r="G317" s="8274" t="s">
        <v>2893</v>
      </c>
      <c r="H317" s="8274" t="s">
        <v>17</v>
      </c>
      <c r="I317" s="8274" t="s">
        <v>3007</v>
      </c>
      <c r="J317" s="0" t="s">
        <v>17</v>
      </c>
      <c r="K317" s="0" t="s">
        <v>2904</v>
      </c>
      <c r="L317" s="0" t="s">
        <v>2930</v>
      </c>
      <c r="M317" s="0" t="s">
        <v>2931</v>
      </c>
      <c r="N317" s="0" t="s">
        <v>463</v>
      </c>
    </row>
    <row customHeight="1" ht="11.25">
      <c r="A318" s="8274" t="s">
        <v>2233</v>
      </c>
      <c r="B318" s="8274" t="s">
        <v>14</v>
      </c>
      <c r="C318" s="8274" t="s">
        <v>3008</v>
      </c>
      <c r="D318" s="8274" t="s">
        <v>3009</v>
      </c>
      <c r="E318" s="8274" t="s">
        <v>3010</v>
      </c>
      <c r="F318" s="8274" t="s">
        <v>2482</v>
      </c>
      <c r="G318" s="8274" t="s">
        <v>17</v>
      </c>
      <c r="H318" s="8274" t="s">
        <v>17</v>
      </c>
      <c r="I318" s="8274" t="s">
        <v>3011</v>
      </c>
      <c r="J318" s="0" t="s">
        <v>17</v>
      </c>
      <c r="K318" s="0" t="s">
        <v>2904</v>
      </c>
      <c r="L318" s="0" t="s">
        <v>2905</v>
      </c>
      <c r="M318" s="0" t="s">
        <v>2906</v>
      </c>
      <c r="N318" s="0" t="s">
        <v>463</v>
      </c>
    </row>
    <row customHeight="1" ht="11.25">
      <c r="A319" s="8274" t="s">
        <v>2233</v>
      </c>
      <c r="B319" s="8274" t="s">
        <v>14</v>
      </c>
      <c r="C319" s="8274" t="s">
        <v>3012</v>
      </c>
      <c r="D319" s="8274" t="s">
        <v>3013</v>
      </c>
      <c r="E319" s="8274" t="s">
        <v>3014</v>
      </c>
      <c r="F319" s="8274" t="s">
        <v>2310</v>
      </c>
      <c r="G319" s="8274" t="s">
        <v>17</v>
      </c>
      <c r="H319" s="8274" t="s">
        <v>17</v>
      </c>
      <c r="I319" s="8274" t="s">
        <v>3015</v>
      </c>
      <c r="J319" s="0" t="s">
        <v>17</v>
      </c>
      <c r="K319" s="0" t="s">
        <v>2904</v>
      </c>
      <c r="L319" s="0" t="s">
        <v>2930</v>
      </c>
      <c r="M319" s="0" t="s">
        <v>2931</v>
      </c>
      <c r="N319" s="0" t="s">
        <v>463</v>
      </c>
    </row>
    <row customHeight="1" ht="11.25">
      <c r="A320" s="8274" t="s">
        <v>2233</v>
      </c>
      <c r="B320" s="8274" t="s">
        <v>14</v>
      </c>
      <c r="C320" s="8274" t="s">
        <v>3016</v>
      </c>
      <c r="D320" s="8274" t="s">
        <v>3017</v>
      </c>
      <c r="E320" s="8274" t="s">
        <v>3018</v>
      </c>
      <c r="F320" s="8274" t="s">
        <v>51</v>
      </c>
      <c r="G320" s="8274" t="s">
        <v>17</v>
      </c>
      <c r="H320" s="8274" t="s">
        <v>17</v>
      </c>
      <c r="I320" s="8274" t="s">
        <v>3019</v>
      </c>
      <c r="J320" s="0" t="s">
        <v>17</v>
      </c>
      <c r="K320" s="0" t="s">
        <v>2904</v>
      </c>
      <c r="L320" s="0" t="s">
        <v>2913</v>
      </c>
      <c r="M320" s="0" t="s">
        <v>2914</v>
      </c>
      <c r="N320" s="0" t="s">
        <v>463</v>
      </c>
    </row>
    <row customHeight="1" ht="11.25">
      <c r="A321" s="8274" t="s">
        <v>2233</v>
      </c>
      <c r="B321" s="8274" t="s">
        <v>14</v>
      </c>
      <c r="C321" s="8274" t="s">
        <v>3016</v>
      </c>
      <c r="D321" s="8274" t="s">
        <v>3017</v>
      </c>
      <c r="E321" s="8274" t="s">
        <v>3018</v>
      </c>
      <c r="F321" s="8274" t="s">
        <v>51</v>
      </c>
      <c r="G321" s="8274" t="s">
        <v>17</v>
      </c>
      <c r="H321" s="8274" t="s">
        <v>17</v>
      </c>
      <c r="I321" s="8274" t="s">
        <v>2499</v>
      </c>
      <c r="J321" s="0" t="s">
        <v>17</v>
      </c>
      <c r="K321" s="0" t="s">
        <v>2904</v>
      </c>
      <c r="L321" s="0" t="s">
        <v>2951</v>
      </c>
      <c r="M321" s="0" t="s">
        <v>2952</v>
      </c>
      <c r="N321" s="0" t="s">
        <v>463</v>
      </c>
    </row>
    <row customHeight="1" ht="11.25">
      <c r="A322" s="8274" t="s">
        <v>2233</v>
      </c>
      <c r="B322" s="8274" t="s">
        <v>14</v>
      </c>
      <c r="C322" s="8274" t="s">
        <v>3020</v>
      </c>
      <c r="D322" s="8274" t="s">
        <v>3021</v>
      </c>
      <c r="E322" s="8274" t="s">
        <v>3022</v>
      </c>
      <c r="F322" s="8274" t="s">
        <v>2310</v>
      </c>
      <c r="G322" s="8274" t="s">
        <v>3023</v>
      </c>
      <c r="H322" s="8274" t="s">
        <v>17</v>
      </c>
      <c r="I322" s="8274" t="s">
        <v>3023</v>
      </c>
      <c r="J322" s="0" t="s">
        <v>17</v>
      </c>
      <c r="K322" s="0" t="s">
        <v>2904</v>
      </c>
      <c r="L322" s="0" t="s">
        <v>2905</v>
      </c>
      <c r="M322" s="0" t="s">
        <v>2906</v>
      </c>
      <c r="N322" s="0" t="s">
        <v>463</v>
      </c>
    </row>
    <row customHeight="1" ht="11.25">
      <c r="A323" s="8274" t="s">
        <v>2233</v>
      </c>
      <c r="B323" s="8274" t="s">
        <v>14</v>
      </c>
      <c r="C323" s="8274" t="s">
        <v>3024</v>
      </c>
      <c r="D323" s="8274" t="s">
        <v>3025</v>
      </c>
      <c r="E323" s="8274" t="s">
        <v>3026</v>
      </c>
      <c r="F323" s="8274" t="s">
        <v>2310</v>
      </c>
      <c r="G323" s="8274" t="s">
        <v>3027</v>
      </c>
      <c r="H323" s="8274" t="s">
        <v>17</v>
      </c>
      <c r="I323" s="8274" t="s">
        <v>3027</v>
      </c>
      <c r="J323" s="0" t="s">
        <v>17</v>
      </c>
      <c r="K323" s="0" t="s">
        <v>2904</v>
      </c>
      <c r="L323" s="0" t="s">
        <v>2905</v>
      </c>
      <c r="M323" s="0" t="s">
        <v>2906</v>
      </c>
      <c r="N323" s="0" t="s">
        <v>463</v>
      </c>
    </row>
    <row customHeight="1" ht="11.25">
      <c r="A324" s="8274" t="s">
        <v>2233</v>
      </c>
      <c r="B324" s="8274" t="s">
        <v>14</v>
      </c>
      <c r="C324" s="8274" t="s">
        <v>3028</v>
      </c>
      <c r="D324" s="8274" t="s">
        <v>3029</v>
      </c>
      <c r="E324" s="8274" t="s">
        <v>3030</v>
      </c>
      <c r="F324" s="8274" t="s">
        <v>2427</v>
      </c>
      <c r="G324" s="8274" t="s">
        <v>17</v>
      </c>
      <c r="H324" s="8274" t="s">
        <v>17</v>
      </c>
      <c r="I324" s="8274" t="s">
        <v>2985</v>
      </c>
      <c r="J324" s="0" t="s">
        <v>17</v>
      </c>
      <c r="K324" s="0" t="s">
        <v>2904</v>
      </c>
      <c r="L324" s="0" t="s">
        <v>2905</v>
      </c>
      <c r="M324" s="0" t="s">
        <v>2906</v>
      </c>
      <c r="N324" s="0" t="s">
        <v>463</v>
      </c>
    </row>
    <row customHeight="1" ht="11.25">
      <c r="A325" s="8274" t="s">
        <v>2233</v>
      </c>
      <c r="B325" s="8274" t="s">
        <v>14</v>
      </c>
      <c r="C325" s="8274" t="s">
        <v>3031</v>
      </c>
      <c r="D325" s="8274" t="s">
        <v>3032</v>
      </c>
      <c r="E325" s="8274" t="s">
        <v>3033</v>
      </c>
      <c r="F325" s="8274" t="s">
        <v>2548</v>
      </c>
      <c r="G325" s="8274" t="s">
        <v>17</v>
      </c>
      <c r="H325" s="8274" t="s">
        <v>17</v>
      </c>
      <c r="I325" s="8274" t="s">
        <v>2985</v>
      </c>
      <c r="J325" s="0" t="s">
        <v>17</v>
      </c>
      <c r="K325" s="0" t="s">
        <v>2904</v>
      </c>
      <c r="L325" s="0" t="s">
        <v>2905</v>
      </c>
      <c r="M325" s="0" t="s">
        <v>2906</v>
      </c>
      <c r="N325" s="0" t="s">
        <v>463</v>
      </c>
    </row>
    <row customHeight="1" ht="11.25">
      <c r="A326" s="8274" t="s">
        <v>2233</v>
      </c>
      <c r="B326" s="8274" t="s">
        <v>14</v>
      </c>
      <c r="C326" s="8274" t="s">
        <v>3034</v>
      </c>
      <c r="D326" s="8274" t="s">
        <v>3035</v>
      </c>
      <c r="E326" s="8274" t="s">
        <v>3036</v>
      </c>
      <c r="F326" s="8274" t="s">
        <v>2506</v>
      </c>
      <c r="G326" s="8274" t="s">
        <v>17</v>
      </c>
      <c r="H326" s="8274" t="s">
        <v>17</v>
      </c>
      <c r="I326" s="8274" t="s">
        <v>3037</v>
      </c>
      <c r="J326" s="0" t="s">
        <v>17</v>
      </c>
      <c r="K326" s="0" t="s">
        <v>2904</v>
      </c>
      <c r="L326" s="0" t="s">
        <v>2905</v>
      </c>
      <c r="M326" s="0" t="s">
        <v>2906</v>
      </c>
      <c r="N326" s="0" t="s">
        <v>463</v>
      </c>
    </row>
    <row customHeight="1" ht="11.25">
      <c r="A327" s="8274" t="s">
        <v>2233</v>
      </c>
      <c r="B327" s="8274" t="s">
        <v>14</v>
      </c>
      <c r="C327" s="8274" t="s">
        <v>3038</v>
      </c>
      <c r="D327" s="8274" t="s">
        <v>3039</v>
      </c>
      <c r="E327" s="8274" t="s">
        <v>3040</v>
      </c>
      <c r="F327" s="8274" t="s">
        <v>2310</v>
      </c>
      <c r="G327" s="8274" t="s">
        <v>17</v>
      </c>
      <c r="H327" s="8274" t="s">
        <v>17</v>
      </c>
      <c r="I327" s="8274" t="s">
        <v>3041</v>
      </c>
      <c r="J327" s="0" t="s">
        <v>17</v>
      </c>
      <c r="K327" s="0" t="s">
        <v>2904</v>
      </c>
      <c r="L327" s="0" t="s">
        <v>2913</v>
      </c>
      <c r="M327" s="0" t="s">
        <v>2914</v>
      </c>
      <c r="N327" s="0" t="s">
        <v>463</v>
      </c>
    </row>
    <row customHeight="1" ht="11.25">
      <c r="A328" s="8274" t="s">
        <v>2233</v>
      </c>
      <c r="B328" s="8274" t="s">
        <v>14</v>
      </c>
      <c r="C328" s="8274" t="s">
        <v>3038</v>
      </c>
      <c r="D328" s="8274" t="s">
        <v>3039</v>
      </c>
      <c r="E328" s="8274" t="s">
        <v>3040</v>
      </c>
      <c r="F328" s="8274" t="s">
        <v>2310</v>
      </c>
      <c r="G328" s="8274" t="s">
        <v>17</v>
      </c>
      <c r="H328" s="8274" t="s">
        <v>17</v>
      </c>
      <c r="I328" s="8274" t="s">
        <v>2883</v>
      </c>
      <c r="J328" s="0" t="s">
        <v>17</v>
      </c>
      <c r="K328" s="0" t="s">
        <v>2904</v>
      </c>
      <c r="L328" s="0" t="s">
        <v>2913</v>
      </c>
      <c r="M328" s="0" t="s">
        <v>2939</v>
      </c>
      <c r="N328" s="0" t="s">
        <v>463</v>
      </c>
    </row>
    <row customHeight="1" ht="11.25">
      <c r="A329" s="8274" t="s">
        <v>2233</v>
      </c>
      <c r="B329" s="8274" t="s">
        <v>14</v>
      </c>
      <c r="C329" s="8274" t="s">
        <v>3042</v>
      </c>
      <c r="D329" s="8274" t="s">
        <v>3043</v>
      </c>
      <c r="E329" s="8274" t="s">
        <v>3044</v>
      </c>
      <c r="F329" s="8274" t="s">
        <v>2310</v>
      </c>
      <c r="G329" s="8274" t="s">
        <v>3045</v>
      </c>
      <c r="H329" s="8274" t="s">
        <v>17</v>
      </c>
      <c r="I329" s="8274" t="s">
        <v>3046</v>
      </c>
      <c r="J329" s="0" t="s">
        <v>3047</v>
      </c>
      <c r="K329" s="0" t="s">
        <v>2904</v>
      </c>
      <c r="L329" s="0" t="s">
        <v>2930</v>
      </c>
      <c r="M329" s="0" t="s">
        <v>3048</v>
      </c>
      <c r="N329" s="0" t="s">
        <v>463</v>
      </c>
    </row>
    <row customHeight="1" ht="11.25">
      <c r="A330" s="8274" t="s">
        <v>2233</v>
      </c>
      <c r="B330" s="8274" t="s">
        <v>14</v>
      </c>
      <c r="C330" s="8274" t="s">
        <v>3042</v>
      </c>
      <c r="D330" s="8274" t="s">
        <v>3043</v>
      </c>
      <c r="E330" s="8274" t="s">
        <v>3044</v>
      </c>
      <c r="F330" s="8274" t="s">
        <v>2310</v>
      </c>
      <c r="G330" s="8274" t="s">
        <v>3045</v>
      </c>
      <c r="H330" s="8274" t="s">
        <v>17</v>
      </c>
      <c r="I330" s="8274" t="s">
        <v>3046</v>
      </c>
      <c r="J330" s="0" t="s">
        <v>3047</v>
      </c>
      <c r="K330" s="0" t="s">
        <v>2917</v>
      </c>
      <c r="L330" s="0" t="s">
        <v>2930</v>
      </c>
      <c r="M330" s="0" t="s">
        <v>3048</v>
      </c>
      <c r="N330" s="0" t="s">
        <v>463</v>
      </c>
    </row>
    <row customHeight="1" ht="11.25">
      <c r="A331" s="8274" t="s">
        <v>2233</v>
      </c>
      <c r="B331" s="8274" t="s">
        <v>14</v>
      </c>
      <c r="C331" s="8274" t="s">
        <v>3042</v>
      </c>
      <c r="D331" s="8274" t="s">
        <v>3043</v>
      </c>
      <c r="E331" s="8274" t="s">
        <v>3044</v>
      </c>
      <c r="F331" s="8274" t="s">
        <v>2310</v>
      </c>
      <c r="G331" s="8274" t="s">
        <v>3045</v>
      </c>
      <c r="H331" s="8274" t="s">
        <v>17</v>
      </c>
      <c r="I331" s="8274" t="s">
        <v>3049</v>
      </c>
      <c r="J331" s="0" t="s">
        <v>17</v>
      </c>
      <c r="K331" s="0" t="s">
        <v>2904</v>
      </c>
      <c r="L331" s="0" t="s">
        <v>2930</v>
      </c>
      <c r="M331" s="0" t="s">
        <v>3048</v>
      </c>
      <c r="N331" s="0" t="s">
        <v>463</v>
      </c>
    </row>
    <row customHeight="1" ht="11.25">
      <c r="A332" s="8274" t="s">
        <v>2233</v>
      </c>
      <c r="B332" s="8274" t="s">
        <v>14</v>
      </c>
      <c r="C332" s="8274" t="s">
        <v>3042</v>
      </c>
      <c r="D332" s="8274" t="s">
        <v>3043</v>
      </c>
      <c r="E332" s="8274" t="s">
        <v>3044</v>
      </c>
      <c r="F332" s="8274" t="s">
        <v>2310</v>
      </c>
      <c r="G332" s="8274" t="s">
        <v>3045</v>
      </c>
      <c r="H332" s="8274" t="s">
        <v>17</v>
      </c>
      <c r="I332" s="8274" t="s">
        <v>3049</v>
      </c>
      <c r="J332" s="0" t="s">
        <v>17</v>
      </c>
      <c r="K332" s="0" t="s">
        <v>2917</v>
      </c>
      <c r="L332" s="0" t="s">
        <v>2930</v>
      </c>
      <c r="M332" s="0" t="s">
        <v>3048</v>
      </c>
      <c r="N332" s="0" t="s">
        <v>463</v>
      </c>
    </row>
    <row customHeight="1" ht="11.25">
      <c r="A333" s="8274" t="s">
        <v>2233</v>
      </c>
      <c r="B333" s="8274" t="s">
        <v>14</v>
      </c>
      <c r="C333" s="8274" t="s">
        <v>3050</v>
      </c>
      <c r="D333" s="8274" t="s">
        <v>3051</v>
      </c>
      <c r="E333" s="8274" t="s">
        <v>3052</v>
      </c>
      <c r="F333" s="8274" t="s">
        <v>2427</v>
      </c>
      <c r="G333" s="8274" t="s">
        <v>17</v>
      </c>
      <c r="H333" s="8274" t="s">
        <v>17</v>
      </c>
      <c r="I333" s="8274" t="s">
        <v>3053</v>
      </c>
      <c r="J333" s="0" t="s">
        <v>17</v>
      </c>
      <c r="K333" s="0" t="s">
        <v>2904</v>
      </c>
      <c r="L333" s="0" t="s">
        <v>2930</v>
      </c>
      <c r="M333" s="0" t="s">
        <v>2931</v>
      </c>
      <c r="N333" s="0" t="s">
        <v>463</v>
      </c>
    </row>
    <row customHeight="1" ht="11.25">
      <c r="A334" s="8274" t="s">
        <v>2233</v>
      </c>
      <c r="B334" s="8274" t="s">
        <v>14</v>
      </c>
      <c r="C334" s="8274" t="s">
        <v>3054</v>
      </c>
      <c r="D334" s="8274" t="s">
        <v>3055</v>
      </c>
      <c r="E334" s="8274" t="s">
        <v>3056</v>
      </c>
      <c r="F334" s="8274" t="s">
        <v>2427</v>
      </c>
      <c r="G334" s="8274" t="s">
        <v>17</v>
      </c>
      <c r="H334" s="8274" t="s">
        <v>17</v>
      </c>
      <c r="I334" s="8274" t="s">
        <v>3057</v>
      </c>
      <c r="J334" s="0" t="s">
        <v>17</v>
      </c>
      <c r="K334" s="0" t="s">
        <v>2904</v>
      </c>
      <c r="L334" s="0" t="s">
        <v>2905</v>
      </c>
      <c r="M334" s="0" t="s">
        <v>2906</v>
      </c>
      <c r="N334" s="0" t="s">
        <v>463</v>
      </c>
    </row>
    <row customHeight="1" ht="11.25">
      <c r="A335" s="8274" t="s">
        <v>2233</v>
      </c>
      <c r="B335" s="8274" t="s">
        <v>14</v>
      </c>
      <c r="C335" s="8274" t="s">
        <v>3058</v>
      </c>
      <c r="D335" s="8274" t="s">
        <v>3059</v>
      </c>
      <c r="E335" s="8274" t="s">
        <v>3060</v>
      </c>
      <c r="F335" s="8274" t="s">
        <v>2427</v>
      </c>
      <c r="G335" s="8274" t="s">
        <v>17</v>
      </c>
      <c r="H335" s="8274" t="s">
        <v>17</v>
      </c>
      <c r="I335" s="8274" t="s">
        <v>2274</v>
      </c>
      <c r="J335" s="0" t="s">
        <v>17</v>
      </c>
      <c r="K335" s="0" t="s">
        <v>2904</v>
      </c>
      <c r="L335" s="0" t="s">
        <v>2913</v>
      </c>
      <c r="M335" s="0" t="s">
        <v>2914</v>
      </c>
      <c r="N335" s="0" t="s">
        <v>463</v>
      </c>
    </row>
    <row customHeight="1" ht="11.25">
      <c r="A336" s="8274" t="s">
        <v>2233</v>
      </c>
      <c r="B336" s="8274" t="s">
        <v>14</v>
      </c>
      <c r="C336" s="8274" t="s">
        <v>3058</v>
      </c>
      <c r="D336" s="8274" t="s">
        <v>3059</v>
      </c>
      <c r="E336" s="8274" t="s">
        <v>3060</v>
      </c>
      <c r="F336" s="8274" t="s">
        <v>2427</v>
      </c>
      <c r="G336" s="8274" t="s">
        <v>17</v>
      </c>
      <c r="H336" s="8274" t="s">
        <v>17</v>
      </c>
      <c r="I336" s="8274" t="s">
        <v>2274</v>
      </c>
      <c r="J336" s="0" t="s">
        <v>17</v>
      </c>
      <c r="K336" s="0" t="s">
        <v>2904</v>
      </c>
      <c r="L336" s="0" t="s">
        <v>2915</v>
      </c>
      <c r="M336" s="0" t="s">
        <v>2916</v>
      </c>
      <c r="N336" s="0" t="s">
        <v>463</v>
      </c>
    </row>
    <row customHeight="1" ht="11.25">
      <c r="A337" s="8274" t="s">
        <v>2233</v>
      </c>
      <c r="B337" s="8274" t="s">
        <v>14</v>
      </c>
      <c r="C337" s="8274" t="s">
        <v>3058</v>
      </c>
      <c r="D337" s="8274" t="s">
        <v>3059</v>
      </c>
      <c r="E337" s="8274" t="s">
        <v>3060</v>
      </c>
      <c r="F337" s="8274" t="s">
        <v>2427</v>
      </c>
      <c r="G337" s="8274" t="s">
        <v>17</v>
      </c>
      <c r="H337" s="8274" t="s">
        <v>17</v>
      </c>
      <c r="I337" s="8274" t="s">
        <v>2274</v>
      </c>
      <c r="J337" s="0" t="s">
        <v>17</v>
      </c>
      <c r="K337" s="0" t="s">
        <v>2917</v>
      </c>
      <c r="L337" s="0" t="s">
        <v>2915</v>
      </c>
      <c r="M337" s="0" t="s">
        <v>2916</v>
      </c>
      <c r="N337" s="0" t="s">
        <v>463</v>
      </c>
    </row>
    <row customHeight="1" ht="11.25">
      <c r="A338" s="8274" t="s">
        <v>2233</v>
      </c>
      <c r="B338" s="8274" t="s">
        <v>14</v>
      </c>
      <c r="C338" s="8274" t="s">
        <v>3061</v>
      </c>
      <c r="D338" s="8274" t="s">
        <v>3062</v>
      </c>
      <c r="E338" s="8274" t="s">
        <v>3063</v>
      </c>
      <c r="F338" s="8274" t="s">
        <v>2427</v>
      </c>
      <c r="G338" s="8274" t="s">
        <v>17</v>
      </c>
      <c r="H338" s="8274" t="s">
        <v>17</v>
      </c>
      <c r="I338" s="8274" t="s">
        <v>2507</v>
      </c>
      <c r="J338" s="0" t="s">
        <v>17</v>
      </c>
      <c r="K338" s="0" t="s">
        <v>2904</v>
      </c>
      <c r="L338" s="0" t="s">
        <v>2930</v>
      </c>
      <c r="M338" s="0" t="s">
        <v>2931</v>
      </c>
      <c r="N338" s="0" t="s">
        <v>463</v>
      </c>
    </row>
    <row customHeight="1" ht="11.25">
      <c r="A339" s="8274" t="s">
        <v>2233</v>
      </c>
      <c r="B339" s="8274" t="s">
        <v>14</v>
      </c>
      <c r="C339" s="8274" t="s">
        <v>3064</v>
      </c>
      <c r="D339" s="8274" t="s">
        <v>3065</v>
      </c>
      <c r="E339" s="8274" t="s">
        <v>3066</v>
      </c>
      <c r="F339" s="8274" t="s">
        <v>2427</v>
      </c>
      <c r="G339" s="8274" t="s">
        <v>17</v>
      </c>
      <c r="H339" s="8274" t="s">
        <v>17</v>
      </c>
      <c r="I339" s="8274" t="s">
        <v>3067</v>
      </c>
      <c r="J339" s="0" t="s">
        <v>17</v>
      </c>
      <c r="K339" s="0" t="s">
        <v>2904</v>
      </c>
      <c r="L339" s="0" t="s">
        <v>2905</v>
      </c>
      <c r="M339" s="0" t="s">
        <v>2906</v>
      </c>
      <c r="N339" s="0" t="s">
        <v>463</v>
      </c>
    </row>
    <row customHeight="1" ht="11.25">
      <c r="A340" s="8274" t="s">
        <v>2233</v>
      </c>
      <c r="B340" s="8274" t="s">
        <v>14</v>
      </c>
      <c r="C340" s="8274" t="s">
        <v>2479</v>
      </c>
      <c r="D340" s="8274" t="s">
        <v>2480</v>
      </c>
      <c r="E340" s="8274" t="s">
        <v>2481</v>
      </c>
      <c r="F340" s="8274" t="s">
        <v>2482</v>
      </c>
      <c r="G340" s="8274" t="s">
        <v>17</v>
      </c>
      <c r="H340" s="8274" t="s">
        <v>17</v>
      </c>
      <c r="I340" s="8274" t="s">
        <v>2483</v>
      </c>
      <c r="J340" s="0" t="s">
        <v>17</v>
      </c>
      <c r="K340" s="0" t="s">
        <v>2904</v>
      </c>
      <c r="L340" s="0" t="s">
        <v>2905</v>
      </c>
      <c r="M340" s="0" t="s">
        <v>2906</v>
      </c>
      <c r="N340" s="0" t="s">
        <v>463</v>
      </c>
    </row>
    <row customHeight="1" ht="11.25">
      <c r="A341" s="8274" t="s">
        <v>2233</v>
      </c>
      <c r="B341" s="8274" t="s">
        <v>14</v>
      </c>
      <c r="C341" s="8274" t="s">
        <v>3068</v>
      </c>
      <c r="D341" s="8274" t="s">
        <v>3069</v>
      </c>
      <c r="E341" s="8274" t="s">
        <v>3070</v>
      </c>
      <c r="F341" s="8274" t="s">
        <v>2520</v>
      </c>
      <c r="G341" s="8274" t="s">
        <v>17</v>
      </c>
      <c r="H341" s="8274" t="s">
        <v>17</v>
      </c>
      <c r="I341" s="8274" t="s">
        <v>3071</v>
      </c>
      <c r="J341" s="0" t="s">
        <v>17</v>
      </c>
      <c r="K341" s="0" t="s">
        <v>2904</v>
      </c>
      <c r="L341" s="0" t="s">
        <v>2930</v>
      </c>
      <c r="M341" s="0" t="s">
        <v>2931</v>
      </c>
      <c r="N341" s="0" t="s">
        <v>463</v>
      </c>
    </row>
    <row customHeight="1" ht="11.25">
      <c r="A342" s="8274" t="s">
        <v>2233</v>
      </c>
      <c r="B342" s="8274" t="s">
        <v>14</v>
      </c>
      <c r="C342" s="8274" t="s">
        <v>3072</v>
      </c>
      <c r="D342" s="8274" t="s">
        <v>3073</v>
      </c>
      <c r="E342" s="8274" t="s">
        <v>3074</v>
      </c>
      <c r="F342" s="8274" t="s">
        <v>2427</v>
      </c>
      <c r="G342" s="8274" t="s">
        <v>17</v>
      </c>
      <c r="H342" s="8274" t="s">
        <v>17</v>
      </c>
      <c r="I342" s="8274" t="s">
        <v>2985</v>
      </c>
      <c r="J342" s="0" t="s">
        <v>17</v>
      </c>
      <c r="K342" s="0" t="s">
        <v>2904</v>
      </c>
      <c r="L342" s="0" t="s">
        <v>2905</v>
      </c>
      <c r="M342" s="0" t="s">
        <v>2906</v>
      </c>
      <c r="N342" s="0" t="s">
        <v>463</v>
      </c>
    </row>
    <row customHeight="1" ht="11.25">
      <c r="A343" s="8274" t="s">
        <v>2233</v>
      </c>
      <c r="B343" s="8274" t="s">
        <v>14</v>
      </c>
      <c r="C343" s="8274" t="s">
        <v>3075</v>
      </c>
      <c r="D343" s="8274" t="s">
        <v>3076</v>
      </c>
      <c r="E343" s="8274" t="s">
        <v>3077</v>
      </c>
      <c r="F343" s="8274" t="s">
        <v>2427</v>
      </c>
      <c r="G343" s="8274" t="s">
        <v>17</v>
      </c>
      <c r="H343" s="8274" t="s">
        <v>17</v>
      </c>
      <c r="I343" s="8274" t="s">
        <v>3078</v>
      </c>
      <c r="J343" s="0" t="s">
        <v>17</v>
      </c>
      <c r="K343" s="0" t="s">
        <v>2904</v>
      </c>
      <c r="L343" s="0" t="s">
        <v>2905</v>
      </c>
      <c r="M343" s="0" t="s">
        <v>2906</v>
      </c>
      <c r="N343" s="0" t="s">
        <v>463</v>
      </c>
    </row>
    <row customHeight="1" ht="11.25">
      <c r="A344" s="8274" t="s">
        <v>2233</v>
      </c>
      <c r="B344" s="8274" t="s">
        <v>14</v>
      </c>
      <c r="C344" s="8274" t="s">
        <v>3079</v>
      </c>
      <c r="D344" s="8274" t="s">
        <v>3080</v>
      </c>
      <c r="E344" s="8274" t="s">
        <v>3081</v>
      </c>
      <c r="F344" s="8274" t="s">
        <v>2310</v>
      </c>
      <c r="G344" s="8274" t="s">
        <v>2742</v>
      </c>
      <c r="H344" s="8274" t="s">
        <v>17</v>
      </c>
      <c r="I344" s="8274" t="s">
        <v>3082</v>
      </c>
      <c r="J344" s="0" t="s">
        <v>17</v>
      </c>
      <c r="K344" s="0" t="s">
        <v>2904</v>
      </c>
      <c r="L344" s="0" t="s">
        <v>2930</v>
      </c>
      <c r="M344" s="0" t="s">
        <v>2931</v>
      </c>
      <c r="N344" s="0" t="s">
        <v>463</v>
      </c>
    </row>
    <row customHeight="1" ht="11.25">
      <c r="A345" s="8274" t="s">
        <v>2233</v>
      </c>
      <c r="B345" s="8274" t="s">
        <v>14</v>
      </c>
      <c r="C345" s="8274" t="s">
        <v>2485</v>
      </c>
      <c r="D345" s="8274" t="s">
        <v>2486</v>
      </c>
      <c r="E345" s="8274" t="s">
        <v>2487</v>
      </c>
      <c r="F345" s="8274" t="s">
        <v>2285</v>
      </c>
      <c r="G345" s="8274" t="s">
        <v>2488</v>
      </c>
      <c r="H345" s="8274" t="s">
        <v>17</v>
      </c>
      <c r="I345" s="8274" t="s">
        <v>2274</v>
      </c>
      <c r="J345" s="0" t="s">
        <v>2490</v>
      </c>
      <c r="K345" s="0" t="s">
        <v>2904</v>
      </c>
      <c r="L345" s="0" t="s">
        <v>2913</v>
      </c>
      <c r="M345" s="0" t="s">
        <v>2914</v>
      </c>
      <c r="N345" s="0" t="s">
        <v>463</v>
      </c>
    </row>
    <row customHeight="1" ht="11.25">
      <c r="A346" s="8274" t="s">
        <v>2233</v>
      </c>
      <c r="B346" s="8274" t="s">
        <v>14</v>
      </c>
      <c r="C346" s="8274" t="s">
        <v>3083</v>
      </c>
      <c r="D346" s="8274" t="s">
        <v>3084</v>
      </c>
      <c r="E346" s="8274" t="s">
        <v>3085</v>
      </c>
      <c r="F346" s="8274" t="s">
        <v>3086</v>
      </c>
      <c r="G346" s="8274" t="s">
        <v>3087</v>
      </c>
      <c r="H346" s="8274" t="s">
        <v>17</v>
      </c>
      <c r="I346" s="8274" t="s">
        <v>3088</v>
      </c>
      <c r="J346" s="0" t="s">
        <v>17</v>
      </c>
      <c r="K346" s="0" t="s">
        <v>2904</v>
      </c>
      <c r="L346" s="0" t="s">
        <v>2913</v>
      </c>
      <c r="M346" s="0" t="s">
        <v>2914</v>
      </c>
      <c r="N346" s="0" t="s">
        <v>463</v>
      </c>
    </row>
    <row customHeight="1" ht="11.25">
      <c r="A347" s="8274" t="s">
        <v>2233</v>
      </c>
      <c r="B347" s="8274" t="s">
        <v>14</v>
      </c>
      <c r="C347" s="8274" t="s">
        <v>3089</v>
      </c>
      <c r="D347" s="8274" t="s">
        <v>3090</v>
      </c>
      <c r="E347" s="8274" t="s">
        <v>3091</v>
      </c>
      <c r="F347" s="8274" t="s">
        <v>2427</v>
      </c>
      <c r="G347" s="8274" t="s">
        <v>17</v>
      </c>
      <c r="H347" s="8274" t="s">
        <v>17</v>
      </c>
      <c r="I347" s="8274" t="s">
        <v>3092</v>
      </c>
      <c r="J347" s="0" t="s">
        <v>17</v>
      </c>
      <c r="K347" s="0" t="s">
        <v>2904</v>
      </c>
      <c r="L347" s="0" t="s">
        <v>2930</v>
      </c>
      <c r="M347" s="0" t="s">
        <v>2931</v>
      </c>
      <c r="N347" s="0" t="s">
        <v>463</v>
      </c>
    </row>
    <row customHeight="1" ht="11.25">
      <c r="A348" s="8274" t="s">
        <v>2233</v>
      </c>
      <c r="B348" s="8274" t="s">
        <v>14</v>
      </c>
      <c r="C348" s="8274" t="s">
        <v>3093</v>
      </c>
      <c r="D348" s="8274" t="s">
        <v>3094</v>
      </c>
      <c r="E348" s="8274" t="s">
        <v>3095</v>
      </c>
      <c r="F348" s="8274" t="s">
        <v>2310</v>
      </c>
      <c r="G348" s="8274" t="s">
        <v>3096</v>
      </c>
      <c r="H348" s="8274" t="s">
        <v>17</v>
      </c>
      <c r="I348" s="8274" t="s">
        <v>3097</v>
      </c>
      <c r="J348" s="0" t="s">
        <v>17</v>
      </c>
      <c r="K348" s="0" t="s">
        <v>2904</v>
      </c>
      <c r="L348" s="0" t="s">
        <v>2913</v>
      </c>
      <c r="M348" s="0" t="s">
        <v>2914</v>
      </c>
      <c r="N348" s="0" t="s">
        <v>463</v>
      </c>
    </row>
    <row customHeight="1" ht="11.25">
      <c r="A349" s="8274" t="s">
        <v>2233</v>
      </c>
      <c r="B349" s="8274" t="s">
        <v>14</v>
      </c>
      <c r="C349" s="8274" t="s">
        <v>3098</v>
      </c>
      <c r="D349" s="8274" t="s">
        <v>3099</v>
      </c>
      <c r="E349" s="8274" t="s">
        <v>3100</v>
      </c>
      <c r="F349" s="8274" t="s">
        <v>2310</v>
      </c>
      <c r="G349" s="8274" t="s">
        <v>17</v>
      </c>
      <c r="H349" s="8274" t="s">
        <v>17</v>
      </c>
      <c r="I349" s="8274" t="s">
        <v>3101</v>
      </c>
      <c r="J349" s="0" t="s">
        <v>2895</v>
      </c>
      <c r="K349" s="0" t="s">
        <v>2904</v>
      </c>
      <c r="L349" s="0" t="s">
        <v>2930</v>
      </c>
      <c r="M349" s="0" t="s">
        <v>3048</v>
      </c>
      <c r="N349" s="0" t="s">
        <v>463</v>
      </c>
    </row>
    <row customHeight="1" ht="11.25">
      <c r="A350" s="8274" t="s">
        <v>2233</v>
      </c>
      <c r="B350" s="8274" t="s">
        <v>14</v>
      </c>
      <c r="C350" s="8274" t="s">
        <v>3098</v>
      </c>
      <c r="D350" s="8274" t="s">
        <v>3099</v>
      </c>
      <c r="E350" s="8274" t="s">
        <v>3100</v>
      </c>
      <c r="F350" s="8274" t="s">
        <v>2310</v>
      </c>
      <c r="G350" s="8274" t="s">
        <v>17</v>
      </c>
      <c r="H350" s="8274" t="s">
        <v>17</v>
      </c>
      <c r="I350" s="8274" t="s">
        <v>3101</v>
      </c>
      <c r="J350" s="0" t="s">
        <v>2895</v>
      </c>
      <c r="K350" s="0" t="s">
        <v>2917</v>
      </c>
      <c r="L350" s="0" t="s">
        <v>2930</v>
      </c>
      <c r="M350" s="0" t="s">
        <v>3048</v>
      </c>
      <c r="N350" s="0" t="s">
        <v>463</v>
      </c>
    </row>
    <row customHeight="1" ht="11.25">
      <c r="A351" s="8274" t="s">
        <v>2233</v>
      </c>
      <c r="B351" s="8274" t="s">
        <v>14</v>
      </c>
      <c r="C351" s="8274" t="s">
        <v>3102</v>
      </c>
      <c r="D351" s="8274" t="s">
        <v>3103</v>
      </c>
      <c r="E351" s="8274" t="s">
        <v>3104</v>
      </c>
      <c r="F351" s="8274" t="s">
        <v>2310</v>
      </c>
      <c r="G351" s="8274" t="s">
        <v>17</v>
      </c>
      <c r="H351" s="8274" t="s">
        <v>17</v>
      </c>
      <c r="I351" s="8274" t="s">
        <v>3105</v>
      </c>
      <c r="J351" s="0" t="s">
        <v>17</v>
      </c>
      <c r="K351" s="0" t="s">
        <v>2904</v>
      </c>
      <c r="L351" s="0" t="s">
        <v>2930</v>
      </c>
      <c r="M351" s="0" t="s">
        <v>2931</v>
      </c>
      <c r="N351" s="0" t="s">
        <v>463</v>
      </c>
    </row>
    <row customHeight="1" ht="11.25">
      <c r="A352" s="8274" t="s">
        <v>2233</v>
      </c>
      <c r="B352" s="8274" t="s">
        <v>14</v>
      </c>
      <c r="C352" s="8274" t="s">
        <v>3106</v>
      </c>
      <c r="D352" s="8274" t="s">
        <v>3107</v>
      </c>
      <c r="E352" s="8274" t="s">
        <v>3108</v>
      </c>
      <c r="F352" s="8274" t="s">
        <v>2310</v>
      </c>
      <c r="G352" s="8274" t="s">
        <v>3109</v>
      </c>
      <c r="H352" s="8274" t="s">
        <v>17</v>
      </c>
      <c r="I352" s="8274" t="s">
        <v>3110</v>
      </c>
      <c r="J352" s="0" t="s">
        <v>3111</v>
      </c>
      <c r="K352" s="0" t="s">
        <v>2904</v>
      </c>
      <c r="L352" s="0" t="s">
        <v>2946</v>
      </c>
      <c r="M352" s="0" t="s">
        <v>2947</v>
      </c>
      <c r="N352" s="0" t="s">
        <v>463</v>
      </c>
    </row>
    <row customHeight="1" ht="11.25">
      <c r="A353" s="8274" t="s">
        <v>2233</v>
      </c>
      <c r="B353" s="8274" t="s">
        <v>14</v>
      </c>
      <c r="C353" s="8274" t="s">
        <v>3106</v>
      </c>
      <c r="D353" s="8274" t="s">
        <v>3107</v>
      </c>
      <c r="E353" s="8274" t="s">
        <v>3108</v>
      </c>
      <c r="F353" s="8274" t="s">
        <v>2310</v>
      </c>
      <c r="G353" s="8274" t="s">
        <v>3109</v>
      </c>
      <c r="H353" s="8274" t="s">
        <v>17</v>
      </c>
      <c r="I353" s="8274" t="s">
        <v>3112</v>
      </c>
      <c r="J353" s="0" t="s">
        <v>17</v>
      </c>
      <c r="K353" s="0" t="s">
        <v>2904</v>
      </c>
      <c r="L353" s="0" t="s">
        <v>2946</v>
      </c>
      <c r="M353" s="0" t="s">
        <v>2947</v>
      </c>
      <c r="N353" s="0" t="s">
        <v>463</v>
      </c>
    </row>
    <row customHeight="1" ht="11.25">
      <c r="A354" s="8274" t="s">
        <v>2233</v>
      </c>
      <c r="B354" s="8274" t="s">
        <v>14</v>
      </c>
      <c r="C354" s="8274" t="s">
        <v>3113</v>
      </c>
      <c r="D354" s="8274" t="s">
        <v>3114</v>
      </c>
      <c r="E354" s="8274" t="s">
        <v>3115</v>
      </c>
      <c r="F354" s="8274" t="s">
        <v>2310</v>
      </c>
      <c r="G354" s="8274" t="s">
        <v>17</v>
      </c>
      <c r="H354" s="8274" t="s">
        <v>17</v>
      </c>
      <c r="I354" s="8274" t="s">
        <v>3116</v>
      </c>
      <c r="J354" s="0" t="s">
        <v>17</v>
      </c>
      <c r="K354" s="0" t="s">
        <v>2904</v>
      </c>
      <c r="L354" s="0" t="s">
        <v>2913</v>
      </c>
      <c r="M354" s="0" t="s">
        <v>2914</v>
      </c>
      <c r="N354" s="0" t="s">
        <v>463</v>
      </c>
    </row>
    <row customHeight="1" ht="11.25">
      <c r="A355" s="8274" t="s">
        <v>2233</v>
      </c>
      <c r="B355" s="8274" t="s">
        <v>14</v>
      </c>
      <c r="C355" s="8274" t="s">
        <v>3117</v>
      </c>
      <c r="D355" s="8274" t="s">
        <v>3118</v>
      </c>
      <c r="E355" s="8274" t="s">
        <v>3119</v>
      </c>
      <c r="F355" s="8274" t="s">
        <v>2310</v>
      </c>
      <c r="G355" s="8274" t="s">
        <v>17</v>
      </c>
      <c r="H355" s="8274" t="s">
        <v>17</v>
      </c>
      <c r="I355" s="8274" t="s">
        <v>2634</v>
      </c>
      <c r="J355" s="0" t="s">
        <v>17</v>
      </c>
      <c r="K355" s="0" t="s">
        <v>2904</v>
      </c>
      <c r="L355" s="0" t="s">
        <v>2930</v>
      </c>
      <c r="M355" s="0" t="s">
        <v>2931</v>
      </c>
      <c r="N355" s="0" t="s">
        <v>463</v>
      </c>
    </row>
    <row customHeight="1" ht="11.25">
      <c r="A356" s="8274" t="s">
        <v>2233</v>
      </c>
      <c r="B356" s="8274" t="s">
        <v>14</v>
      </c>
      <c r="C356" s="8274" t="s">
        <v>3120</v>
      </c>
      <c r="D356" s="8274" t="s">
        <v>3118</v>
      </c>
      <c r="E356" s="8274" t="s">
        <v>3121</v>
      </c>
      <c r="F356" s="8274" t="s">
        <v>2427</v>
      </c>
      <c r="G356" s="8274" t="s">
        <v>17</v>
      </c>
      <c r="H356" s="8274" t="s">
        <v>17</v>
      </c>
      <c r="I356" s="8274" t="s">
        <v>3078</v>
      </c>
      <c r="J356" s="0" t="s">
        <v>17</v>
      </c>
      <c r="K356" s="0" t="s">
        <v>2904</v>
      </c>
      <c r="L356" s="0" t="s">
        <v>2905</v>
      </c>
      <c r="M356" s="0" t="s">
        <v>2906</v>
      </c>
      <c r="N356" s="0" t="s">
        <v>463</v>
      </c>
    </row>
    <row customHeight="1" ht="11.25">
      <c r="A357" s="8274" t="s">
        <v>2233</v>
      </c>
      <c r="B357" s="8274" t="s">
        <v>14</v>
      </c>
      <c r="C357" s="8274" t="s">
        <v>3122</v>
      </c>
      <c r="D357" s="8274" t="s">
        <v>3118</v>
      </c>
      <c r="E357" s="8274" t="s">
        <v>3123</v>
      </c>
      <c r="F357" s="8274" t="s">
        <v>2427</v>
      </c>
      <c r="G357" s="8274" t="s">
        <v>17</v>
      </c>
      <c r="H357" s="8274" t="s">
        <v>17</v>
      </c>
      <c r="I357" s="8274" t="s">
        <v>3124</v>
      </c>
      <c r="J357" s="0" t="s">
        <v>17</v>
      </c>
      <c r="K357" s="0" t="s">
        <v>2904</v>
      </c>
      <c r="L357" s="0" t="s">
        <v>2905</v>
      </c>
      <c r="M357" s="0" t="s">
        <v>2906</v>
      </c>
      <c r="N357" s="0" t="s">
        <v>463</v>
      </c>
    </row>
    <row customHeight="1" ht="11.25">
      <c r="A358" s="8274" t="s">
        <v>2233</v>
      </c>
      <c r="B358" s="8274" t="s">
        <v>14</v>
      </c>
      <c r="C358" s="8274" t="s">
        <v>3125</v>
      </c>
      <c r="D358" s="8274" t="s">
        <v>3126</v>
      </c>
      <c r="E358" s="8274" t="s">
        <v>3127</v>
      </c>
      <c r="F358" s="8274" t="s">
        <v>2310</v>
      </c>
      <c r="G358" s="8274" t="s">
        <v>3128</v>
      </c>
      <c r="H358" s="8274" t="s">
        <v>17</v>
      </c>
      <c r="I358" s="8274" t="s">
        <v>2381</v>
      </c>
      <c r="J358" s="0" t="s">
        <v>17</v>
      </c>
      <c r="K358" s="0" t="s">
        <v>2904</v>
      </c>
      <c r="L358" s="0" t="s">
        <v>3129</v>
      </c>
      <c r="M358" s="0" t="s">
        <v>3130</v>
      </c>
      <c r="N358" s="0" t="s">
        <v>463</v>
      </c>
    </row>
    <row customHeight="1" ht="11.25">
      <c r="A359" s="8274" t="s">
        <v>2233</v>
      </c>
      <c r="B359" s="8274" t="s">
        <v>14</v>
      </c>
      <c r="C359" s="8274" t="s">
        <v>3125</v>
      </c>
      <c r="D359" s="8274" t="s">
        <v>3126</v>
      </c>
      <c r="E359" s="8274" t="s">
        <v>3127</v>
      </c>
      <c r="F359" s="8274" t="s">
        <v>2310</v>
      </c>
      <c r="G359" s="8274" t="s">
        <v>3128</v>
      </c>
      <c r="H359" s="8274" t="s">
        <v>17</v>
      </c>
      <c r="I359" s="8274" t="s">
        <v>2381</v>
      </c>
      <c r="J359" s="0" t="s">
        <v>17</v>
      </c>
      <c r="K359" s="0" t="s">
        <v>2917</v>
      </c>
      <c r="L359" s="0" t="s">
        <v>3129</v>
      </c>
      <c r="M359" s="0" t="s">
        <v>3130</v>
      </c>
      <c r="N359" s="0" t="s">
        <v>463</v>
      </c>
    </row>
    <row customHeight="1" ht="11.25">
      <c r="A360" s="8274" t="s">
        <v>2233</v>
      </c>
      <c r="B360" s="8274" t="s">
        <v>14</v>
      </c>
      <c r="C360" s="8274" t="s">
        <v>3131</v>
      </c>
      <c r="D360" s="8274" t="s">
        <v>3132</v>
      </c>
      <c r="E360" s="8274" t="s">
        <v>3133</v>
      </c>
      <c r="F360" s="8274" t="s">
        <v>2427</v>
      </c>
      <c r="G360" s="8274" t="s">
        <v>17</v>
      </c>
      <c r="H360" s="8274" t="s">
        <v>17</v>
      </c>
      <c r="I360" s="8274" t="s">
        <v>2985</v>
      </c>
      <c r="J360" s="0" t="s">
        <v>17</v>
      </c>
      <c r="K360" s="0" t="s">
        <v>2904</v>
      </c>
      <c r="L360" s="0" t="s">
        <v>2905</v>
      </c>
      <c r="M360" s="0" t="s">
        <v>2906</v>
      </c>
      <c r="N360" s="0" t="s">
        <v>463</v>
      </c>
    </row>
    <row customHeight="1" ht="11.25">
      <c r="A361" s="8274" t="s">
        <v>2233</v>
      </c>
      <c r="B361" s="8274" t="s">
        <v>14</v>
      </c>
      <c r="C361" s="8274" t="s">
        <v>3134</v>
      </c>
      <c r="D361" s="8274" t="s">
        <v>3135</v>
      </c>
      <c r="E361" s="8274" t="s">
        <v>3136</v>
      </c>
      <c r="F361" s="8274" t="s">
        <v>2310</v>
      </c>
      <c r="G361" s="8274" t="s">
        <v>17</v>
      </c>
      <c r="H361" s="8274" t="s">
        <v>17</v>
      </c>
      <c r="I361" s="8274" t="s">
        <v>3137</v>
      </c>
      <c r="J361" s="0" t="s">
        <v>17</v>
      </c>
      <c r="K361" s="0" t="s">
        <v>2904</v>
      </c>
      <c r="L361" s="0" t="s">
        <v>2930</v>
      </c>
      <c r="M361" s="0" t="s">
        <v>2931</v>
      </c>
      <c r="N361" s="0" t="s">
        <v>463</v>
      </c>
    </row>
    <row customHeight="1" ht="11.25">
      <c r="A362" s="8274" t="s">
        <v>2233</v>
      </c>
      <c r="B362" s="8274" t="s">
        <v>14</v>
      </c>
      <c r="C362" s="8274" t="s">
        <v>2508</v>
      </c>
      <c r="D362" s="8274" t="s">
        <v>2509</v>
      </c>
      <c r="E362" s="8274" t="s">
        <v>2510</v>
      </c>
      <c r="F362" s="8274" t="s">
        <v>2506</v>
      </c>
      <c r="G362" s="8274" t="s">
        <v>17</v>
      </c>
      <c r="H362" s="8274" t="s">
        <v>17</v>
      </c>
      <c r="I362" s="8274" t="s">
        <v>2511</v>
      </c>
      <c r="J362" s="0" t="s">
        <v>17</v>
      </c>
      <c r="K362" s="0" t="s">
        <v>2904</v>
      </c>
      <c r="L362" s="0" t="s">
        <v>2905</v>
      </c>
      <c r="M362" s="0" t="s">
        <v>2906</v>
      </c>
      <c r="N362" s="0" t="s">
        <v>463</v>
      </c>
    </row>
    <row customHeight="1" ht="11.25">
      <c r="A363" s="8274" t="s">
        <v>2233</v>
      </c>
      <c r="B363" s="8274" t="s">
        <v>14</v>
      </c>
      <c r="C363" s="8274" t="s">
        <v>3138</v>
      </c>
      <c r="D363" s="8274" t="s">
        <v>3139</v>
      </c>
      <c r="E363" s="8274" t="s">
        <v>3140</v>
      </c>
      <c r="F363" s="8274" t="s">
        <v>3141</v>
      </c>
      <c r="G363" s="8274" t="s">
        <v>17</v>
      </c>
      <c r="H363" s="8274" t="s">
        <v>17</v>
      </c>
      <c r="I363" s="8274" t="s">
        <v>2883</v>
      </c>
      <c r="J363" s="0" t="s">
        <v>17</v>
      </c>
      <c r="K363" s="0" t="s">
        <v>2904</v>
      </c>
      <c r="L363" s="0" t="s">
        <v>2930</v>
      </c>
      <c r="M363" s="0" t="s">
        <v>2931</v>
      </c>
      <c r="N363" s="0" t="s">
        <v>463</v>
      </c>
    </row>
    <row customHeight="1" ht="11.25">
      <c r="A364" s="8274" t="s">
        <v>2233</v>
      </c>
      <c r="B364" s="8274" t="s">
        <v>14</v>
      </c>
      <c r="C364" s="8274" t="s">
        <v>2512</v>
      </c>
      <c r="D364" s="8274" t="s">
        <v>2513</v>
      </c>
      <c r="E364" s="8274" t="s">
        <v>2514</v>
      </c>
      <c r="F364" s="8274" t="s">
        <v>2310</v>
      </c>
      <c r="G364" s="8274" t="s">
        <v>17</v>
      </c>
      <c r="H364" s="8274" t="s">
        <v>17</v>
      </c>
      <c r="I364" s="8274" t="s">
        <v>3142</v>
      </c>
      <c r="J364" s="0" t="s">
        <v>17</v>
      </c>
      <c r="K364" s="0" t="s">
        <v>2904</v>
      </c>
      <c r="L364" s="0" t="s">
        <v>2913</v>
      </c>
      <c r="M364" s="0" t="s">
        <v>2914</v>
      </c>
      <c r="N364" s="0" t="s">
        <v>463</v>
      </c>
    </row>
    <row customHeight="1" ht="11.25">
      <c r="A365" s="8274" t="s">
        <v>2233</v>
      </c>
      <c r="B365" s="8274" t="s">
        <v>14</v>
      </c>
      <c r="C365" s="8274" t="s">
        <v>3143</v>
      </c>
      <c r="D365" s="8274" t="s">
        <v>3144</v>
      </c>
      <c r="E365" s="8274" t="s">
        <v>3145</v>
      </c>
      <c r="F365" s="8274" t="s">
        <v>51</v>
      </c>
      <c r="G365" s="8274" t="s">
        <v>17</v>
      </c>
      <c r="H365" s="8274" t="s">
        <v>17</v>
      </c>
      <c r="I365" s="8274" t="s">
        <v>2552</v>
      </c>
      <c r="J365" s="0" t="s">
        <v>17</v>
      </c>
      <c r="K365" s="0" t="s">
        <v>2904</v>
      </c>
      <c r="L365" s="0" t="s">
        <v>2930</v>
      </c>
      <c r="M365" s="0" t="s">
        <v>2931</v>
      </c>
      <c r="N365" s="0" t="s">
        <v>463</v>
      </c>
    </row>
    <row customHeight="1" ht="11.25">
      <c r="A366" s="8274" t="s">
        <v>2233</v>
      </c>
      <c r="B366" s="8274" t="s">
        <v>14</v>
      </c>
      <c r="C366" s="8274" t="s">
        <v>3146</v>
      </c>
      <c r="D366" s="8274" t="s">
        <v>3147</v>
      </c>
      <c r="E366" s="8274" t="s">
        <v>3148</v>
      </c>
      <c r="F366" s="8274" t="s">
        <v>2520</v>
      </c>
      <c r="G366" s="8274" t="s">
        <v>17</v>
      </c>
      <c r="H366" s="8274" t="s">
        <v>17</v>
      </c>
      <c r="I366" s="8274" t="s">
        <v>2311</v>
      </c>
      <c r="J366" s="0" t="s">
        <v>17</v>
      </c>
      <c r="K366" s="0" t="s">
        <v>2904</v>
      </c>
      <c r="L366" s="0" t="s">
        <v>2905</v>
      </c>
      <c r="M366" s="0" t="s">
        <v>2906</v>
      </c>
      <c r="N366" s="0" t="s">
        <v>463</v>
      </c>
    </row>
    <row customHeight="1" ht="11.25">
      <c r="A367" s="8274" t="s">
        <v>2233</v>
      </c>
      <c r="B367" s="8274" t="s">
        <v>14</v>
      </c>
      <c r="C367" s="8274" t="s">
        <v>2517</v>
      </c>
      <c r="D367" s="8274" t="s">
        <v>2518</v>
      </c>
      <c r="E367" s="8274" t="s">
        <v>2519</v>
      </c>
      <c r="F367" s="8274" t="s">
        <v>2520</v>
      </c>
      <c r="G367" s="8274" t="s">
        <v>17</v>
      </c>
      <c r="H367" s="8274" t="s">
        <v>17</v>
      </c>
      <c r="I367" s="8274" t="s">
        <v>2311</v>
      </c>
      <c r="J367" s="0" t="s">
        <v>17</v>
      </c>
      <c r="K367" s="0" t="s">
        <v>2904</v>
      </c>
      <c r="L367" s="0" t="s">
        <v>2905</v>
      </c>
      <c r="M367" s="0" t="s">
        <v>2906</v>
      </c>
      <c r="N367" s="0" t="s">
        <v>463</v>
      </c>
    </row>
    <row customHeight="1" ht="11.25">
      <c r="A368" s="8274" t="s">
        <v>2233</v>
      </c>
      <c r="B368" s="8274" t="s">
        <v>14</v>
      </c>
      <c r="C368" s="8274" t="s">
        <v>2522</v>
      </c>
      <c r="D368" s="8274" t="s">
        <v>2523</v>
      </c>
      <c r="E368" s="8274" t="s">
        <v>2524</v>
      </c>
      <c r="F368" s="8274" t="s">
        <v>2482</v>
      </c>
      <c r="G368" s="8274" t="s">
        <v>17</v>
      </c>
      <c r="H368" s="8274" t="s">
        <v>17</v>
      </c>
      <c r="I368" s="8274" t="s">
        <v>2463</v>
      </c>
      <c r="J368" s="0" t="s">
        <v>3149</v>
      </c>
      <c r="K368" s="0" t="s">
        <v>2904</v>
      </c>
      <c r="L368" s="0" t="s">
        <v>2915</v>
      </c>
      <c r="M368" s="0" t="s">
        <v>2916</v>
      </c>
      <c r="N368" s="0" t="s">
        <v>463</v>
      </c>
    </row>
    <row customHeight="1" ht="11.25">
      <c r="A369" s="8274" t="s">
        <v>2233</v>
      </c>
      <c r="B369" s="8274" t="s">
        <v>14</v>
      </c>
      <c r="C369" s="8274" t="s">
        <v>2522</v>
      </c>
      <c r="D369" s="8274" t="s">
        <v>2523</v>
      </c>
      <c r="E369" s="8274" t="s">
        <v>2524</v>
      </c>
      <c r="F369" s="8274" t="s">
        <v>2482</v>
      </c>
      <c r="G369" s="8274" t="s">
        <v>17</v>
      </c>
      <c r="H369" s="8274" t="s">
        <v>17</v>
      </c>
      <c r="I369" s="8274" t="s">
        <v>2463</v>
      </c>
      <c r="J369" s="0" t="s">
        <v>3149</v>
      </c>
      <c r="K369" s="0" t="s">
        <v>2917</v>
      </c>
      <c r="L369" s="0" t="s">
        <v>2915</v>
      </c>
      <c r="M369" s="0" t="s">
        <v>2916</v>
      </c>
      <c r="N369" s="0" t="s">
        <v>463</v>
      </c>
    </row>
    <row customHeight="1" ht="11.25">
      <c r="A370" s="8274" t="s">
        <v>2233</v>
      </c>
      <c r="B370" s="8274" t="s">
        <v>14</v>
      </c>
      <c r="C370" s="8274" t="s">
        <v>2522</v>
      </c>
      <c r="D370" s="8274" t="s">
        <v>2523</v>
      </c>
      <c r="E370" s="8274" t="s">
        <v>2524</v>
      </c>
      <c r="F370" s="8274" t="s">
        <v>2482</v>
      </c>
      <c r="G370" s="8274" t="s">
        <v>17</v>
      </c>
      <c r="H370" s="8274" t="s">
        <v>17</v>
      </c>
      <c r="I370" s="8274" t="s">
        <v>2463</v>
      </c>
      <c r="J370" s="0" t="s">
        <v>3149</v>
      </c>
      <c r="K370" s="0" t="s">
        <v>2904</v>
      </c>
      <c r="L370" s="0" t="s">
        <v>2905</v>
      </c>
      <c r="M370" s="0" t="s">
        <v>2906</v>
      </c>
      <c r="N370" s="0" t="s">
        <v>463</v>
      </c>
    </row>
    <row customHeight="1" ht="11.25">
      <c r="A371" s="8274" t="s">
        <v>2233</v>
      </c>
      <c r="B371" s="8274" t="s">
        <v>14</v>
      </c>
      <c r="C371" s="8274" t="s">
        <v>2522</v>
      </c>
      <c r="D371" s="8274" t="s">
        <v>2523</v>
      </c>
      <c r="E371" s="8274" t="s">
        <v>2524</v>
      </c>
      <c r="F371" s="8274" t="s">
        <v>2482</v>
      </c>
      <c r="G371" s="8274" t="s">
        <v>17</v>
      </c>
      <c r="H371" s="8274" t="s">
        <v>17</v>
      </c>
      <c r="I371" s="8274" t="s">
        <v>3150</v>
      </c>
      <c r="J371" s="0" t="s">
        <v>3149</v>
      </c>
      <c r="K371" s="0" t="s">
        <v>2904</v>
      </c>
      <c r="L371" s="0" t="s">
        <v>2915</v>
      </c>
      <c r="M371" s="0" t="s">
        <v>2916</v>
      </c>
      <c r="N371" s="0" t="s">
        <v>463</v>
      </c>
    </row>
    <row customHeight="1" ht="11.25">
      <c r="A372" s="8274" t="s">
        <v>2233</v>
      </c>
      <c r="B372" s="8274" t="s">
        <v>14</v>
      </c>
      <c r="C372" s="8274" t="s">
        <v>2522</v>
      </c>
      <c r="D372" s="8274" t="s">
        <v>2523</v>
      </c>
      <c r="E372" s="8274" t="s">
        <v>2524</v>
      </c>
      <c r="F372" s="8274" t="s">
        <v>2482</v>
      </c>
      <c r="G372" s="8274" t="s">
        <v>17</v>
      </c>
      <c r="H372" s="8274" t="s">
        <v>17</v>
      </c>
      <c r="I372" s="8274" t="s">
        <v>3150</v>
      </c>
      <c r="J372" s="0" t="s">
        <v>3149</v>
      </c>
      <c r="K372" s="0" t="s">
        <v>2917</v>
      </c>
      <c r="L372" s="0" t="s">
        <v>2915</v>
      </c>
      <c r="M372" s="0" t="s">
        <v>2916</v>
      </c>
      <c r="N372" s="0" t="s">
        <v>463</v>
      </c>
    </row>
    <row customHeight="1" ht="11.25">
      <c r="A373" s="8274" t="s">
        <v>2233</v>
      </c>
      <c r="B373" s="8274" t="s">
        <v>14</v>
      </c>
      <c r="C373" s="8274" t="s">
        <v>2525</v>
      </c>
      <c r="D373" s="8274" t="s">
        <v>2526</v>
      </c>
      <c r="E373" s="8274" t="s">
        <v>2527</v>
      </c>
      <c r="F373" s="8274" t="s">
        <v>2506</v>
      </c>
      <c r="G373" s="8274" t="s">
        <v>17</v>
      </c>
      <c r="H373" s="8274" t="s">
        <v>17</v>
      </c>
      <c r="I373" s="8274" t="s">
        <v>2463</v>
      </c>
      <c r="J373" s="0" t="s">
        <v>17</v>
      </c>
      <c r="K373" s="0" t="s">
        <v>2904</v>
      </c>
      <c r="L373" s="0" t="s">
        <v>2905</v>
      </c>
      <c r="M373" s="0" t="s">
        <v>2906</v>
      </c>
      <c r="N373" s="0" t="s">
        <v>463</v>
      </c>
    </row>
    <row customHeight="1" ht="11.25">
      <c r="A374" s="8274" t="s">
        <v>2233</v>
      </c>
      <c r="B374" s="8274" t="s">
        <v>14</v>
      </c>
      <c r="C374" s="8274" t="s">
        <v>3151</v>
      </c>
      <c r="D374" s="8274" t="s">
        <v>3152</v>
      </c>
      <c r="E374" s="8274" t="s">
        <v>3153</v>
      </c>
      <c r="F374" s="8274" t="s">
        <v>2520</v>
      </c>
      <c r="G374" s="8274" t="s">
        <v>17</v>
      </c>
      <c r="H374" s="8274" t="s">
        <v>17</v>
      </c>
      <c r="I374" s="8274" t="s">
        <v>2311</v>
      </c>
      <c r="J374" s="0" t="s">
        <v>17</v>
      </c>
      <c r="K374" s="0" t="s">
        <v>2904</v>
      </c>
      <c r="L374" s="0" t="s">
        <v>2905</v>
      </c>
      <c r="M374" s="0" t="s">
        <v>2906</v>
      </c>
      <c r="N374" s="0" t="s">
        <v>463</v>
      </c>
    </row>
    <row customHeight="1" ht="11.25">
      <c r="A375" s="8274" t="s">
        <v>2233</v>
      </c>
      <c r="B375" s="8274" t="s">
        <v>14</v>
      </c>
      <c r="C375" s="8274" t="s">
        <v>3154</v>
      </c>
      <c r="D375" s="8274" t="s">
        <v>3155</v>
      </c>
      <c r="E375" s="8274" t="s">
        <v>3156</v>
      </c>
      <c r="F375" s="8274" t="s">
        <v>2520</v>
      </c>
      <c r="G375" s="8274" t="s">
        <v>17</v>
      </c>
      <c r="H375" s="8274" t="s">
        <v>17</v>
      </c>
      <c r="I375" s="8274" t="s">
        <v>3157</v>
      </c>
      <c r="J375" s="0" t="s">
        <v>3111</v>
      </c>
      <c r="K375" s="0" t="s">
        <v>2904</v>
      </c>
      <c r="L375" s="0" t="s">
        <v>2946</v>
      </c>
      <c r="M375" s="0" t="s">
        <v>2947</v>
      </c>
      <c r="N375" s="0" t="s">
        <v>463</v>
      </c>
    </row>
    <row customHeight="1" ht="11.25">
      <c r="A376" s="8274" t="s">
        <v>2233</v>
      </c>
      <c r="B376" s="8274" t="s">
        <v>14</v>
      </c>
      <c r="C376" s="8274" t="s">
        <v>3154</v>
      </c>
      <c r="D376" s="8274" t="s">
        <v>3155</v>
      </c>
      <c r="E376" s="8274" t="s">
        <v>3156</v>
      </c>
      <c r="F376" s="8274" t="s">
        <v>2520</v>
      </c>
      <c r="G376" s="8274" t="s">
        <v>17</v>
      </c>
      <c r="H376" s="8274" t="s">
        <v>17</v>
      </c>
      <c r="I376" s="8274" t="s">
        <v>2311</v>
      </c>
      <c r="J376" s="0" t="s">
        <v>17</v>
      </c>
      <c r="K376" s="0" t="s">
        <v>2904</v>
      </c>
      <c r="L376" s="0" t="s">
        <v>2905</v>
      </c>
      <c r="M376" s="0" t="s">
        <v>2906</v>
      </c>
      <c r="N376" s="0" t="s">
        <v>463</v>
      </c>
    </row>
    <row customHeight="1" ht="11.25">
      <c r="A377" s="8274" t="s">
        <v>2233</v>
      </c>
      <c r="B377" s="8274" t="s">
        <v>14</v>
      </c>
      <c r="C377" s="8274" t="s">
        <v>3154</v>
      </c>
      <c r="D377" s="8274" t="s">
        <v>3155</v>
      </c>
      <c r="E377" s="8274" t="s">
        <v>3156</v>
      </c>
      <c r="F377" s="8274" t="s">
        <v>2520</v>
      </c>
      <c r="G377" s="8274" t="s">
        <v>17</v>
      </c>
      <c r="H377" s="8274" t="s">
        <v>17</v>
      </c>
      <c r="I377" s="8274" t="s">
        <v>3158</v>
      </c>
      <c r="J377" s="0" t="s">
        <v>17</v>
      </c>
      <c r="K377" s="0" t="s">
        <v>2904</v>
      </c>
      <c r="L377" s="0" t="s">
        <v>3129</v>
      </c>
      <c r="M377" s="0" t="s">
        <v>3130</v>
      </c>
      <c r="N377" s="0" t="s">
        <v>463</v>
      </c>
    </row>
    <row customHeight="1" ht="11.25">
      <c r="A378" s="8274" t="s">
        <v>2233</v>
      </c>
      <c r="B378" s="8274" t="s">
        <v>14</v>
      </c>
      <c r="C378" s="8274" t="s">
        <v>3154</v>
      </c>
      <c r="D378" s="8274" t="s">
        <v>3155</v>
      </c>
      <c r="E378" s="8274" t="s">
        <v>3156</v>
      </c>
      <c r="F378" s="8274" t="s">
        <v>2520</v>
      </c>
      <c r="G378" s="8274" t="s">
        <v>17</v>
      </c>
      <c r="H378" s="8274" t="s">
        <v>17</v>
      </c>
      <c r="I378" s="8274" t="s">
        <v>3158</v>
      </c>
      <c r="J378" s="0" t="s">
        <v>17</v>
      </c>
      <c r="K378" s="0" t="s">
        <v>2917</v>
      </c>
      <c r="L378" s="0" t="s">
        <v>3129</v>
      </c>
      <c r="M378" s="0" t="s">
        <v>3130</v>
      </c>
      <c r="N378" s="0" t="s">
        <v>463</v>
      </c>
    </row>
    <row customHeight="1" ht="11.25">
      <c r="A379" s="8274" t="s">
        <v>2233</v>
      </c>
      <c r="B379" s="8274" t="s">
        <v>14</v>
      </c>
      <c r="C379" s="8274" t="s">
        <v>3154</v>
      </c>
      <c r="D379" s="8274" t="s">
        <v>3155</v>
      </c>
      <c r="E379" s="8274" t="s">
        <v>3156</v>
      </c>
      <c r="F379" s="8274" t="s">
        <v>2520</v>
      </c>
      <c r="G379" s="8274" t="s">
        <v>17</v>
      </c>
      <c r="H379" s="8274" t="s">
        <v>17</v>
      </c>
      <c r="I379" s="8274" t="s">
        <v>3159</v>
      </c>
      <c r="J379" s="0" t="s">
        <v>17</v>
      </c>
      <c r="K379" s="0" t="s">
        <v>2904</v>
      </c>
      <c r="L379" s="0" t="s">
        <v>3160</v>
      </c>
      <c r="M379" s="0" t="s">
        <v>3161</v>
      </c>
      <c r="N379" s="0" t="s">
        <v>463</v>
      </c>
    </row>
    <row customHeight="1" ht="11.25">
      <c r="A380" s="8274" t="s">
        <v>2233</v>
      </c>
      <c r="B380" s="8274" t="s">
        <v>14</v>
      </c>
      <c r="C380" s="8274" t="s">
        <v>3154</v>
      </c>
      <c r="D380" s="8274" t="s">
        <v>3155</v>
      </c>
      <c r="E380" s="8274" t="s">
        <v>3156</v>
      </c>
      <c r="F380" s="8274" t="s">
        <v>2520</v>
      </c>
      <c r="G380" s="8274" t="s">
        <v>17</v>
      </c>
      <c r="H380" s="8274" t="s">
        <v>17</v>
      </c>
      <c r="I380" s="8274" t="s">
        <v>3162</v>
      </c>
      <c r="J380" s="0" t="s">
        <v>17</v>
      </c>
      <c r="K380" s="0" t="s">
        <v>2904</v>
      </c>
      <c r="L380" s="0" t="s">
        <v>3163</v>
      </c>
      <c r="M380" s="0" t="s">
        <v>3164</v>
      </c>
      <c r="N380" s="0" t="s">
        <v>463</v>
      </c>
    </row>
    <row customHeight="1" ht="11.25">
      <c r="A381" s="8274" t="s">
        <v>2233</v>
      </c>
      <c r="B381" s="8274" t="s">
        <v>14</v>
      </c>
      <c r="C381" s="8274" t="s">
        <v>3154</v>
      </c>
      <c r="D381" s="8274" t="s">
        <v>3155</v>
      </c>
      <c r="E381" s="8274" t="s">
        <v>3156</v>
      </c>
      <c r="F381" s="8274" t="s">
        <v>2520</v>
      </c>
      <c r="G381" s="8274" t="s">
        <v>17</v>
      </c>
      <c r="H381" s="8274" t="s">
        <v>17</v>
      </c>
      <c r="I381" s="8274" t="s">
        <v>3112</v>
      </c>
      <c r="J381" s="0" t="s">
        <v>17</v>
      </c>
      <c r="K381" s="0" t="s">
        <v>2904</v>
      </c>
      <c r="L381" s="0" t="s">
        <v>2946</v>
      </c>
      <c r="M381" s="0" t="s">
        <v>2947</v>
      </c>
      <c r="N381" s="0" t="s">
        <v>463</v>
      </c>
    </row>
    <row customHeight="1" ht="11.25">
      <c r="A382" s="8274" t="s">
        <v>2233</v>
      </c>
      <c r="B382" s="8274" t="s">
        <v>14</v>
      </c>
      <c r="C382" s="8274" t="s">
        <v>2538</v>
      </c>
      <c r="D382" s="8274" t="s">
        <v>2539</v>
      </c>
      <c r="E382" s="8274" t="s">
        <v>2540</v>
      </c>
      <c r="F382" s="8274" t="s">
        <v>2310</v>
      </c>
      <c r="G382" s="8274" t="s">
        <v>17</v>
      </c>
      <c r="H382" s="8274" t="s">
        <v>17</v>
      </c>
      <c r="I382" s="8274" t="s">
        <v>2416</v>
      </c>
      <c r="J382" s="0" t="s">
        <v>17</v>
      </c>
      <c r="K382" s="0" t="s">
        <v>2904</v>
      </c>
      <c r="L382" s="0" t="s">
        <v>2975</v>
      </c>
      <c r="M382" s="0" t="s">
        <v>2976</v>
      </c>
      <c r="N382" s="0" t="s">
        <v>463</v>
      </c>
    </row>
    <row customHeight="1" ht="11.25">
      <c r="A383" s="8274" t="s">
        <v>2233</v>
      </c>
      <c r="B383" s="8274" t="s">
        <v>14</v>
      </c>
      <c r="C383" s="8274" t="s">
        <v>2538</v>
      </c>
      <c r="D383" s="8274" t="s">
        <v>2539</v>
      </c>
      <c r="E383" s="8274" t="s">
        <v>2540</v>
      </c>
      <c r="F383" s="8274" t="s">
        <v>2310</v>
      </c>
      <c r="G383" s="8274" t="s">
        <v>17</v>
      </c>
      <c r="H383" s="8274" t="s">
        <v>17</v>
      </c>
      <c r="I383" s="8274" t="s">
        <v>2499</v>
      </c>
      <c r="J383" s="0" t="s">
        <v>17</v>
      </c>
      <c r="K383" s="0" t="s">
        <v>2904</v>
      </c>
      <c r="L383" s="0" t="s">
        <v>2975</v>
      </c>
      <c r="M383" s="0" t="s">
        <v>2976</v>
      </c>
      <c r="N383" s="0" t="s">
        <v>463</v>
      </c>
    </row>
    <row customHeight="1" ht="11.25">
      <c r="A384" s="8274" t="s">
        <v>2233</v>
      </c>
      <c r="B384" s="8274" t="s">
        <v>14</v>
      </c>
      <c r="C384" s="8274" t="s">
        <v>3165</v>
      </c>
      <c r="D384" s="8274" t="s">
        <v>3166</v>
      </c>
      <c r="E384" s="8274" t="s">
        <v>3167</v>
      </c>
      <c r="F384" s="8274" t="s">
        <v>2310</v>
      </c>
      <c r="G384" s="8274" t="s">
        <v>17</v>
      </c>
      <c r="H384" s="8274" t="s">
        <v>17</v>
      </c>
      <c r="I384" s="8274" t="s">
        <v>2883</v>
      </c>
      <c r="J384" s="0" t="s">
        <v>17</v>
      </c>
      <c r="K384" s="0" t="s">
        <v>2904</v>
      </c>
      <c r="L384" s="0" t="s">
        <v>3168</v>
      </c>
      <c r="M384" s="0" t="s">
        <v>3169</v>
      </c>
      <c r="N384" s="0" t="s">
        <v>463</v>
      </c>
    </row>
    <row customHeight="1" ht="11.25">
      <c r="A385" s="8274" t="s">
        <v>2233</v>
      </c>
      <c r="B385" s="8274" t="s">
        <v>14</v>
      </c>
      <c r="C385" s="8274" t="s">
        <v>3170</v>
      </c>
      <c r="D385" s="8274" t="s">
        <v>3171</v>
      </c>
      <c r="E385" s="8274" t="s">
        <v>3172</v>
      </c>
      <c r="F385" s="8274" t="s">
        <v>2427</v>
      </c>
      <c r="G385" s="8274" t="s">
        <v>17</v>
      </c>
      <c r="H385" s="8274" t="s">
        <v>17</v>
      </c>
      <c r="I385" s="8274" t="s">
        <v>3173</v>
      </c>
      <c r="J385" s="0" t="s">
        <v>17</v>
      </c>
      <c r="K385" s="0" t="s">
        <v>2904</v>
      </c>
      <c r="L385" s="0" t="s">
        <v>2913</v>
      </c>
      <c r="M385" s="0" t="s">
        <v>2939</v>
      </c>
      <c r="N385" s="0" t="s">
        <v>463</v>
      </c>
    </row>
    <row customHeight="1" ht="11.25">
      <c r="A386" s="8274" t="s">
        <v>2233</v>
      </c>
      <c r="B386" s="8274" t="s">
        <v>14</v>
      </c>
      <c r="C386" s="8274" t="s">
        <v>3174</v>
      </c>
      <c r="D386" s="8274" t="s">
        <v>3175</v>
      </c>
      <c r="E386" s="8274" t="s">
        <v>3176</v>
      </c>
      <c r="F386" s="8274" t="s">
        <v>2427</v>
      </c>
      <c r="G386" s="8274" t="s">
        <v>17</v>
      </c>
      <c r="H386" s="8274" t="s">
        <v>17</v>
      </c>
      <c r="I386" s="8274" t="s">
        <v>3177</v>
      </c>
      <c r="J386" s="0" t="s">
        <v>17</v>
      </c>
      <c r="K386" s="0" t="s">
        <v>2904</v>
      </c>
      <c r="L386" s="0" t="s">
        <v>3178</v>
      </c>
      <c r="M386" s="0" t="s">
        <v>3179</v>
      </c>
      <c r="N386" s="0" t="s">
        <v>463</v>
      </c>
    </row>
    <row customHeight="1" ht="11.25">
      <c r="A387" s="8274" t="s">
        <v>2233</v>
      </c>
      <c r="B387" s="8274" t="s">
        <v>14</v>
      </c>
      <c r="C387" s="8274" t="s">
        <v>3174</v>
      </c>
      <c r="D387" s="8274" t="s">
        <v>3175</v>
      </c>
      <c r="E387" s="8274" t="s">
        <v>3176</v>
      </c>
      <c r="F387" s="8274" t="s">
        <v>2427</v>
      </c>
      <c r="G387" s="8274" t="s">
        <v>17</v>
      </c>
      <c r="H387" s="8274" t="s">
        <v>17</v>
      </c>
      <c r="I387" s="8274" t="s">
        <v>3177</v>
      </c>
      <c r="J387" s="0" t="s">
        <v>17</v>
      </c>
      <c r="K387" s="0" t="s">
        <v>2917</v>
      </c>
      <c r="L387" s="0" t="s">
        <v>3178</v>
      </c>
      <c r="M387" s="0" t="s">
        <v>3179</v>
      </c>
      <c r="N387" s="0" t="s">
        <v>463</v>
      </c>
    </row>
    <row customHeight="1" ht="11.25">
      <c r="A388" s="8274" t="s">
        <v>2233</v>
      </c>
      <c r="B388" s="8274" t="s">
        <v>14</v>
      </c>
      <c r="C388" s="8274" t="s">
        <v>3180</v>
      </c>
      <c r="D388" s="8274" t="s">
        <v>3181</v>
      </c>
      <c r="E388" s="8274" t="s">
        <v>3182</v>
      </c>
      <c r="F388" s="8274" t="s">
        <v>2310</v>
      </c>
      <c r="G388" s="8274" t="s">
        <v>17</v>
      </c>
      <c r="H388" s="8274" t="s">
        <v>17</v>
      </c>
      <c r="I388" s="8274" t="s">
        <v>3183</v>
      </c>
      <c r="J388" s="0" t="s">
        <v>17</v>
      </c>
      <c r="K388" s="0" t="s">
        <v>2904</v>
      </c>
      <c r="L388" s="0" t="s">
        <v>2930</v>
      </c>
      <c r="M388" s="0" t="s">
        <v>2931</v>
      </c>
      <c r="N388" s="0" t="s">
        <v>463</v>
      </c>
    </row>
    <row customHeight="1" ht="11.25">
      <c r="A389" s="8274" t="s">
        <v>2233</v>
      </c>
      <c r="B389" s="8274" t="s">
        <v>14</v>
      </c>
      <c r="C389" s="8274" t="s">
        <v>3184</v>
      </c>
      <c r="D389" s="8274" t="s">
        <v>3185</v>
      </c>
      <c r="E389" s="8274" t="s">
        <v>3186</v>
      </c>
      <c r="F389" s="8274" t="s">
        <v>2310</v>
      </c>
      <c r="G389" s="8274" t="s">
        <v>17</v>
      </c>
      <c r="H389" s="8274" t="s">
        <v>17</v>
      </c>
      <c r="I389" s="8274" t="s">
        <v>3183</v>
      </c>
      <c r="J389" s="0" t="s">
        <v>17</v>
      </c>
      <c r="K389" s="0" t="s">
        <v>2904</v>
      </c>
      <c r="L389" s="0" t="s">
        <v>2930</v>
      </c>
      <c r="M389" s="0" t="s">
        <v>2931</v>
      </c>
      <c r="N389" s="0" t="s">
        <v>463</v>
      </c>
    </row>
    <row customHeight="1" ht="11.25">
      <c r="A390" s="8274" t="s">
        <v>2233</v>
      </c>
      <c r="B390" s="8274" t="s">
        <v>14</v>
      </c>
      <c r="C390" s="8274" t="s">
        <v>2541</v>
      </c>
      <c r="D390" s="8274" t="s">
        <v>2542</v>
      </c>
      <c r="E390" s="8274" t="s">
        <v>2543</v>
      </c>
      <c r="F390" s="8274" t="s">
        <v>2544</v>
      </c>
      <c r="G390" s="8274" t="s">
        <v>17</v>
      </c>
      <c r="H390" s="8274" t="s">
        <v>17</v>
      </c>
      <c r="I390" s="8274" t="s">
        <v>2311</v>
      </c>
      <c r="J390" s="0" t="s">
        <v>17</v>
      </c>
      <c r="K390" s="0" t="s">
        <v>2904</v>
      </c>
      <c r="L390" s="0" t="s">
        <v>2905</v>
      </c>
      <c r="M390" s="0" t="s">
        <v>2906</v>
      </c>
      <c r="N390" s="0" t="s">
        <v>463</v>
      </c>
    </row>
    <row customHeight="1" ht="11.25">
      <c r="A391" s="8274" t="s">
        <v>2233</v>
      </c>
      <c r="B391" s="8274" t="s">
        <v>14</v>
      </c>
      <c r="C391" s="8274" t="s">
        <v>2541</v>
      </c>
      <c r="D391" s="8274" t="s">
        <v>2542</v>
      </c>
      <c r="E391" s="8274" t="s">
        <v>2543</v>
      </c>
      <c r="F391" s="8274" t="s">
        <v>2544</v>
      </c>
      <c r="G391" s="8274" t="s">
        <v>17</v>
      </c>
      <c r="H391" s="8274" t="s">
        <v>17</v>
      </c>
      <c r="I391" s="8274" t="s">
        <v>3187</v>
      </c>
      <c r="J391" s="0" t="s">
        <v>17</v>
      </c>
      <c r="K391" s="0" t="s">
        <v>2904</v>
      </c>
      <c r="L391" s="0" t="s">
        <v>2905</v>
      </c>
      <c r="M391" s="0" t="s">
        <v>2906</v>
      </c>
      <c r="N391" s="0" t="s">
        <v>463</v>
      </c>
    </row>
    <row customHeight="1" ht="11.25">
      <c r="A392" s="8274" t="s">
        <v>2233</v>
      </c>
      <c r="B392" s="8274" t="s">
        <v>14</v>
      </c>
      <c r="C392" s="8274" t="s">
        <v>3188</v>
      </c>
      <c r="D392" s="8274" t="s">
        <v>3189</v>
      </c>
      <c r="E392" s="8274" t="s">
        <v>3190</v>
      </c>
      <c r="F392" s="8274" t="s">
        <v>2427</v>
      </c>
      <c r="G392" s="8274" t="s">
        <v>17</v>
      </c>
      <c r="H392" s="8274" t="s">
        <v>17</v>
      </c>
      <c r="I392" s="8274" t="s">
        <v>2507</v>
      </c>
      <c r="J392" s="0" t="s">
        <v>17</v>
      </c>
      <c r="K392" s="0" t="s">
        <v>2904</v>
      </c>
      <c r="L392" s="0" t="s">
        <v>2930</v>
      </c>
      <c r="M392" s="0" t="s">
        <v>2931</v>
      </c>
      <c r="N392" s="0" t="s">
        <v>463</v>
      </c>
    </row>
    <row customHeight="1" ht="11.25">
      <c r="A393" s="8274" t="s">
        <v>2233</v>
      </c>
      <c r="B393" s="8274" t="s">
        <v>14</v>
      </c>
      <c r="C393" s="8274" t="s">
        <v>3191</v>
      </c>
      <c r="D393" s="8274" t="s">
        <v>3192</v>
      </c>
      <c r="E393" s="8274" t="s">
        <v>3193</v>
      </c>
      <c r="F393" s="8274" t="s">
        <v>2531</v>
      </c>
      <c r="G393" s="8274" t="s">
        <v>3194</v>
      </c>
      <c r="H393" s="8274" t="s">
        <v>17</v>
      </c>
      <c r="I393" s="8274" t="s">
        <v>3194</v>
      </c>
      <c r="J393" s="0" t="s">
        <v>17</v>
      </c>
      <c r="K393" s="0" t="s">
        <v>2904</v>
      </c>
      <c r="L393" s="0" t="s">
        <v>2905</v>
      </c>
      <c r="M393" s="0" t="s">
        <v>2906</v>
      </c>
      <c r="N393" s="0" t="s">
        <v>463</v>
      </c>
    </row>
    <row customHeight="1" ht="11.25">
      <c r="A394" s="8274" t="s">
        <v>2233</v>
      </c>
      <c r="B394" s="8274" t="s">
        <v>14</v>
      </c>
      <c r="C394" s="8274" t="s">
        <v>3195</v>
      </c>
      <c r="D394" s="8274" t="s">
        <v>3196</v>
      </c>
      <c r="E394" s="8274" t="s">
        <v>3197</v>
      </c>
      <c r="F394" s="8274" t="s">
        <v>51</v>
      </c>
      <c r="G394" s="8274" t="s">
        <v>17</v>
      </c>
      <c r="H394" s="8274" t="s">
        <v>17</v>
      </c>
      <c r="I394" s="8274" t="s">
        <v>3198</v>
      </c>
      <c r="J394" s="0" t="s">
        <v>17</v>
      </c>
      <c r="K394" s="0" t="s">
        <v>2904</v>
      </c>
      <c r="L394" s="0" t="s">
        <v>2913</v>
      </c>
      <c r="M394" s="0" t="s">
        <v>2914</v>
      </c>
      <c r="N394" s="0" t="s">
        <v>463</v>
      </c>
    </row>
    <row customHeight="1" ht="11.25">
      <c r="A395" s="8274" t="s">
        <v>2233</v>
      </c>
      <c r="B395" s="8274" t="s">
        <v>14</v>
      </c>
      <c r="C395" s="8274" t="s">
        <v>3199</v>
      </c>
      <c r="D395" s="8274" t="s">
        <v>3200</v>
      </c>
      <c r="E395" s="8274" t="s">
        <v>3201</v>
      </c>
      <c r="F395" s="8274" t="s">
        <v>3202</v>
      </c>
      <c r="G395" s="8274" t="s">
        <v>17</v>
      </c>
      <c r="H395" s="8274" t="s">
        <v>17</v>
      </c>
      <c r="I395" s="8274" t="s">
        <v>2311</v>
      </c>
      <c r="J395" s="0" t="s">
        <v>17</v>
      </c>
      <c r="K395" s="0" t="s">
        <v>2904</v>
      </c>
      <c r="L395" s="0" t="s">
        <v>2905</v>
      </c>
      <c r="M395" s="0" t="s">
        <v>2906</v>
      </c>
      <c r="N395" s="0" t="s">
        <v>463</v>
      </c>
    </row>
    <row customHeight="1" ht="11.25">
      <c r="A396" s="8274" t="s">
        <v>2233</v>
      </c>
      <c r="B396" s="8274" t="s">
        <v>14</v>
      </c>
      <c r="C396" s="8274" t="s">
        <v>3203</v>
      </c>
      <c r="D396" s="8274" t="s">
        <v>3204</v>
      </c>
      <c r="E396" s="8274" t="s">
        <v>3205</v>
      </c>
      <c r="F396" s="8274" t="s">
        <v>2310</v>
      </c>
      <c r="G396" s="8274" t="s">
        <v>17</v>
      </c>
      <c r="H396" s="8274" t="s">
        <v>17</v>
      </c>
      <c r="I396" s="8274" t="s">
        <v>2883</v>
      </c>
      <c r="J396" s="0" t="s">
        <v>17</v>
      </c>
      <c r="K396" s="0" t="s">
        <v>2904</v>
      </c>
      <c r="L396" s="0" t="s">
        <v>3168</v>
      </c>
      <c r="M396" s="0" t="s">
        <v>3169</v>
      </c>
      <c r="N396" s="0" t="s">
        <v>463</v>
      </c>
    </row>
    <row customHeight="1" ht="11.25">
      <c r="A397" s="8274" t="s">
        <v>2233</v>
      </c>
      <c r="B397" s="8274" t="s">
        <v>14</v>
      </c>
      <c r="C397" s="8274" t="s">
        <v>3203</v>
      </c>
      <c r="D397" s="8274" t="s">
        <v>3204</v>
      </c>
      <c r="E397" s="8274" t="s">
        <v>3205</v>
      </c>
      <c r="F397" s="8274" t="s">
        <v>2310</v>
      </c>
      <c r="G397" s="8274" t="s">
        <v>17</v>
      </c>
      <c r="H397" s="8274" t="s">
        <v>17</v>
      </c>
      <c r="I397" s="8274" t="s">
        <v>3206</v>
      </c>
      <c r="J397" s="0" t="s">
        <v>17</v>
      </c>
      <c r="K397" s="0" t="s">
        <v>2904</v>
      </c>
      <c r="L397" s="0" t="s">
        <v>2930</v>
      </c>
      <c r="M397" s="0" t="s">
        <v>2931</v>
      </c>
      <c r="N397" s="0" t="s">
        <v>463</v>
      </c>
    </row>
    <row customHeight="1" ht="11.25">
      <c r="A398" s="8274" t="s">
        <v>2233</v>
      </c>
      <c r="B398" s="8274" t="s">
        <v>14</v>
      </c>
      <c r="C398" s="8274" t="s">
        <v>3207</v>
      </c>
      <c r="D398" s="8274" t="s">
        <v>3208</v>
      </c>
      <c r="E398" s="8274" t="s">
        <v>3209</v>
      </c>
      <c r="F398" s="8274" t="s">
        <v>2520</v>
      </c>
      <c r="G398" s="8274" t="s">
        <v>17</v>
      </c>
      <c r="H398" s="8274" t="s">
        <v>17</v>
      </c>
      <c r="I398" s="8274" t="s">
        <v>2311</v>
      </c>
      <c r="J398" s="0" t="s">
        <v>17</v>
      </c>
      <c r="K398" s="0" t="s">
        <v>2904</v>
      </c>
      <c r="L398" s="0" t="s">
        <v>2905</v>
      </c>
      <c r="M398" s="0" t="s">
        <v>2906</v>
      </c>
      <c r="N398" s="0" t="s">
        <v>463</v>
      </c>
    </row>
    <row customHeight="1" ht="11.25">
      <c r="A399" s="8274" t="s">
        <v>2233</v>
      </c>
      <c r="B399" s="8274" t="s">
        <v>14</v>
      </c>
      <c r="C399" s="8274" t="s">
        <v>3207</v>
      </c>
      <c r="D399" s="8274" t="s">
        <v>3208</v>
      </c>
      <c r="E399" s="8274" t="s">
        <v>3209</v>
      </c>
      <c r="F399" s="8274" t="s">
        <v>2520</v>
      </c>
      <c r="G399" s="8274" t="s">
        <v>17</v>
      </c>
      <c r="H399" s="8274" t="s">
        <v>17</v>
      </c>
      <c r="I399" s="8274" t="s">
        <v>3210</v>
      </c>
      <c r="J399" s="0" t="s">
        <v>17</v>
      </c>
      <c r="K399" s="0" t="s">
        <v>2904</v>
      </c>
      <c r="L399" s="0" t="s">
        <v>2913</v>
      </c>
      <c r="M399" s="0" t="s">
        <v>2914</v>
      </c>
      <c r="N399" s="0" t="s">
        <v>463</v>
      </c>
    </row>
    <row customHeight="1" ht="11.25">
      <c r="A400" s="8274" t="s">
        <v>2233</v>
      </c>
      <c r="B400" s="8274" t="s">
        <v>14</v>
      </c>
      <c r="C400" s="8274" t="s">
        <v>3211</v>
      </c>
      <c r="D400" s="8274" t="s">
        <v>3212</v>
      </c>
      <c r="E400" s="8274" t="s">
        <v>3213</v>
      </c>
      <c r="F400" s="8274" t="s">
        <v>2310</v>
      </c>
      <c r="G400" s="8274" t="s">
        <v>2274</v>
      </c>
      <c r="H400" s="8274" t="s">
        <v>17</v>
      </c>
      <c r="I400" s="8274" t="s">
        <v>3214</v>
      </c>
      <c r="J400" s="0" t="s">
        <v>17</v>
      </c>
      <c r="K400" s="0" t="s">
        <v>2904</v>
      </c>
      <c r="L400" s="0" t="s">
        <v>2930</v>
      </c>
      <c r="M400" s="0" t="s">
        <v>2931</v>
      </c>
      <c r="N400" s="0" t="s">
        <v>463</v>
      </c>
    </row>
    <row customHeight="1" ht="11.25">
      <c r="A401" s="8274" t="s">
        <v>2233</v>
      </c>
      <c r="B401" s="8274" t="s">
        <v>14</v>
      </c>
      <c r="C401" s="8274" t="s">
        <v>3215</v>
      </c>
      <c r="D401" s="8274" t="s">
        <v>3216</v>
      </c>
      <c r="E401" s="8274" t="s">
        <v>3217</v>
      </c>
      <c r="F401" s="8274" t="s">
        <v>2432</v>
      </c>
      <c r="G401" s="8274" t="s">
        <v>17</v>
      </c>
      <c r="H401" s="8274" t="s">
        <v>17</v>
      </c>
      <c r="I401" s="8274" t="s">
        <v>2311</v>
      </c>
      <c r="J401" s="0" t="s">
        <v>17</v>
      </c>
      <c r="K401" s="0" t="s">
        <v>2904</v>
      </c>
      <c r="L401" s="0" t="s">
        <v>2905</v>
      </c>
      <c r="M401" s="0" t="s">
        <v>2906</v>
      </c>
      <c r="N401" s="0" t="s">
        <v>463</v>
      </c>
    </row>
    <row customHeight="1" ht="11.25">
      <c r="A402" s="8274" t="s">
        <v>2233</v>
      </c>
      <c r="B402" s="8274" t="s">
        <v>14</v>
      </c>
      <c r="C402" s="8274" t="s">
        <v>2545</v>
      </c>
      <c r="D402" s="8274" t="s">
        <v>2546</v>
      </c>
      <c r="E402" s="8274" t="s">
        <v>2547</v>
      </c>
      <c r="F402" s="8274" t="s">
        <v>2548</v>
      </c>
      <c r="G402" s="8274" t="s">
        <v>17</v>
      </c>
      <c r="H402" s="8274" t="s">
        <v>17</v>
      </c>
      <c r="I402" s="8274" t="s">
        <v>2463</v>
      </c>
      <c r="J402" s="0" t="s">
        <v>17</v>
      </c>
      <c r="K402" s="0" t="s">
        <v>2904</v>
      </c>
      <c r="L402" s="0" t="s">
        <v>2905</v>
      </c>
      <c r="M402" s="0" t="s">
        <v>2906</v>
      </c>
      <c r="N402" s="0" t="s">
        <v>463</v>
      </c>
    </row>
    <row customHeight="1" ht="11.25">
      <c r="A403" s="8274" t="s">
        <v>2233</v>
      </c>
      <c r="B403" s="8274" t="s">
        <v>14</v>
      </c>
      <c r="C403" s="8274" t="s">
        <v>2549</v>
      </c>
      <c r="D403" s="8274" t="s">
        <v>2550</v>
      </c>
      <c r="E403" s="8274" t="s">
        <v>2551</v>
      </c>
      <c r="F403" s="8274" t="s">
        <v>2432</v>
      </c>
      <c r="G403" s="8274" t="s">
        <v>17</v>
      </c>
      <c r="H403" s="8274" t="s">
        <v>17</v>
      </c>
      <c r="I403" s="8274" t="s">
        <v>3218</v>
      </c>
      <c r="J403" s="0" t="s">
        <v>17</v>
      </c>
      <c r="K403" s="0" t="s">
        <v>2904</v>
      </c>
      <c r="L403" s="0" t="s">
        <v>2915</v>
      </c>
      <c r="M403" s="0" t="s">
        <v>2916</v>
      </c>
      <c r="N403" s="0" t="s">
        <v>463</v>
      </c>
    </row>
    <row customHeight="1" ht="11.25">
      <c r="A404" s="8274" t="s">
        <v>2233</v>
      </c>
      <c r="B404" s="8274" t="s">
        <v>14</v>
      </c>
      <c r="C404" s="8274" t="s">
        <v>2549</v>
      </c>
      <c r="D404" s="8274" t="s">
        <v>2550</v>
      </c>
      <c r="E404" s="8274" t="s">
        <v>2551</v>
      </c>
      <c r="F404" s="8274" t="s">
        <v>2432</v>
      </c>
      <c r="G404" s="8274" t="s">
        <v>17</v>
      </c>
      <c r="H404" s="8274" t="s">
        <v>17</v>
      </c>
      <c r="I404" s="8274" t="s">
        <v>3218</v>
      </c>
      <c r="J404" s="0" t="s">
        <v>17</v>
      </c>
      <c r="K404" s="0" t="s">
        <v>2917</v>
      </c>
      <c r="L404" s="0" t="s">
        <v>2915</v>
      </c>
      <c r="M404" s="0" t="s">
        <v>2916</v>
      </c>
      <c r="N404" s="0" t="s">
        <v>463</v>
      </c>
    </row>
    <row customHeight="1" ht="11.25">
      <c r="A405" s="8274" t="s">
        <v>2233</v>
      </c>
      <c r="B405" s="8274" t="s">
        <v>14</v>
      </c>
      <c r="C405" s="8274" t="s">
        <v>3219</v>
      </c>
      <c r="D405" s="8274" t="s">
        <v>3220</v>
      </c>
      <c r="E405" s="8274" t="s">
        <v>3221</v>
      </c>
      <c r="F405" s="8274" t="s">
        <v>51</v>
      </c>
      <c r="G405" s="8274" t="s">
        <v>17</v>
      </c>
      <c r="H405" s="8274" t="s">
        <v>17</v>
      </c>
      <c r="I405" s="8274" t="s">
        <v>3222</v>
      </c>
      <c r="J405" s="0" t="s">
        <v>17</v>
      </c>
      <c r="K405" s="0" t="s">
        <v>2904</v>
      </c>
      <c r="L405" s="0" t="s">
        <v>2905</v>
      </c>
      <c r="M405" s="0" t="s">
        <v>2906</v>
      </c>
      <c r="N405" s="0" t="s">
        <v>463</v>
      </c>
    </row>
    <row customHeight="1" ht="11.25">
      <c r="A406" s="8274" t="s">
        <v>2233</v>
      </c>
      <c r="B406" s="8274" t="s">
        <v>14</v>
      </c>
      <c r="C406" s="8274" t="s">
        <v>3223</v>
      </c>
      <c r="D406" s="8274" t="s">
        <v>3224</v>
      </c>
      <c r="E406" s="8274" t="s">
        <v>3225</v>
      </c>
      <c r="F406" s="8274" t="s">
        <v>2310</v>
      </c>
      <c r="G406" s="8274" t="s">
        <v>17</v>
      </c>
      <c r="H406" s="8274" t="s">
        <v>17</v>
      </c>
      <c r="I406" s="8274" t="s">
        <v>3226</v>
      </c>
      <c r="J406" s="0" t="s">
        <v>17</v>
      </c>
      <c r="K406" s="0" t="s">
        <v>2904</v>
      </c>
      <c r="L406" s="0" t="s">
        <v>2913</v>
      </c>
      <c r="M406" s="0" t="s">
        <v>2914</v>
      </c>
      <c r="N406" s="0" t="s">
        <v>463</v>
      </c>
    </row>
    <row customHeight="1" ht="11.25">
      <c r="A407" s="8274" t="s">
        <v>2233</v>
      </c>
      <c r="B407" s="8274" t="s">
        <v>14</v>
      </c>
      <c r="C407" s="8274" t="s">
        <v>3227</v>
      </c>
      <c r="D407" s="8274" t="s">
        <v>3228</v>
      </c>
      <c r="E407" s="8274" t="s">
        <v>3229</v>
      </c>
      <c r="F407" s="8274" t="s">
        <v>2310</v>
      </c>
      <c r="G407" s="8274" t="s">
        <v>17</v>
      </c>
      <c r="H407" s="8274" t="s">
        <v>17</v>
      </c>
      <c r="I407" s="8274" t="s">
        <v>2985</v>
      </c>
      <c r="J407" s="0" t="s">
        <v>17</v>
      </c>
      <c r="K407" s="0" t="s">
        <v>2904</v>
      </c>
      <c r="L407" s="0" t="s">
        <v>2919</v>
      </c>
      <c r="M407" s="0" t="s">
        <v>2920</v>
      </c>
      <c r="N407" s="0" t="s">
        <v>463</v>
      </c>
    </row>
    <row customHeight="1" ht="11.25">
      <c r="A408" s="8274" t="s">
        <v>2233</v>
      </c>
      <c r="B408" s="8274" t="s">
        <v>14</v>
      </c>
      <c r="C408" s="8274" t="s">
        <v>3227</v>
      </c>
      <c r="D408" s="8274" t="s">
        <v>3228</v>
      </c>
      <c r="E408" s="8274" t="s">
        <v>3229</v>
      </c>
      <c r="F408" s="8274" t="s">
        <v>2310</v>
      </c>
      <c r="G408" s="8274" t="s">
        <v>17</v>
      </c>
      <c r="H408" s="8274" t="s">
        <v>17</v>
      </c>
      <c r="I408" s="8274" t="s">
        <v>2985</v>
      </c>
      <c r="J408" s="0" t="s">
        <v>17</v>
      </c>
      <c r="K408" s="0" t="s">
        <v>2917</v>
      </c>
      <c r="L408" s="0" t="s">
        <v>2919</v>
      </c>
      <c r="M408" s="0" t="s">
        <v>2920</v>
      </c>
      <c r="N408" s="0" t="s">
        <v>463</v>
      </c>
    </row>
    <row customHeight="1" ht="11.25">
      <c r="A409" s="8274" t="s">
        <v>2233</v>
      </c>
      <c r="B409" s="8274" t="s">
        <v>14</v>
      </c>
      <c r="C409" s="8274" t="s">
        <v>3230</v>
      </c>
      <c r="D409" s="8274" t="s">
        <v>3231</v>
      </c>
      <c r="E409" s="8274" t="s">
        <v>3232</v>
      </c>
      <c r="F409" s="8274" t="s">
        <v>3202</v>
      </c>
      <c r="G409" s="8274" t="s">
        <v>3233</v>
      </c>
      <c r="H409" s="8274" t="s">
        <v>17</v>
      </c>
      <c r="I409" s="8274" t="s">
        <v>3233</v>
      </c>
      <c r="J409" s="0" t="s">
        <v>2681</v>
      </c>
      <c r="K409" s="0" t="s">
        <v>2904</v>
      </c>
      <c r="L409" s="0" t="s">
        <v>2905</v>
      </c>
      <c r="M409" s="0" t="s">
        <v>2906</v>
      </c>
      <c r="N409" s="0" t="s">
        <v>463</v>
      </c>
    </row>
    <row customHeight="1" ht="11.25">
      <c r="A410" s="8274" t="s">
        <v>2233</v>
      </c>
      <c r="B410" s="8274" t="s">
        <v>14</v>
      </c>
      <c r="C410" s="8274" t="s">
        <v>2564</v>
      </c>
      <c r="D410" s="8274" t="s">
        <v>2565</v>
      </c>
      <c r="E410" s="8274" t="s">
        <v>2566</v>
      </c>
      <c r="F410" s="8274" t="s">
        <v>2567</v>
      </c>
      <c r="G410" s="8274" t="s">
        <v>17</v>
      </c>
      <c r="H410" s="8274" t="s">
        <v>17</v>
      </c>
      <c r="I410" s="8274" t="s">
        <v>3234</v>
      </c>
      <c r="J410" s="0" t="s">
        <v>17</v>
      </c>
      <c r="K410" s="0" t="s">
        <v>2904</v>
      </c>
      <c r="L410" s="0" t="s">
        <v>2919</v>
      </c>
      <c r="M410" s="0" t="s">
        <v>2920</v>
      </c>
      <c r="N410" s="0" t="s">
        <v>463</v>
      </c>
    </row>
    <row customHeight="1" ht="11.25">
      <c r="A411" s="8274" t="s">
        <v>2233</v>
      </c>
      <c r="B411" s="8274" t="s">
        <v>14</v>
      </c>
      <c r="C411" s="8274" t="s">
        <v>2564</v>
      </c>
      <c r="D411" s="8274" t="s">
        <v>2565</v>
      </c>
      <c r="E411" s="8274" t="s">
        <v>2566</v>
      </c>
      <c r="F411" s="8274" t="s">
        <v>2567</v>
      </c>
      <c r="G411" s="8274" t="s">
        <v>17</v>
      </c>
      <c r="H411" s="8274" t="s">
        <v>17</v>
      </c>
      <c r="I411" s="8274" t="s">
        <v>3234</v>
      </c>
      <c r="J411" s="0" t="s">
        <v>17</v>
      </c>
      <c r="K411" s="0" t="s">
        <v>2917</v>
      </c>
      <c r="L411" s="0" t="s">
        <v>2919</v>
      </c>
      <c r="M411" s="0" t="s">
        <v>2920</v>
      </c>
      <c r="N411" s="0" t="s">
        <v>463</v>
      </c>
    </row>
    <row customHeight="1" ht="11.25">
      <c r="A412" s="8274" t="s">
        <v>2233</v>
      </c>
      <c r="B412" s="8274" t="s">
        <v>14</v>
      </c>
      <c r="C412" s="8274" t="s">
        <v>3235</v>
      </c>
      <c r="D412" s="8274" t="s">
        <v>3236</v>
      </c>
      <c r="E412" s="8274" t="s">
        <v>3237</v>
      </c>
      <c r="F412" s="8274" t="s">
        <v>3238</v>
      </c>
      <c r="G412" s="8274" t="s">
        <v>17</v>
      </c>
      <c r="H412" s="8274" t="s">
        <v>17</v>
      </c>
      <c r="I412" s="8274" t="s">
        <v>3239</v>
      </c>
      <c r="J412" s="0" t="s">
        <v>17</v>
      </c>
      <c r="K412" s="0" t="s">
        <v>2904</v>
      </c>
      <c r="L412" s="0" t="s">
        <v>2905</v>
      </c>
      <c r="M412" s="0" t="s">
        <v>2906</v>
      </c>
      <c r="N412" s="0" t="s">
        <v>463</v>
      </c>
    </row>
    <row customHeight="1" ht="11.25">
      <c r="A413" s="8274" t="s">
        <v>2233</v>
      </c>
      <c r="B413" s="8274" t="s">
        <v>14</v>
      </c>
      <c r="C413" s="8274" t="s">
        <v>2569</v>
      </c>
      <c r="D413" s="8274" t="s">
        <v>2570</v>
      </c>
      <c r="E413" s="8274" t="s">
        <v>2571</v>
      </c>
      <c r="F413" s="8274" t="s">
        <v>2237</v>
      </c>
      <c r="G413" s="8274" t="s">
        <v>17</v>
      </c>
      <c r="H413" s="8274" t="s">
        <v>17</v>
      </c>
      <c r="I413" s="8274" t="s">
        <v>3240</v>
      </c>
      <c r="J413" s="0" t="s">
        <v>17</v>
      </c>
      <c r="K413" s="0" t="s">
        <v>2904</v>
      </c>
      <c r="L413" s="0" t="s">
        <v>2930</v>
      </c>
      <c r="M413" s="0" t="s">
        <v>2931</v>
      </c>
      <c r="N413" s="0" t="s">
        <v>463</v>
      </c>
    </row>
    <row customHeight="1" ht="11.25">
      <c r="A414" s="8274" t="s">
        <v>2233</v>
      </c>
      <c r="B414" s="8274" t="s">
        <v>14</v>
      </c>
      <c r="C414" s="8274" t="s">
        <v>3241</v>
      </c>
      <c r="D414" s="8274" t="s">
        <v>3242</v>
      </c>
      <c r="E414" s="8274" t="s">
        <v>3243</v>
      </c>
      <c r="F414" s="8274" t="s">
        <v>2482</v>
      </c>
      <c r="G414" s="8274" t="s">
        <v>17</v>
      </c>
      <c r="H414" s="8274" t="s">
        <v>17</v>
      </c>
      <c r="I414" s="8274" t="s">
        <v>3011</v>
      </c>
      <c r="J414" s="0" t="s">
        <v>17</v>
      </c>
      <c r="K414" s="0" t="s">
        <v>2904</v>
      </c>
      <c r="L414" s="0" t="s">
        <v>2905</v>
      </c>
      <c r="M414" s="0" t="s">
        <v>2906</v>
      </c>
      <c r="N414" s="0" t="s">
        <v>463</v>
      </c>
    </row>
    <row customHeight="1" ht="11.25">
      <c r="A415" s="8274" t="s">
        <v>2233</v>
      </c>
      <c r="B415" s="8274" t="s">
        <v>14</v>
      </c>
      <c r="C415" s="8274" t="s">
        <v>3244</v>
      </c>
      <c r="D415" s="8274" t="s">
        <v>3245</v>
      </c>
      <c r="E415" s="8274" t="s">
        <v>3246</v>
      </c>
      <c r="F415" s="8274" t="s">
        <v>2369</v>
      </c>
      <c r="G415" s="8274" t="s">
        <v>17</v>
      </c>
      <c r="H415" s="8274" t="s">
        <v>17</v>
      </c>
      <c r="I415" s="8274" t="s">
        <v>3247</v>
      </c>
      <c r="J415" s="0" t="s">
        <v>3248</v>
      </c>
      <c r="K415" s="0" t="s">
        <v>2904</v>
      </c>
      <c r="L415" s="0" t="s">
        <v>2975</v>
      </c>
      <c r="M415" s="0" t="s">
        <v>3249</v>
      </c>
      <c r="N415" s="0" t="s">
        <v>463</v>
      </c>
    </row>
    <row customHeight="1" ht="11.25">
      <c r="A416" s="8274" t="s">
        <v>2233</v>
      </c>
      <c r="B416" s="8274" t="s">
        <v>14</v>
      </c>
      <c r="C416" s="8274" t="s">
        <v>3244</v>
      </c>
      <c r="D416" s="8274" t="s">
        <v>3245</v>
      </c>
      <c r="E416" s="8274" t="s">
        <v>3246</v>
      </c>
      <c r="F416" s="8274" t="s">
        <v>2369</v>
      </c>
      <c r="G416" s="8274" t="s">
        <v>17</v>
      </c>
      <c r="H416" s="8274" t="s">
        <v>17</v>
      </c>
      <c r="I416" s="8274" t="s">
        <v>3247</v>
      </c>
      <c r="J416" s="0" t="s">
        <v>3248</v>
      </c>
      <c r="K416" s="0" t="s">
        <v>2917</v>
      </c>
      <c r="L416" s="0" t="s">
        <v>2975</v>
      </c>
      <c r="M416" s="0" t="s">
        <v>3249</v>
      </c>
      <c r="N416" s="0" t="s">
        <v>463</v>
      </c>
    </row>
    <row customHeight="1" ht="11.25">
      <c r="A417" s="8274" t="s">
        <v>2233</v>
      </c>
      <c r="B417" s="8274" t="s">
        <v>14</v>
      </c>
      <c r="C417" s="8274" t="s">
        <v>3244</v>
      </c>
      <c r="D417" s="8274" t="s">
        <v>3245</v>
      </c>
      <c r="E417" s="8274" t="s">
        <v>3246</v>
      </c>
      <c r="F417" s="8274" t="s">
        <v>2369</v>
      </c>
      <c r="G417" s="8274" t="s">
        <v>17</v>
      </c>
      <c r="H417" s="8274" t="s">
        <v>17</v>
      </c>
      <c r="I417" s="8274" t="s">
        <v>3250</v>
      </c>
      <c r="J417" s="0" t="s">
        <v>17</v>
      </c>
      <c r="K417" s="0" t="s">
        <v>2904</v>
      </c>
      <c r="L417" s="0" t="s">
        <v>2975</v>
      </c>
      <c r="M417" s="0" t="s">
        <v>3249</v>
      </c>
      <c r="N417" s="0" t="s">
        <v>463</v>
      </c>
    </row>
    <row customHeight="1" ht="11.25">
      <c r="A418" s="8274" t="s">
        <v>2233</v>
      </c>
      <c r="B418" s="8274" t="s">
        <v>14</v>
      </c>
      <c r="C418" s="8274" t="s">
        <v>3244</v>
      </c>
      <c r="D418" s="8274" t="s">
        <v>3245</v>
      </c>
      <c r="E418" s="8274" t="s">
        <v>3246</v>
      </c>
      <c r="F418" s="8274" t="s">
        <v>2369</v>
      </c>
      <c r="G418" s="8274" t="s">
        <v>17</v>
      </c>
      <c r="H418" s="8274" t="s">
        <v>17</v>
      </c>
      <c r="I418" s="8274" t="s">
        <v>3250</v>
      </c>
      <c r="J418" s="0" t="s">
        <v>17</v>
      </c>
      <c r="K418" s="0" t="s">
        <v>2917</v>
      </c>
      <c r="L418" s="0" t="s">
        <v>2975</v>
      </c>
      <c r="M418" s="0" t="s">
        <v>3249</v>
      </c>
      <c r="N418" s="0" t="s">
        <v>463</v>
      </c>
    </row>
    <row customHeight="1" ht="11.25">
      <c r="A419" s="8274" t="s">
        <v>2233</v>
      </c>
      <c r="B419" s="8274" t="s">
        <v>14</v>
      </c>
      <c r="C419" s="8274" t="s">
        <v>3251</v>
      </c>
      <c r="D419" s="8274" t="s">
        <v>3252</v>
      </c>
      <c r="E419" s="8274" t="s">
        <v>3253</v>
      </c>
      <c r="F419" s="8274" t="s">
        <v>2310</v>
      </c>
      <c r="G419" s="8274" t="s">
        <v>17</v>
      </c>
      <c r="H419" s="8274" t="s">
        <v>17</v>
      </c>
      <c r="I419" s="8274" t="s">
        <v>2474</v>
      </c>
      <c r="J419" s="0" t="s">
        <v>17</v>
      </c>
      <c r="K419" s="0" t="s">
        <v>2904</v>
      </c>
      <c r="L419" s="0" t="s">
        <v>2905</v>
      </c>
      <c r="M419" s="0" t="s">
        <v>2906</v>
      </c>
      <c r="N419" s="0" t="s">
        <v>463</v>
      </c>
    </row>
    <row customHeight="1" ht="11.25">
      <c r="A420" s="8274" t="s">
        <v>2233</v>
      </c>
      <c r="B420" s="8274" t="s">
        <v>14</v>
      </c>
      <c r="C420" s="8274" t="s">
        <v>3254</v>
      </c>
      <c r="D420" s="8274" t="s">
        <v>3255</v>
      </c>
      <c r="E420" s="8274" t="s">
        <v>3256</v>
      </c>
      <c r="F420" s="8274" t="s">
        <v>2273</v>
      </c>
      <c r="G420" s="8274" t="s">
        <v>17</v>
      </c>
      <c r="H420" s="8274" t="s">
        <v>17</v>
      </c>
      <c r="I420" s="8274" t="s">
        <v>3257</v>
      </c>
      <c r="J420" s="0" t="s">
        <v>17</v>
      </c>
      <c r="K420" s="0" t="s">
        <v>2917</v>
      </c>
      <c r="L420" s="0" t="s">
        <v>2955</v>
      </c>
      <c r="M420" s="0" t="s">
        <v>2956</v>
      </c>
      <c r="N420" s="0" t="s">
        <v>463</v>
      </c>
    </row>
    <row customHeight="1" ht="11.25">
      <c r="A421" s="8274" t="s">
        <v>2233</v>
      </c>
      <c r="B421" s="8274" t="s">
        <v>14</v>
      </c>
      <c r="C421" s="8274" t="s">
        <v>3258</v>
      </c>
      <c r="D421" s="8274" t="s">
        <v>3259</v>
      </c>
      <c r="E421" s="8274" t="s">
        <v>3260</v>
      </c>
      <c r="F421" s="8274" t="s">
        <v>2358</v>
      </c>
      <c r="G421" s="8274" t="s">
        <v>3261</v>
      </c>
      <c r="H421" s="8274" t="s">
        <v>17</v>
      </c>
      <c r="I421" s="8274" t="s">
        <v>3262</v>
      </c>
      <c r="J421" s="0" t="s">
        <v>17</v>
      </c>
      <c r="K421" s="0" t="s">
        <v>2917</v>
      </c>
      <c r="L421" s="0" t="s">
        <v>2913</v>
      </c>
      <c r="M421" s="0" t="s">
        <v>2926</v>
      </c>
      <c r="N421" s="0" t="s">
        <v>463</v>
      </c>
    </row>
    <row customHeight="1" ht="11.25">
      <c r="A422" s="8274" t="s">
        <v>2233</v>
      </c>
      <c r="B422" s="8274" t="s">
        <v>14</v>
      </c>
      <c r="C422" s="8274" t="s">
        <v>3263</v>
      </c>
      <c r="D422" s="8274" t="s">
        <v>3264</v>
      </c>
      <c r="E422" s="8274" t="s">
        <v>3265</v>
      </c>
      <c r="F422" s="8274" t="s">
        <v>2310</v>
      </c>
      <c r="G422" s="8274" t="s">
        <v>17</v>
      </c>
      <c r="H422" s="8274" t="s">
        <v>17</v>
      </c>
      <c r="I422" s="8274" t="s">
        <v>3266</v>
      </c>
      <c r="J422" s="0" t="s">
        <v>17</v>
      </c>
      <c r="K422" s="0" t="s">
        <v>2904</v>
      </c>
      <c r="L422" s="0" t="s">
        <v>2946</v>
      </c>
      <c r="M422" s="0" t="s">
        <v>2947</v>
      </c>
      <c r="N422" s="0" t="s">
        <v>463</v>
      </c>
    </row>
    <row customHeight="1" ht="11.25">
      <c r="A423" s="8274" t="s">
        <v>2233</v>
      </c>
      <c r="B423" s="8274" t="s">
        <v>14</v>
      </c>
      <c r="C423" s="8274" t="s">
        <v>3267</v>
      </c>
      <c r="D423" s="8274" t="s">
        <v>3268</v>
      </c>
      <c r="E423" s="8274" t="s">
        <v>3269</v>
      </c>
      <c r="F423" s="8274" t="s">
        <v>2285</v>
      </c>
      <c r="G423" s="8274" t="s">
        <v>17</v>
      </c>
      <c r="H423" s="8274" t="s">
        <v>17</v>
      </c>
      <c r="I423" s="8274" t="s">
        <v>2980</v>
      </c>
      <c r="J423" s="0" t="s">
        <v>17</v>
      </c>
      <c r="K423" s="0" t="s">
        <v>2904</v>
      </c>
      <c r="L423" s="0" t="s">
        <v>3270</v>
      </c>
      <c r="M423" s="0" t="s">
        <v>3271</v>
      </c>
      <c r="N423" s="0" t="s">
        <v>463</v>
      </c>
    </row>
    <row customHeight="1" ht="11.25">
      <c r="A424" s="8274" t="s">
        <v>2233</v>
      </c>
      <c r="B424" s="8274" t="s">
        <v>14</v>
      </c>
      <c r="C424" s="8274" t="s">
        <v>3267</v>
      </c>
      <c r="D424" s="8274" t="s">
        <v>3268</v>
      </c>
      <c r="E424" s="8274" t="s">
        <v>3269</v>
      </c>
      <c r="F424" s="8274" t="s">
        <v>2285</v>
      </c>
      <c r="G424" s="8274" t="s">
        <v>17</v>
      </c>
      <c r="H424" s="8274" t="s">
        <v>17</v>
      </c>
      <c r="I424" s="8274" t="s">
        <v>2980</v>
      </c>
      <c r="J424" s="0" t="s">
        <v>17</v>
      </c>
      <c r="K424" s="0" t="s">
        <v>2917</v>
      </c>
      <c r="L424" s="0" t="s">
        <v>3270</v>
      </c>
      <c r="M424" s="0" t="s">
        <v>3271</v>
      </c>
      <c r="N424" s="0" t="s">
        <v>463</v>
      </c>
    </row>
    <row customHeight="1" ht="11.25">
      <c r="A425" s="8274" t="s">
        <v>2233</v>
      </c>
      <c r="B425" s="8274" t="s">
        <v>14</v>
      </c>
      <c r="C425" s="8274" t="s">
        <v>3272</v>
      </c>
      <c r="D425" s="8274" t="s">
        <v>3273</v>
      </c>
      <c r="E425" s="8274" t="s">
        <v>3274</v>
      </c>
      <c r="F425" s="8274" t="s">
        <v>2379</v>
      </c>
      <c r="G425" s="8274" t="s">
        <v>3275</v>
      </c>
      <c r="H425" s="8274" t="s">
        <v>17</v>
      </c>
      <c r="I425" s="8274" t="s">
        <v>3276</v>
      </c>
      <c r="J425" s="0" t="s">
        <v>17</v>
      </c>
      <c r="K425" s="0" t="s">
        <v>2904</v>
      </c>
      <c r="L425" s="0" t="s">
        <v>2915</v>
      </c>
      <c r="M425" s="0" t="s">
        <v>2916</v>
      </c>
      <c r="N425" s="0" t="s">
        <v>463</v>
      </c>
    </row>
    <row customHeight="1" ht="11.25">
      <c r="A426" s="8274" t="s">
        <v>2233</v>
      </c>
      <c r="B426" s="8274" t="s">
        <v>14</v>
      </c>
      <c r="C426" s="8274" t="s">
        <v>3272</v>
      </c>
      <c r="D426" s="8274" t="s">
        <v>3273</v>
      </c>
      <c r="E426" s="8274" t="s">
        <v>3274</v>
      </c>
      <c r="F426" s="8274" t="s">
        <v>2379</v>
      </c>
      <c r="G426" s="8274" t="s">
        <v>3275</v>
      </c>
      <c r="H426" s="8274" t="s">
        <v>17</v>
      </c>
      <c r="I426" s="8274" t="s">
        <v>3276</v>
      </c>
      <c r="J426" s="0" t="s">
        <v>17</v>
      </c>
      <c r="K426" s="0" t="s">
        <v>2917</v>
      </c>
      <c r="L426" s="0" t="s">
        <v>2915</v>
      </c>
      <c r="M426" s="0" t="s">
        <v>2916</v>
      </c>
      <c r="N426" s="0" t="s">
        <v>463</v>
      </c>
    </row>
    <row customHeight="1" ht="11.25">
      <c r="A427" s="8274" t="s">
        <v>2233</v>
      </c>
      <c r="B427" s="8274" t="s">
        <v>14</v>
      </c>
      <c r="C427" s="8274" t="s">
        <v>3277</v>
      </c>
      <c r="D427" s="8274" t="s">
        <v>3278</v>
      </c>
      <c r="E427" s="8274" t="s">
        <v>3279</v>
      </c>
      <c r="F427" s="8274" t="s">
        <v>2333</v>
      </c>
      <c r="G427" s="8274" t="s">
        <v>3280</v>
      </c>
      <c r="H427" s="8274" t="s">
        <v>17</v>
      </c>
      <c r="I427" s="8274" t="s">
        <v>3280</v>
      </c>
      <c r="J427" s="0" t="s">
        <v>17</v>
      </c>
      <c r="K427" s="0" t="s">
        <v>2904</v>
      </c>
      <c r="L427" s="0" t="s">
        <v>2905</v>
      </c>
      <c r="M427" s="0" t="s">
        <v>2906</v>
      </c>
      <c r="N427" s="0" t="s">
        <v>463</v>
      </c>
    </row>
    <row customHeight="1" ht="11.25">
      <c r="A428" s="8274" t="s">
        <v>2233</v>
      </c>
      <c r="B428" s="8274" t="s">
        <v>14</v>
      </c>
      <c r="C428" s="8274" t="s">
        <v>2604</v>
      </c>
      <c r="D428" s="8274" t="s">
        <v>2605</v>
      </c>
      <c r="E428" s="8274" t="s">
        <v>2606</v>
      </c>
      <c r="F428" s="8274" t="s">
        <v>2379</v>
      </c>
      <c r="G428" s="8274" t="s">
        <v>17</v>
      </c>
      <c r="H428" s="8274" t="s">
        <v>17</v>
      </c>
      <c r="I428" s="8274" t="s">
        <v>2607</v>
      </c>
      <c r="J428" s="0" t="s">
        <v>17</v>
      </c>
      <c r="K428" s="0" t="s">
        <v>2904</v>
      </c>
      <c r="L428" s="0" t="s">
        <v>2905</v>
      </c>
      <c r="M428" s="0" t="s">
        <v>2906</v>
      </c>
      <c r="N428" s="0" t="s">
        <v>463</v>
      </c>
    </row>
    <row customHeight="1" ht="11.25">
      <c r="A429" s="8274" t="s">
        <v>2233</v>
      </c>
      <c r="B429" s="8274" t="s">
        <v>14</v>
      </c>
      <c r="C429" s="8274" t="s">
        <v>3281</v>
      </c>
      <c r="D429" s="8274" t="s">
        <v>3282</v>
      </c>
      <c r="E429" s="8274" t="s">
        <v>3283</v>
      </c>
      <c r="F429" s="8274" t="s">
        <v>2310</v>
      </c>
      <c r="G429" s="8274" t="s">
        <v>17</v>
      </c>
      <c r="H429" s="8274" t="s">
        <v>17</v>
      </c>
      <c r="I429" s="8274" t="s">
        <v>2474</v>
      </c>
      <c r="J429" s="0" t="s">
        <v>17</v>
      </c>
      <c r="K429" s="0" t="s">
        <v>2904</v>
      </c>
      <c r="L429" s="0" t="s">
        <v>2905</v>
      </c>
      <c r="M429" s="0" t="s">
        <v>2906</v>
      </c>
      <c r="N429" s="0" t="s">
        <v>463</v>
      </c>
    </row>
    <row customHeight="1" ht="11.25">
      <c r="A430" s="8274" t="s">
        <v>2233</v>
      </c>
      <c r="B430" s="8274" t="s">
        <v>14</v>
      </c>
      <c r="C430" s="8274" t="s">
        <v>3284</v>
      </c>
      <c r="D430" s="8274" t="s">
        <v>3285</v>
      </c>
      <c r="E430" s="8274" t="s">
        <v>3286</v>
      </c>
      <c r="F430" s="8274" t="s">
        <v>2531</v>
      </c>
      <c r="G430" s="8274" t="s">
        <v>3287</v>
      </c>
      <c r="H430" s="8274" t="s">
        <v>17</v>
      </c>
      <c r="I430" s="8274" t="s">
        <v>3287</v>
      </c>
      <c r="J430" s="0" t="s">
        <v>17</v>
      </c>
      <c r="K430" s="0" t="s">
        <v>2904</v>
      </c>
      <c r="L430" s="0" t="s">
        <v>2905</v>
      </c>
      <c r="M430" s="0" t="s">
        <v>2906</v>
      </c>
      <c r="N430" s="0" t="s">
        <v>463</v>
      </c>
    </row>
    <row customHeight="1" ht="11.25">
      <c r="A431" s="8274" t="s">
        <v>2233</v>
      </c>
      <c r="B431" s="8274" t="s">
        <v>14</v>
      </c>
      <c r="C431" s="8274" t="s">
        <v>3284</v>
      </c>
      <c r="D431" s="8274" t="s">
        <v>3285</v>
      </c>
      <c r="E431" s="8274" t="s">
        <v>3286</v>
      </c>
      <c r="F431" s="8274" t="s">
        <v>2531</v>
      </c>
      <c r="G431" s="8274" t="s">
        <v>3287</v>
      </c>
      <c r="H431" s="8274" t="s">
        <v>17</v>
      </c>
      <c r="I431" s="8274" t="s">
        <v>2453</v>
      </c>
      <c r="J431" s="0" t="s">
        <v>17</v>
      </c>
      <c r="K431" s="0" t="s">
        <v>2904</v>
      </c>
      <c r="L431" s="0" t="s">
        <v>2905</v>
      </c>
      <c r="M431" s="0" t="s">
        <v>2906</v>
      </c>
      <c r="N431" s="0" t="s">
        <v>463</v>
      </c>
    </row>
    <row customHeight="1" ht="11.25">
      <c r="A432" s="8274" t="s">
        <v>2233</v>
      </c>
      <c r="B432" s="8274" t="s">
        <v>14</v>
      </c>
      <c r="C432" s="8274" t="s">
        <v>3288</v>
      </c>
      <c r="D432" s="8274" t="s">
        <v>3289</v>
      </c>
      <c r="E432" s="8274" t="s">
        <v>3290</v>
      </c>
      <c r="F432" s="8274" t="s">
        <v>2575</v>
      </c>
      <c r="G432" s="8274" t="s">
        <v>3291</v>
      </c>
      <c r="H432" s="8274" t="s">
        <v>17</v>
      </c>
      <c r="I432" s="8274" t="s">
        <v>3291</v>
      </c>
      <c r="J432" s="0" t="s">
        <v>17</v>
      </c>
      <c r="K432" s="0" t="s">
        <v>2904</v>
      </c>
      <c r="L432" s="0" t="s">
        <v>2905</v>
      </c>
      <c r="M432" s="0" t="s">
        <v>2906</v>
      </c>
      <c r="N432" s="0" t="s">
        <v>463</v>
      </c>
    </row>
    <row customHeight="1" ht="11.25">
      <c r="A433" s="8274" t="s">
        <v>2233</v>
      </c>
      <c r="B433" s="8274" t="s">
        <v>14</v>
      </c>
      <c r="C433" s="8274" t="s">
        <v>3292</v>
      </c>
      <c r="D433" s="8274" t="s">
        <v>3293</v>
      </c>
      <c r="E433" s="8274" t="s">
        <v>3294</v>
      </c>
      <c r="F433" s="8274" t="s">
        <v>2310</v>
      </c>
      <c r="G433" s="8274" t="s">
        <v>2274</v>
      </c>
      <c r="H433" s="8274" t="s">
        <v>17</v>
      </c>
      <c r="I433" s="8274" t="s">
        <v>3295</v>
      </c>
      <c r="J433" s="0" t="s">
        <v>17</v>
      </c>
      <c r="K433" s="0" t="s">
        <v>2904</v>
      </c>
      <c r="L433" s="0" t="s">
        <v>2913</v>
      </c>
      <c r="M433" s="0" t="s">
        <v>2914</v>
      </c>
      <c r="N433" s="0" t="s">
        <v>463</v>
      </c>
    </row>
    <row customHeight="1" ht="11.25">
      <c r="A434" s="8274" t="s">
        <v>2233</v>
      </c>
      <c r="B434" s="8274" t="s">
        <v>14</v>
      </c>
      <c r="C434" s="8274" t="s">
        <v>2636</v>
      </c>
      <c r="D434" s="8274" t="s">
        <v>2637</v>
      </c>
      <c r="E434" s="8274" t="s">
        <v>2638</v>
      </c>
      <c r="F434" s="8274" t="s">
        <v>2379</v>
      </c>
      <c r="G434" s="8274" t="s">
        <v>17</v>
      </c>
      <c r="H434" s="8274" t="s">
        <v>17</v>
      </c>
      <c r="I434" s="8274" t="s">
        <v>3296</v>
      </c>
      <c r="J434" s="0" t="s">
        <v>17</v>
      </c>
      <c r="K434" s="0" t="s">
        <v>2917</v>
      </c>
      <c r="L434" s="0" t="s">
        <v>2913</v>
      </c>
      <c r="M434" s="0" t="s">
        <v>2926</v>
      </c>
      <c r="N434" s="0" t="s">
        <v>463</v>
      </c>
    </row>
    <row customHeight="1" ht="11.25">
      <c r="A435" s="8274" t="s">
        <v>2233</v>
      </c>
      <c r="B435" s="8274" t="s">
        <v>14</v>
      </c>
      <c r="C435" s="8274" t="s">
        <v>3297</v>
      </c>
      <c r="D435" s="8274" t="s">
        <v>3298</v>
      </c>
      <c r="E435" s="8274" t="s">
        <v>3299</v>
      </c>
      <c r="F435" s="8274" t="s">
        <v>2322</v>
      </c>
      <c r="G435" s="8274" t="s">
        <v>2658</v>
      </c>
      <c r="H435" s="8274" t="s">
        <v>17</v>
      </c>
      <c r="I435" s="8274" t="s">
        <v>3109</v>
      </c>
      <c r="J435" s="0" t="s">
        <v>17</v>
      </c>
      <c r="K435" s="0" t="s">
        <v>2917</v>
      </c>
      <c r="L435" s="0" t="s">
        <v>2913</v>
      </c>
      <c r="M435" s="0" t="s">
        <v>2926</v>
      </c>
      <c r="N435" s="0" t="s">
        <v>463</v>
      </c>
    </row>
    <row customHeight="1" ht="11.25">
      <c r="A436" s="8274" t="s">
        <v>2233</v>
      </c>
      <c r="B436" s="8274" t="s">
        <v>14</v>
      </c>
      <c r="C436" s="8274" t="s">
        <v>2660</v>
      </c>
      <c r="D436" s="8274" t="s">
        <v>2661</v>
      </c>
      <c r="E436" s="8274" t="s">
        <v>2662</v>
      </c>
      <c r="F436" s="8274" t="s">
        <v>2322</v>
      </c>
      <c r="G436" s="8274" t="s">
        <v>17</v>
      </c>
      <c r="H436" s="8274" t="s">
        <v>17</v>
      </c>
      <c r="I436" s="8274" t="s">
        <v>3300</v>
      </c>
      <c r="J436" s="0" t="s">
        <v>17</v>
      </c>
      <c r="K436" s="0" t="s">
        <v>2904</v>
      </c>
      <c r="L436" s="0" t="s">
        <v>2913</v>
      </c>
      <c r="M436" s="0" t="s">
        <v>2939</v>
      </c>
      <c r="N436" s="0" t="s">
        <v>463</v>
      </c>
    </row>
    <row customHeight="1" ht="11.25">
      <c r="A437" s="8274" t="s">
        <v>2233</v>
      </c>
      <c r="B437" s="8274" t="s">
        <v>14</v>
      </c>
      <c r="C437" s="8274" t="s">
        <v>2660</v>
      </c>
      <c r="D437" s="8274" t="s">
        <v>2661</v>
      </c>
      <c r="E437" s="8274" t="s">
        <v>2662</v>
      </c>
      <c r="F437" s="8274" t="s">
        <v>2322</v>
      </c>
      <c r="G437" s="8274" t="s">
        <v>17</v>
      </c>
      <c r="H437" s="8274" t="s">
        <v>17</v>
      </c>
      <c r="I437" s="8274" t="s">
        <v>3301</v>
      </c>
      <c r="J437" s="0" t="s">
        <v>17</v>
      </c>
      <c r="K437" s="0" t="s">
        <v>2917</v>
      </c>
      <c r="L437" s="0" t="s">
        <v>2913</v>
      </c>
      <c r="M437" s="0" t="s">
        <v>2926</v>
      </c>
      <c r="N437" s="0" t="s">
        <v>463</v>
      </c>
    </row>
    <row customHeight="1" ht="11.25">
      <c r="A438" s="8274" t="s">
        <v>2233</v>
      </c>
      <c r="B438" s="8274" t="s">
        <v>14</v>
      </c>
      <c r="C438" s="8274" t="s">
        <v>2660</v>
      </c>
      <c r="D438" s="8274" t="s">
        <v>2661</v>
      </c>
      <c r="E438" s="8274" t="s">
        <v>2662</v>
      </c>
      <c r="F438" s="8274" t="s">
        <v>2322</v>
      </c>
      <c r="G438" s="8274" t="s">
        <v>17</v>
      </c>
      <c r="H438" s="8274" t="s">
        <v>17</v>
      </c>
      <c r="I438" s="8274" t="s">
        <v>3302</v>
      </c>
      <c r="J438" s="0" t="s">
        <v>17</v>
      </c>
      <c r="K438" s="0" t="s">
        <v>2904</v>
      </c>
      <c r="L438" s="0" t="s">
        <v>2930</v>
      </c>
      <c r="M438" s="0" t="s">
        <v>3303</v>
      </c>
      <c r="N438" s="0" t="s">
        <v>463</v>
      </c>
    </row>
    <row customHeight="1" ht="11.25">
      <c r="A439" s="8274" t="s">
        <v>2233</v>
      </c>
      <c r="B439" s="8274" t="s">
        <v>14</v>
      </c>
      <c r="C439" s="8274" t="s">
        <v>2660</v>
      </c>
      <c r="D439" s="8274" t="s">
        <v>2661</v>
      </c>
      <c r="E439" s="8274" t="s">
        <v>2662</v>
      </c>
      <c r="F439" s="8274" t="s">
        <v>2322</v>
      </c>
      <c r="G439" s="8274" t="s">
        <v>17</v>
      </c>
      <c r="H439" s="8274" t="s">
        <v>17</v>
      </c>
      <c r="I439" s="8274" t="s">
        <v>3302</v>
      </c>
      <c r="J439" s="0" t="s">
        <v>17</v>
      </c>
      <c r="K439" s="0" t="s">
        <v>2917</v>
      </c>
      <c r="L439" s="0" t="s">
        <v>2930</v>
      </c>
      <c r="M439" s="0" t="s">
        <v>3303</v>
      </c>
      <c r="N439" s="0" t="s">
        <v>463</v>
      </c>
    </row>
    <row customHeight="1" ht="11.25">
      <c r="A440" s="8274" t="s">
        <v>2233</v>
      </c>
      <c r="B440" s="8274" t="s">
        <v>14</v>
      </c>
      <c r="C440" s="8274" t="s">
        <v>2660</v>
      </c>
      <c r="D440" s="8274" t="s">
        <v>2661</v>
      </c>
      <c r="E440" s="8274" t="s">
        <v>2662</v>
      </c>
      <c r="F440" s="8274" t="s">
        <v>2322</v>
      </c>
      <c r="G440" s="8274" t="s">
        <v>17</v>
      </c>
      <c r="H440" s="8274" t="s">
        <v>17</v>
      </c>
      <c r="I440" s="8274" t="s">
        <v>3302</v>
      </c>
      <c r="J440" s="0" t="s">
        <v>17</v>
      </c>
      <c r="K440" s="0" t="s">
        <v>2904</v>
      </c>
      <c r="L440" s="0" t="s">
        <v>2915</v>
      </c>
      <c r="M440" s="0" t="s">
        <v>2916</v>
      </c>
      <c r="N440" s="0" t="s">
        <v>463</v>
      </c>
    </row>
    <row customHeight="1" ht="11.25">
      <c r="A441" s="8274" t="s">
        <v>2233</v>
      </c>
      <c r="B441" s="8274" t="s">
        <v>14</v>
      </c>
      <c r="C441" s="8274" t="s">
        <v>2660</v>
      </c>
      <c r="D441" s="8274" t="s">
        <v>2661</v>
      </c>
      <c r="E441" s="8274" t="s">
        <v>2662</v>
      </c>
      <c r="F441" s="8274" t="s">
        <v>2322</v>
      </c>
      <c r="G441" s="8274" t="s">
        <v>17</v>
      </c>
      <c r="H441" s="8274" t="s">
        <v>17</v>
      </c>
      <c r="I441" s="8274" t="s">
        <v>3302</v>
      </c>
      <c r="J441" s="0" t="s">
        <v>17</v>
      </c>
      <c r="K441" s="0" t="s">
        <v>2917</v>
      </c>
      <c r="L441" s="0" t="s">
        <v>2915</v>
      </c>
      <c r="M441" s="0" t="s">
        <v>2916</v>
      </c>
      <c r="N441" s="0" t="s">
        <v>463</v>
      </c>
    </row>
    <row customHeight="1" ht="11.25">
      <c r="A442" s="8274" t="s">
        <v>2233</v>
      </c>
      <c r="B442" s="8274" t="s">
        <v>14</v>
      </c>
      <c r="C442" s="8274" t="s">
        <v>2660</v>
      </c>
      <c r="D442" s="8274" t="s">
        <v>2661</v>
      </c>
      <c r="E442" s="8274" t="s">
        <v>2662</v>
      </c>
      <c r="F442" s="8274" t="s">
        <v>2322</v>
      </c>
      <c r="G442" s="8274" t="s">
        <v>17</v>
      </c>
      <c r="H442" s="8274" t="s">
        <v>17</v>
      </c>
      <c r="I442" s="8274" t="s">
        <v>3304</v>
      </c>
      <c r="J442" s="0" t="s">
        <v>17</v>
      </c>
      <c r="K442" s="0" t="s">
        <v>2904</v>
      </c>
      <c r="L442" s="0" t="s">
        <v>2930</v>
      </c>
      <c r="M442" s="0" t="s">
        <v>2931</v>
      </c>
      <c r="N442" s="0" t="s">
        <v>463</v>
      </c>
    </row>
    <row customHeight="1" ht="11.25">
      <c r="A443" s="8274" t="s">
        <v>2233</v>
      </c>
      <c r="B443" s="8274" t="s">
        <v>14</v>
      </c>
      <c r="C443" s="8274" t="s">
        <v>2660</v>
      </c>
      <c r="D443" s="8274" t="s">
        <v>2661</v>
      </c>
      <c r="E443" s="8274" t="s">
        <v>2662</v>
      </c>
      <c r="F443" s="8274" t="s">
        <v>2322</v>
      </c>
      <c r="G443" s="8274" t="s">
        <v>17</v>
      </c>
      <c r="H443" s="8274" t="s">
        <v>17</v>
      </c>
      <c r="I443" s="8274" t="s">
        <v>3305</v>
      </c>
      <c r="J443" s="0" t="s">
        <v>17</v>
      </c>
      <c r="K443" s="0" t="s">
        <v>2904</v>
      </c>
      <c r="L443" s="0" t="s">
        <v>2930</v>
      </c>
      <c r="M443" s="0" t="s">
        <v>3048</v>
      </c>
      <c r="N443" s="0" t="s">
        <v>463</v>
      </c>
    </row>
    <row customHeight="1" ht="11.25">
      <c r="A444" s="8274" t="s">
        <v>2233</v>
      </c>
      <c r="B444" s="8274" t="s">
        <v>14</v>
      </c>
      <c r="C444" s="8274" t="s">
        <v>2660</v>
      </c>
      <c r="D444" s="8274" t="s">
        <v>2661</v>
      </c>
      <c r="E444" s="8274" t="s">
        <v>2662</v>
      </c>
      <c r="F444" s="8274" t="s">
        <v>2322</v>
      </c>
      <c r="G444" s="8274" t="s">
        <v>17</v>
      </c>
      <c r="H444" s="8274" t="s">
        <v>17</v>
      </c>
      <c r="I444" s="8274" t="s">
        <v>3305</v>
      </c>
      <c r="J444" s="0" t="s">
        <v>17</v>
      </c>
      <c r="K444" s="0" t="s">
        <v>2917</v>
      </c>
      <c r="L444" s="0" t="s">
        <v>2930</v>
      </c>
      <c r="M444" s="0" t="s">
        <v>3048</v>
      </c>
      <c r="N444" s="0" t="s">
        <v>463</v>
      </c>
    </row>
    <row customHeight="1" ht="11.25">
      <c r="A445" s="8274" t="s">
        <v>2233</v>
      </c>
      <c r="B445" s="8274" t="s">
        <v>14</v>
      </c>
      <c r="C445" s="8274" t="s">
        <v>3306</v>
      </c>
      <c r="D445" s="8274" t="s">
        <v>3307</v>
      </c>
      <c r="E445" s="8274" t="s">
        <v>3308</v>
      </c>
      <c r="F445" s="8274" t="s">
        <v>2369</v>
      </c>
      <c r="G445" s="8274" t="s">
        <v>17</v>
      </c>
      <c r="H445" s="8274" t="s">
        <v>17</v>
      </c>
      <c r="I445" s="8274" t="s">
        <v>3309</v>
      </c>
      <c r="J445" s="0" t="s">
        <v>17</v>
      </c>
      <c r="K445" s="0" t="s">
        <v>2904</v>
      </c>
      <c r="L445" s="0" t="s">
        <v>2905</v>
      </c>
      <c r="M445" s="0" t="s">
        <v>2906</v>
      </c>
      <c r="N445" s="0" t="s">
        <v>463</v>
      </c>
    </row>
    <row customHeight="1" ht="11.25">
      <c r="A446" s="8274" t="s">
        <v>2233</v>
      </c>
      <c r="B446" s="8274" t="s">
        <v>14</v>
      </c>
      <c r="C446" s="8274" t="s">
        <v>3310</v>
      </c>
      <c r="D446" s="8274" t="s">
        <v>3311</v>
      </c>
      <c r="E446" s="8274" t="s">
        <v>3312</v>
      </c>
      <c r="F446" s="8274" t="s">
        <v>2560</v>
      </c>
      <c r="G446" s="8274" t="s">
        <v>17</v>
      </c>
      <c r="H446" s="8274" t="s">
        <v>17</v>
      </c>
      <c r="I446" s="8274" t="s">
        <v>2499</v>
      </c>
      <c r="J446" s="0" t="s">
        <v>17</v>
      </c>
      <c r="K446" s="0" t="s">
        <v>2904</v>
      </c>
      <c r="L446" s="0" t="s">
        <v>2975</v>
      </c>
      <c r="M446" s="0" t="s">
        <v>2976</v>
      </c>
      <c r="N446" s="0" t="s">
        <v>463</v>
      </c>
    </row>
    <row customHeight="1" ht="11.25">
      <c r="A447" s="8274" t="s">
        <v>2233</v>
      </c>
      <c r="B447" s="8274" t="s">
        <v>14</v>
      </c>
      <c r="C447" s="8274" t="s">
        <v>2671</v>
      </c>
      <c r="D447" s="8274" t="s">
        <v>2672</v>
      </c>
      <c r="E447" s="8274" t="s">
        <v>2673</v>
      </c>
      <c r="F447" s="8274" t="s">
        <v>2427</v>
      </c>
      <c r="G447" s="8274" t="s">
        <v>2674</v>
      </c>
      <c r="H447" s="8274" t="s">
        <v>17</v>
      </c>
      <c r="I447" s="8274" t="s">
        <v>2674</v>
      </c>
      <c r="J447" s="0" t="s">
        <v>17</v>
      </c>
      <c r="K447" s="0" t="s">
        <v>2904</v>
      </c>
      <c r="L447" s="0" t="s">
        <v>2905</v>
      </c>
      <c r="M447" s="0" t="s">
        <v>2906</v>
      </c>
      <c r="N447" s="0" t="s">
        <v>463</v>
      </c>
    </row>
    <row customHeight="1" ht="11.25">
      <c r="A448" s="8274" t="s">
        <v>2233</v>
      </c>
      <c r="B448" s="8274" t="s">
        <v>14</v>
      </c>
      <c r="C448" s="8274" t="s">
        <v>3313</v>
      </c>
      <c r="D448" s="8274" t="s">
        <v>3314</v>
      </c>
      <c r="E448" s="8274" t="s">
        <v>3315</v>
      </c>
      <c r="F448" s="8274" t="s">
        <v>2432</v>
      </c>
      <c r="G448" s="8274" t="s">
        <v>17</v>
      </c>
      <c r="H448" s="8274" t="s">
        <v>17</v>
      </c>
      <c r="I448" s="8274" t="s">
        <v>2985</v>
      </c>
      <c r="J448" s="0" t="s">
        <v>17</v>
      </c>
      <c r="K448" s="0" t="s">
        <v>2904</v>
      </c>
      <c r="L448" s="0" t="s">
        <v>2905</v>
      </c>
      <c r="M448" s="0" t="s">
        <v>2906</v>
      </c>
      <c r="N448" s="0" t="s">
        <v>463</v>
      </c>
    </row>
    <row customHeight="1" ht="11.25">
      <c r="A449" s="8274" t="s">
        <v>2233</v>
      </c>
      <c r="B449" s="8274" t="s">
        <v>14</v>
      </c>
      <c r="C449" s="8274" t="s">
        <v>3313</v>
      </c>
      <c r="D449" s="8274" t="s">
        <v>3314</v>
      </c>
      <c r="E449" s="8274" t="s">
        <v>3315</v>
      </c>
      <c r="F449" s="8274" t="s">
        <v>2432</v>
      </c>
      <c r="G449" s="8274" t="s">
        <v>17</v>
      </c>
      <c r="H449" s="8274" t="s">
        <v>17</v>
      </c>
      <c r="I449" s="8274" t="s">
        <v>3316</v>
      </c>
      <c r="J449" s="0" t="s">
        <v>17</v>
      </c>
      <c r="K449" s="0" t="s">
        <v>2904</v>
      </c>
      <c r="L449" s="0" t="s">
        <v>2930</v>
      </c>
      <c r="M449" s="0" t="s">
        <v>2931</v>
      </c>
      <c r="N449" s="0" t="s">
        <v>463</v>
      </c>
    </row>
    <row customHeight="1" ht="11.25">
      <c r="A450" s="8274" t="s">
        <v>2233</v>
      </c>
      <c r="B450" s="8274" t="s">
        <v>14</v>
      </c>
      <c r="C450" s="8274" t="s">
        <v>2696</v>
      </c>
      <c r="D450" s="8274" t="s">
        <v>2697</v>
      </c>
      <c r="E450" s="8274" t="s">
        <v>2698</v>
      </c>
      <c r="F450" s="8274" t="s">
        <v>2379</v>
      </c>
      <c r="G450" s="8274" t="s">
        <v>2699</v>
      </c>
      <c r="H450" s="8274" t="s">
        <v>17</v>
      </c>
      <c r="I450" s="8274" t="s">
        <v>2422</v>
      </c>
      <c r="J450" s="0" t="s">
        <v>17</v>
      </c>
      <c r="K450" s="0" t="s">
        <v>2904</v>
      </c>
      <c r="L450" s="0" t="s">
        <v>3317</v>
      </c>
      <c r="M450" s="0" t="s">
        <v>3318</v>
      </c>
      <c r="N450" s="0" t="s">
        <v>463</v>
      </c>
    </row>
    <row customHeight="1" ht="11.25">
      <c r="A451" s="8274" t="s">
        <v>2233</v>
      </c>
      <c r="B451" s="8274" t="s">
        <v>14</v>
      </c>
      <c r="C451" s="8274" t="s">
        <v>2696</v>
      </c>
      <c r="D451" s="8274" t="s">
        <v>2697</v>
      </c>
      <c r="E451" s="8274" t="s">
        <v>2698</v>
      </c>
      <c r="F451" s="8274" t="s">
        <v>2379</v>
      </c>
      <c r="G451" s="8274" t="s">
        <v>2699</v>
      </c>
      <c r="H451" s="8274" t="s">
        <v>17</v>
      </c>
      <c r="I451" s="8274" t="s">
        <v>2422</v>
      </c>
      <c r="J451" s="0" t="s">
        <v>17</v>
      </c>
      <c r="K451" s="0" t="s">
        <v>2917</v>
      </c>
      <c r="L451" s="0" t="s">
        <v>3317</v>
      </c>
      <c r="M451" s="0" t="s">
        <v>3318</v>
      </c>
      <c r="N451" s="0" t="s">
        <v>463</v>
      </c>
    </row>
    <row customHeight="1" ht="11.25">
      <c r="A452" s="8274" t="s">
        <v>2233</v>
      </c>
      <c r="B452" s="8274" t="s">
        <v>14</v>
      </c>
      <c r="C452" s="8274" t="s">
        <v>2700</v>
      </c>
      <c r="D452" s="8274" t="s">
        <v>2701</v>
      </c>
      <c r="E452" s="8274" t="s">
        <v>2702</v>
      </c>
      <c r="F452" s="8274" t="s">
        <v>2432</v>
      </c>
      <c r="G452" s="8274" t="s">
        <v>17</v>
      </c>
      <c r="H452" s="8274" t="s">
        <v>17</v>
      </c>
      <c r="I452" s="8274" t="s">
        <v>2703</v>
      </c>
      <c r="J452" s="0" t="s">
        <v>17</v>
      </c>
      <c r="K452" s="0" t="s">
        <v>2904</v>
      </c>
      <c r="L452" s="0" t="s">
        <v>2913</v>
      </c>
      <c r="M452" s="0" t="s">
        <v>2914</v>
      </c>
      <c r="N452" s="0" t="s">
        <v>463</v>
      </c>
    </row>
    <row customHeight="1" ht="11.25">
      <c r="A453" s="8274" t="s">
        <v>2233</v>
      </c>
      <c r="B453" s="8274" t="s">
        <v>14</v>
      </c>
      <c r="C453" s="8274" t="s">
        <v>3319</v>
      </c>
      <c r="D453" s="8274" t="s">
        <v>3320</v>
      </c>
      <c r="E453" s="8274" t="s">
        <v>3321</v>
      </c>
      <c r="F453" s="8274" t="s">
        <v>2567</v>
      </c>
      <c r="G453" s="8274" t="s">
        <v>17</v>
      </c>
      <c r="H453" s="8274" t="s">
        <v>17</v>
      </c>
      <c r="I453" s="8274" t="s">
        <v>2883</v>
      </c>
      <c r="J453" s="0" t="s">
        <v>17</v>
      </c>
      <c r="K453" s="0" t="s">
        <v>2904</v>
      </c>
      <c r="L453" s="0" t="s">
        <v>2930</v>
      </c>
      <c r="M453" s="0" t="s">
        <v>2931</v>
      </c>
      <c r="N453" s="0" t="s">
        <v>463</v>
      </c>
    </row>
    <row customHeight="1" ht="11.25">
      <c r="A454" s="8274" t="s">
        <v>2233</v>
      </c>
      <c r="B454" s="8274" t="s">
        <v>14</v>
      </c>
      <c r="C454" s="8274" t="s">
        <v>2704</v>
      </c>
      <c r="D454" s="8274" t="s">
        <v>2705</v>
      </c>
      <c r="E454" s="8274" t="s">
        <v>2706</v>
      </c>
      <c r="F454" s="8274" t="s">
        <v>2375</v>
      </c>
      <c r="G454" s="8274" t="s">
        <v>2707</v>
      </c>
      <c r="H454" s="8274" t="s">
        <v>17</v>
      </c>
      <c r="I454" s="8274" t="s">
        <v>2707</v>
      </c>
      <c r="J454" s="0" t="s">
        <v>17</v>
      </c>
      <c r="K454" s="0" t="s">
        <v>2904</v>
      </c>
      <c r="L454" s="0" t="s">
        <v>2905</v>
      </c>
      <c r="M454" s="0" t="s">
        <v>2906</v>
      </c>
      <c r="N454" s="0" t="s">
        <v>463</v>
      </c>
    </row>
    <row customHeight="1" ht="11.25">
      <c r="A455" s="8274" t="s">
        <v>2233</v>
      </c>
      <c r="B455" s="8274" t="s">
        <v>14</v>
      </c>
      <c r="C455" s="8274" t="s">
        <v>2704</v>
      </c>
      <c r="D455" s="8274" t="s">
        <v>2705</v>
      </c>
      <c r="E455" s="8274" t="s">
        <v>2706</v>
      </c>
      <c r="F455" s="8274" t="s">
        <v>2375</v>
      </c>
      <c r="G455" s="8274" t="s">
        <v>2707</v>
      </c>
      <c r="H455" s="8274" t="s">
        <v>17</v>
      </c>
      <c r="I455" s="8274" t="s">
        <v>3322</v>
      </c>
      <c r="J455" s="0" t="s">
        <v>17</v>
      </c>
      <c r="K455" s="0" t="s">
        <v>2904</v>
      </c>
      <c r="L455" s="0" t="s">
        <v>2930</v>
      </c>
      <c r="M455" s="0" t="s">
        <v>2931</v>
      </c>
      <c r="N455" s="0" t="s">
        <v>463</v>
      </c>
    </row>
    <row customHeight="1" ht="11.25">
      <c r="A456" s="8274" t="s">
        <v>2233</v>
      </c>
      <c r="B456" s="8274" t="s">
        <v>14</v>
      </c>
      <c r="C456" s="8274" t="s">
        <v>2704</v>
      </c>
      <c r="D456" s="8274" t="s">
        <v>2705</v>
      </c>
      <c r="E456" s="8274" t="s">
        <v>2706</v>
      </c>
      <c r="F456" s="8274" t="s">
        <v>2375</v>
      </c>
      <c r="G456" s="8274" t="s">
        <v>2707</v>
      </c>
      <c r="H456" s="8274" t="s">
        <v>17</v>
      </c>
      <c r="I456" s="8274" t="s">
        <v>3323</v>
      </c>
      <c r="J456" s="0" t="s">
        <v>17</v>
      </c>
      <c r="K456" s="0" t="s">
        <v>2904</v>
      </c>
      <c r="L456" s="0" t="s">
        <v>2946</v>
      </c>
      <c r="M456" s="0" t="s">
        <v>2947</v>
      </c>
      <c r="N456" s="0" t="s">
        <v>463</v>
      </c>
    </row>
    <row customHeight="1" ht="11.25">
      <c r="A457" s="8274" t="s">
        <v>2233</v>
      </c>
      <c r="B457" s="8274" t="s">
        <v>14</v>
      </c>
      <c r="C457" s="8274" t="s">
        <v>2704</v>
      </c>
      <c r="D457" s="8274" t="s">
        <v>2705</v>
      </c>
      <c r="E457" s="8274" t="s">
        <v>2706</v>
      </c>
      <c r="F457" s="8274" t="s">
        <v>2375</v>
      </c>
      <c r="G457" s="8274" t="s">
        <v>2707</v>
      </c>
      <c r="H457" s="8274" t="s">
        <v>17</v>
      </c>
      <c r="I457" s="8274" t="s">
        <v>3324</v>
      </c>
      <c r="J457" s="0" t="s">
        <v>17</v>
      </c>
      <c r="K457" s="0" t="s">
        <v>2904</v>
      </c>
      <c r="L457" s="0" t="s">
        <v>3270</v>
      </c>
      <c r="M457" s="0" t="s">
        <v>3271</v>
      </c>
      <c r="N457" s="0" t="s">
        <v>463</v>
      </c>
    </row>
    <row customHeight="1" ht="11.25">
      <c r="A458" s="8274" t="s">
        <v>2233</v>
      </c>
      <c r="B458" s="8274" t="s">
        <v>14</v>
      </c>
      <c r="C458" s="8274" t="s">
        <v>2704</v>
      </c>
      <c r="D458" s="8274" t="s">
        <v>2705</v>
      </c>
      <c r="E458" s="8274" t="s">
        <v>2706</v>
      </c>
      <c r="F458" s="8274" t="s">
        <v>2375</v>
      </c>
      <c r="G458" s="8274" t="s">
        <v>2707</v>
      </c>
      <c r="H458" s="8274" t="s">
        <v>17</v>
      </c>
      <c r="I458" s="8274" t="s">
        <v>3324</v>
      </c>
      <c r="J458" s="0" t="s">
        <v>17</v>
      </c>
      <c r="K458" s="0" t="s">
        <v>2917</v>
      </c>
      <c r="L458" s="0" t="s">
        <v>3270</v>
      </c>
      <c r="M458" s="0" t="s">
        <v>3271</v>
      </c>
      <c r="N458" s="0" t="s">
        <v>463</v>
      </c>
    </row>
    <row customHeight="1" ht="11.25">
      <c r="A459" s="8274" t="s">
        <v>2233</v>
      </c>
      <c r="B459" s="8274" t="s">
        <v>14</v>
      </c>
      <c r="C459" s="8274" t="s">
        <v>3325</v>
      </c>
      <c r="D459" s="8274" t="s">
        <v>3326</v>
      </c>
      <c r="E459" s="8274" t="s">
        <v>3327</v>
      </c>
      <c r="F459" s="8274" t="s">
        <v>2643</v>
      </c>
      <c r="G459" s="8274" t="s">
        <v>17</v>
      </c>
      <c r="H459" s="8274" t="s">
        <v>17</v>
      </c>
      <c r="I459" s="8274" t="s">
        <v>3328</v>
      </c>
      <c r="J459" s="0" t="s">
        <v>17</v>
      </c>
      <c r="K459" s="0" t="s">
        <v>2904</v>
      </c>
      <c r="L459" s="0" t="s">
        <v>2930</v>
      </c>
      <c r="M459" s="0" t="s">
        <v>2931</v>
      </c>
      <c r="N459" s="0" t="s">
        <v>463</v>
      </c>
    </row>
    <row customHeight="1" ht="11.25">
      <c r="A460" s="8274" t="s">
        <v>2233</v>
      </c>
      <c r="B460" s="8274" t="s">
        <v>14</v>
      </c>
      <c r="C460" s="8274" t="s">
        <v>2728</v>
      </c>
      <c r="D460" s="8274" t="s">
        <v>2729</v>
      </c>
      <c r="E460" s="8274" t="s">
        <v>2730</v>
      </c>
      <c r="F460" s="8274" t="s">
        <v>2560</v>
      </c>
      <c r="G460" s="8274" t="s">
        <v>17</v>
      </c>
      <c r="H460" s="8274" t="s">
        <v>17</v>
      </c>
      <c r="I460" s="8274" t="s">
        <v>2422</v>
      </c>
      <c r="J460" s="0" t="s">
        <v>17</v>
      </c>
      <c r="K460" s="0" t="s">
        <v>2917</v>
      </c>
      <c r="L460" s="0" t="s">
        <v>2913</v>
      </c>
      <c r="M460" s="0" t="s">
        <v>2926</v>
      </c>
      <c r="N460" s="0" t="s">
        <v>463</v>
      </c>
    </row>
    <row customHeight="1" ht="11.25">
      <c r="A461" s="8274" t="s">
        <v>2233</v>
      </c>
      <c r="B461" s="8274" t="s">
        <v>14</v>
      </c>
      <c r="C461" s="8274" t="s">
        <v>3329</v>
      </c>
      <c r="D461" s="8274" t="s">
        <v>3330</v>
      </c>
      <c r="E461" s="8274" t="s">
        <v>3331</v>
      </c>
      <c r="F461" s="8274" t="s">
        <v>2375</v>
      </c>
      <c r="G461" s="8274" t="s">
        <v>17</v>
      </c>
      <c r="H461" s="8274" t="s">
        <v>17</v>
      </c>
      <c r="I461" s="8274" t="s">
        <v>2274</v>
      </c>
      <c r="J461" s="0" t="s">
        <v>17</v>
      </c>
      <c r="K461" s="0" t="s">
        <v>2904</v>
      </c>
      <c r="L461" s="0" t="s">
        <v>2930</v>
      </c>
      <c r="M461" s="0" t="s">
        <v>2931</v>
      </c>
      <c r="N461" s="0" t="s">
        <v>463</v>
      </c>
    </row>
    <row customHeight="1" ht="11.25">
      <c r="A462" s="8274" t="s">
        <v>2233</v>
      </c>
      <c r="B462" s="8274" t="s">
        <v>14</v>
      </c>
      <c r="C462" s="8274" t="s">
        <v>3332</v>
      </c>
      <c r="D462" s="8274" t="s">
        <v>3333</v>
      </c>
      <c r="E462" s="8274" t="s">
        <v>3334</v>
      </c>
      <c r="F462" s="8274" t="s">
        <v>2379</v>
      </c>
      <c r="G462" s="8274" t="s">
        <v>2445</v>
      </c>
      <c r="H462" s="8274" t="s">
        <v>17</v>
      </c>
      <c r="I462" s="8274" t="s">
        <v>2445</v>
      </c>
      <c r="J462" s="0" t="s">
        <v>17</v>
      </c>
      <c r="K462" s="0" t="s">
        <v>2904</v>
      </c>
      <c r="L462" s="0" t="s">
        <v>2905</v>
      </c>
      <c r="M462" s="0" t="s">
        <v>2906</v>
      </c>
      <c r="N462" s="0" t="s">
        <v>463</v>
      </c>
    </row>
    <row customHeight="1" ht="11.25">
      <c r="A463" s="8274" t="s">
        <v>2233</v>
      </c>
      <c r="B463" s="8274" t="s">
        <v>14</v>
      </c>
      <c r="C463" s="8274" t="s">
        <v>2746</v>
      </c>
      <c r="D463" s="8274" t="s">
        <v>2747</v>
      </c>
      <c r="E463" s="8274" t="s">
        <v>2748</v>
      </c>
      <c r="F463" s="8274" t="s">
        <v>2749</v>
      </c>
      <c r="G463" s="8274" t="s">
        <v>17</v>
      </c>
      <c r="H463" s="8274" t="s">
        <v>17</v>
      </c>
      <c r="I463" s="8274" t="s">
        <v>2311</v>
      </c>
      <c r="J463" s="0" t="s">
        <v>17</v>
      </c>
      <c r="K463" s="0" t="s">
        <v>2904</v>
      </c>
      <c r="L463" s="0" t="s">
        <v>2905</v>
      </c>
      <c r="M463" s="0" t="s">
        <v>2906</v>
      </c>
      <c r="N463" s="0" t="s">
        <v>463</v>
      </c>
    </row>
    <row customHeight="1" ht="11.25">
      <c r="A464" s="8274" t="s">
        <v>2233</v>
      </c>
      <c r="B464" s="8274" t="s">
        <v>14</v>
      </c>
      <c r="C464" s="8274" t="s">
        <v>2750</v>
      </c>
      <c r="D464" s="8274" t="s">
        <v>2751</v>
      </c>
      <c r="E464" s="8274" t="s">
        <v>2752</v>
      </c>
      <c r="F464" s="8274" t="s">
        <v>2369</v>
      </c>
      <c r="G464" s="8274" t="s">
        <v>17</v>
      </c>
      <c r="H464" s="8274" t="s">
        <v>17</v>
      </c>
      <c r="I464" s="8274" t="s">
        <v>2311</v>
      </c>
      <c r="J464" s="0" t="s">
        <v>17</v>
      </c>
      <c r="K464" s="0" t="s">
        <v>2904</v>
      </c>
      <c r="L464" s="0" t="s">
        <v>2905</v>
      </c>
      <c r="M464" s="0" t="s">
        <v>2906</v>
      </c>
      <c r="N464" s="0" t="s">
        <v>463</v>
      </c>
    </row>
    <row customHeight="1" ht="11.25">
      <c r="A465" s="8274" t="s">
        <v>2233</v>
      </c>
      <c r="B465" s="8274" t="s">
        <v>14</v>
      </c>
      <c r="C465" s="8274" t="s">
        <v>2756</v>
      </c>
      <c r="D465" s="8274" t="s">
        <v>2757</v>
      </c>
      <c r="E465" s="8274" t="s">
        <v>2758</v>
      </c>
      <c r="F465" s="8274" t="s">
        <v>2285</v>
      </c>
      <c r="G465" s="8274" t="s">
        <v>17</v>
      </c>
      <c r="H465" s="8274" t="s">
        <v>17</v>
      </c>
      <c r="I465" s="8274" t="s">
        <v>2311</v>
      </c>
      <c r="J465" s="0" t="s">
        <v>17</v>
      </c>
      <c r="K465" s="0" t="s">
        <v>2904</v>
      </c>
      <c r="L465" s="0" t="s">
        <v>2905</v>
      </c>
      <c r="M465" s="0" t="s">
        <v>2906</v>
      </c>
      <c r="N465" s="0" t="s">
        <v>463</v>
      </c>
    </row>
    <row customHeight="1" ht="11.25">
      <c r="A466" s="8274" t="s">
        <v>2233</v>
      </c>
      <c r="B466" s="8274" t="s">
        <v>14</v>
      </c>
      <c r="C466" s="8274" t="s">
        <v>3335</v>
      </c>
      <c r="D466" s="8274" t="s">
        <v>3336</v>
      </c>
      <c r="E466" s="8274" t="s">
        <v>3337</v>
      </c>
      <c r="F466" s="8274" t="s">
        <v>2531</v>
      </c>
      <c r="G466" s="8274" t="s">
        <v>2445</v>
      </c>
      <c r="H466" s="8274" t="s">
        <v>17</v>
      </c>
      <c r="I466" s="8274" t="s">
        <v>2445</v>
      </c>
      <c r="J466" s="0" t="s">
        <v>17</v>
      </c>
      <c r="K466" s="0" t="s">
        <v>2904</v>
      </c>
      <c r="L466" s="0" t="s">
        <v>2905</v>
      </c>
      <c r="M466" s="0" t="s">
        <v>2906</v>
      </c>
      <c r="N466" s="0" t="s">
        <v>463</v>
      </c>
    </row>
    <row customHeight="1" ht="11.25">
      <c r="A467" s="8274" t="s">
        <v>2233</v>
      </c>
      <c r="B467" s="8274" t="s">
        <v>14</v>
      </c>
      <c r="C467" s="8274" t="s">
        <v>2774</v>
      </c>
      <c r="D467" s="8274" t="s">
        <v>2775</v>
      </c>
      <c r="E467" s="8274" t="s">
        <v>2776</v>
      </c>
      <c r="F467" s="8274" t="s">
        <v>2375</v>
      </c>
      <c r="G467" s="8274" t="s">
        <v>17</v>
      </c>
      <c r="H467" s="8274" t="s">
        <v>17</v>
      </c>
      <c r="I467" s="8274" t="s">
        <v>2311</v>
      </c>
      <c r="J467" s="0" t="s">
        <v>17</v>
      </c>
      <c r="K467" s="0" t="s">
        <v>2904</v>
      </c>
      <c r="L467" s="0" t="s">
        <v>3270</v>
      </c>
      <c r="M467" s="0" t="s">
        <v>3271</v>
      </c>
      <c r="N467" s="0" t="s">
        <v>463</v>
      </c>
    </row>
    <row customHeight="1" ht="11.25">
      <c r="A468" s="8274" t="s">
        <v>2233</v>
      </c>
      <c r="B468" s="8274" t="s">
        <v>14</v>
      </c>
      <c r="C468" s="8274" t="s">
        <v>2774</v>
      </c>
      <c r="D468" s="8274" t="s">
        <v>2775</v>
      </c>
      <c r="E468" s="8274" t="s">
        <v>2776</v>
      </c>
      <c r="F468" s="8274" t="s">
        <v>2375</v>
      </c>
      <c r="G468" s="8274" t="s">
        <v>17</v>
      </c>
      <c r="H468" s="8274" t="s">
        <v>17</v>
      </c>
      <c r="I468" s="8274" t="s">
        <v>2311</v>
      </c>
      <c r="J468" s="0" t="s">
        <v>17</v>
      </c>
      <c r="K468" s="0" t="s">
        <v>2917</v>
      </c>
      <c r="L468" s="0" t="s">
        <v>3270</v>
      </c>
      <c r="M468" s="0" t="s">
        <v>3271</v>
      </c>
      <c r="N468" s="0" t="s">
        <v>463</v>
      </c>
    </row>
    <row customHeight="1" ht="11.25">
      <c r="A469" s="8274" t="s">
        <v>2233</v>
      </c>
      <c r="B469" s="8274" t="s">
        <v>14</v>
      </c>
      <c r="C469" s="8274" t="s">
        <v>2774</v>
      </c>
      <c r="D469" s="8274" t="s">
        <v>2775</v>
      </c>
      <c r="E469" s="8274" t="s">
        <v>2776</v>
      </c>
      <c r="F469" s="8274" t="s">
        <v>2375</v>
      </c>
      <c r="G469" s="8274" t="s">
        <v>17</v>
      </c>
      <c r="H469" s="8274" t="s">
        <v>17</v>
      </c>
      <c r="I469" s="8274" t="s">
        <v>2582</v>
      </c>
      <c r="J469" s="0" t="s">
        <v>17</v>
      </c>
      <c r="K469" s="0" t="s">
        <v>2904</v>
      </c>
      <c r="L469" s="0" t="s">
        <v>2946</v>
      </c>
      <c r="M469" s="0" t="s">
        <v>3338</v>
      </c>
      <c r="N469" s="0" t="s">
        <v>463</v>
      </c>
    </row>
    <row customHeight="1" ht="11.25">
      <c r="A470" s="8274" t="s">
        <v>2233</v>
      </c>
      <c r="B470" s="8274" t="s">
        <v>14</v>
      </c>
      <c r="C470" s="8274" t="s">
        <v>2774</v>
      </c>
      <c r="D470" s="8274" t="s">
        <v>2775</v>
      </c>
      <c r="E470" s="8274" t="s">
        <v>2776</v>
      </c>
      <c r="F470" s="8274" t="s">
        <v>2375</v>
      </c>
      <c r="G470" s="8274" t="s">
        <v>17</v>
      </c>
      <c r="H470" s="8274" t="s">
        <v>17</v>
      </c>
      <c r="I470" s="8274" t="s">
        <v>2582</v>
      </c>
      <c r="J470" s="0" t="s">
        <v>17</v>
      </c>
      <c r="K470" s="0" t="s">
        <v>2917</v>
      </c>
      <c r="L470" s="0" t="s">
        <v>2946</v>
      </c>
      <c r="M470" s="0" t="s">
        <v>3338</v>
      </c>
      <c r="N470" s="0" t="s">
        <v>463</v>
      </c>
    </row>
    <row customHeight="1" ht="11.25">
      <c r="A471" s="8274" t="s">
        <v>2233</v>
      </c>
      <c r="B471" s="8274" t="s">
        <v>14</v>
      </c>
      <c r="C471" s="8274" t="s">
        <v>3339</v>
      </c>
      <c r="D471" s="8274" t="s">
        <v>3340</v>
      </c>
      <c r="E471" s="8274" t="s">
        <v>3341</v>
      </c>
      <c r="F471" s="8274" t="s">
        <v>2322</v>
      </c>
      <c r="G471" s="8274" t="s">
        <v>17</v>
      </c>
      <c r="H471" s="8274" t="s">
        <v>17</v>
      </c>
      <c r="I471" s="8274" t="s">
        <v>3342</v>
      </c>
      <c r="J471" s="0" t="s">
        <v>17</v>
      </c>
      <c r="K471" s="0" t="s">
        <v>2917</v>
      </c>
      <c r="L471" s="0" t="s">
        <v>2913</v>
      </c>
      <c r="M471" s="0" t="s">
        <v>2926</v>
      </c>
      <c r="N471" s="0" t="s">
        <v>463</v>
      </c>
    </row>
    <row customHeight="1" ht="11.25">
      <c r="A472" s="8274" t="s">
        <v>2233</v>
      </c>
      <c r="B472" s="8274" t="s">
        <v>14</v>
      </c>
      <c r="C472" s="8274" t="s">
        <v>3343</v>
      </c>
      <c r="D472" s="8274" t="s">
        <v>3340</v>
      </c>
      <c r="E472" s="8274" t="s">
        <v>3344</v>
      </c>
      <c r="F472" s="8274" t="s">
        <v>51</v>
      </c>
      <c r="G472" s="8274" t="s">
        <v>17</v>
      </c>
      <c r="H472" s="8274" t="s">
        <v>17</v>
      </c>
      <c r="I472" s="8274" t="s">
        <v>3345</v>
      </c>
      <c r="J472" s="0" t="s">
        <v>17</v>
      </c>
      <c r="K472" s="0" t="s">
        <v>2904</v>
      </c>
      <c r="L472" s="0" t="s">
        <v>2915</v>
      </c>
      <c r="M472" s="0" t="s">
        <v>2916</v>
      </c>
      <c r="N472" s="0" t="s">
        <v>463</v>
      </c>
    </row>
    <row customHeight="1" ht="11.25">
      <c r="A473" s="8274" t="s">
        <v>2233</v>
      </c>
      <c r="B473" s="8274" t="s">
        <v>14</v>
      </c>
      <c r="C473" s="8274" t="s">
        <v>3343</v>
      </c>
      <c r="D473" s="8274" t="s">
        <v>3340</v>
      </c>
      <c r="E473" s="8274" t="s">
        <v>3344</v>
      </c>
      <c r="F473" s="8274" t="s">
        <v>51</v>
      </c>
      <c r="G473" s="8274" t="s">
        <v>17</v>
      </c>
      <c r="H473" s="8274" t="s">
        <v>17</v>
      </c>
      <c r="I473" s="8274" t="s">
        <v>3345</v>
      </c>
      <c r="J473" s="0" t="s">
        <v>17</v>
      </c>
      <c r="K473" s="0" t="s">
        <v>2917</v>
      </c>
      <c r="L473" s="0" t="s">
        <v>2915</v>
      </c>
      <c r="M473" s="0" t="s">
        <v>2916</v>
      </c>
      <c r="N473" s="0" t="s">
        <v>463</v>
      </c>
    </row>
    <row customHeight="1" ht="11.25">
      <c r="A474" s="8274" t="s">
        <v>2233</v>
      </c>
      <c r="B474" s="8274" t="s">
        <v>14</v>
      </c>
      <c r="C474" s="8274" t="s">
        <v>2787</v>
      </c>
      <c r="D474" s="8274" t="s">
        <v>2788</v>
      </c>
      <c r="E474" s="8274" t="s">
        <v>2789</v>
      </c>
      <c r="F474" s="8274" t="s">
        <v>2285</v>
      </c>
      <c r="G474" s="8274" t="s">
        <v>17</v>
      </c>
      <c r="H474" s="8274" t="s">
        <v>17</v>
      </c>
      <c r="I474" s="8274" t="s">
        <v>2790</v>
      </c>
      <c r="J474" s="0" t="s">
        <v>17</v>
      </c>
      <c r="K474" s="0" t="s">
        <v>2904</v>
      </c>
      <c r="L474" s="0" t="s">
        <v>2905</v>
      </c>
      <c r="M474" s="0" t="s">
        <v>2906</v>
      </c>
      <c r="N474" s="0" t="s">
        <v>463</v>
      </c>
    </row>
    <row customHeight="1" ht="11.25">
      <c r="A475" s="8274" t="s">
        <v>2233</v>
      </c>
      <c r="B475" s="8274" t="s">
        <v>14</v>
      </c>
      <c r="C475" s="8274" t="s">
        <v>2791</v>
      </c>
      <c r="D475" s="8274" t="s">
        <v>2792</v>
      </c>
      <c r="E475" s="8274" t="s">
        <v>2793</v>
      </c>
      <c r="F475" s="8274" t="s">
        <v>2506</v>
      </c>
      <c r="G475" s="8274" t="s">
        <v>17</v>
      </c>
      <c r="H475" s="8274" t="s">
        <v>17</v>
      </c>
      <c r="I475" s="8274" t="s">
        <v>3346</v>
      </c>
      <c r="J475" s="0" t="s">
        <v>2912</v>
      </c>
      <c r="K475" s="0" t="s">
        <v>2904</v>
      </c>
      <c r="L475" s="0" t="s">
        <v>3347</v>
      </c>
      <c r="M475" s="0" t="s">
        <v>3348</v>
      </c>
      <c r="N475" s="0" t="s">
        <v>463</v>
      </c>
    </row>
    <row customHeight="1" ht="11.25">
      <c r="A476" s="8274" t="s">
        <v>2233</v>
      </c>
      <c r="B476" s="8274" t="s">
        <v>14</v>
      </c>
      <c r="C476" s="8274" t="s">
        <v>2791</v>
      </c>
      <c r="D476" s="8274" t="s">
        <v>2792</v>
      </c>
      <c r="E476" s="8274" t="s">
        <v>2793</v>
      </c>
      <c r="F476" s="8274" t="s">
        <v>2506</v>
      </c>
      <c r="G476" s="8274" t="s">
        <v>17</v>
      </c>
      <c r="H476" s="8274" t="s">
        <v>17</v>
      </c>
      <c r="I476" s="8274" t="s">
        <v>3346</v>
      </c>
      <c r="J476" s="0" t="s">
        <v>2912</v>
      </c>
      <c r="K476" s="0" t="s">
        <v>2917</v>
      </c>
      <c r="L476" s="0" t="s">
        <v>3347</v>
      </c>
      <c r="M476" s="0" t="s">
        <v>3348</v>
      </c>
      <c r="N476" s="0" t="s">
        <v>463</v>
      </c>
    </row>
    <row customHeight="1" ht="11.25">
      <c r="A477" s="8274" t="s">
        <v>2233</v>
      </c>
      <c r="B477" s="8274" t="s">
        <v>14</v>
      </c>
      <c r="C477" s="8274" t="s">
        <v>2791</v>
      </c>
      <c r="D477" s="8274" t="s">
        <v>2792</v>
      </c>
      <c r="E477" s="8274" t="s">
        <v>2793</v>
      </c>
      <c r="F477" s="8274" t="s">
        <v>2506</v>
      </c>
      <c r="G477" s="8274" t="s">
        <v>17</v>
      </c>
      <c r="H477" s="8274" t="s">
        <v>17</v>
      </c>
      <c r="I477" s="8274" t="s">
        <v>2921</v>
      </c>
      <c r="J477" s="0" t="s">
        <v>17</v>
      </c>
      <c r="K477" s="0" t="s">
        <v>2904</v>
      </c>
      <c r="L477" s="0" t="s">
        <v>3347</v>
      </c>
      <c r="M477" s="0" t="s">
        <v>3348</v>
      </c>
      <c r="N477" s="0" t="s">
        <v>463</v>
      </c>
    </row>
    <row customHeight="1" ht="11.25">
      <c r="A478" s="8274" t="s">
        <v>2233</v>
      </c>
      <c r="B478" s="8274" t="s">
        <v>14</v>
      </c>
      <c r="C478" s="8274" t="s">
        <v>2791</v>
      </c>
      <c r="D478" s="8274" t="s">
        <v>2792</v>
      </c>
      <c r="E478" s="8274" t="s">
        <v>2793</v>
      </c>
      <c r="F478" s="8274" t="s">
        <v>2506</v>
      </c>
      <c r="G478" s="8274" t="s">
        <v>17</v>
      </c>
      <c r="H478" s="8274" t="s">
        <v>17</v>
      </c>
      <c r="I478" s="8274" t="s">
        <v>2921</v>
      </c>
      <c r="J478" s="0" t="s">
        <v>17</v>
      </c>
      <c r="K478" s="0" t="s">
        <v>2917</v>
      </c>
      <c r="L478" s="0" t="s">
        <v>3347</v>
      </c>
      <c r="M478" s="0" t="s">
        <v>3348</v>
      </c>
      <c r="N478" s="0" t="s">
        <v>463</v>
      </c>
    </row>
    <row customHeight="1" ht="11.25">
      <c r="A479" s="8274" t="s">
        <v>2233</v>
      </c>
      <c r="B479" s="8274" t="s">
        <v>14</v>
      </c>
      <c r="C479" s="8274" t="s">
        <v>2800</v>
      </c>
      <c r="D479" s="8274" t="s">
        <v>2801</v>
      </c>
      <c r="E479" s="8274" t="s">
        <v>2802</v>
      </c>
      <c r="F479" s="8274" t="s">
        <v>2379</v>
      </c>
      <c r="G479" s="8274" t="s">
        <v>17</v>
      </c>
      <c r="H479" s="8274" t="s">
        <v>17</v>
      </c>
      <c r="I479" s="8274" t="s">
        <v>3349</v>
      </c>
      <c r="J479" s="0" t="s">
        <v>17</v>
      </c>
      <c r="K479" s="0" t="s">
        <v>2904</v>
      </c>
      <c r="L479" s="0" t="s">
        <v>2913</v>
      </c>
      <c r="M479" s="0" t="s">
        <v>2914</v>
      </c>
      <c r="N479" s="0" t="s">
        <v>463</v>
      </c>
    </row>
    <row customHeight="1" ht="11.25">
      <c r="A480" s="8274" t="s">
        <v>2233</v>
      </c>
      <c r="B480" s="8274" t="s">
        <v>14</v>
      </c>
      <c r="C480" s="8274" t="s">
        <v>2807</v>
      </c>
      <c r="D480" s="8274" t="s">
        <v>2808</v>
      </c>
      <c r="E480" s="8274" t="s">
        <v>2809</v>
      </c>
      <c r="F480" s="8274" t="s">
        <v>2375</v>
      </c>
      <c r="G480" s="8274" t="s">
        <v>2521</v>
      </c>
      <c r="H480" s="8274" t="s">
        <v>17</v>
      </c>
      <c r="I480" s="8274" t="s">
        <v>2521</v>
      </c>
      <c r="J480" s="0" t="s">
        <v>17</v>
      </c>
      <c r="K480" s="0" t="s">
        <v>2904</v>
      </c>
      <c r="L480" s="0" t="s">
        <v>2913</v>
      </c>
      <c r="M480" s="0" t="s">
        <v>2914</v>
      </c>
      <c r="N480" s="0" t="s">
        <v>463</v>
      </c>
    </row>
    <row customHeight="1" ht="11.25">
      <c r="A481" s="8274" t="s">
        <v>2233</v>
      </c>
      <c r="B481" s="8274" t="s">
        <v>14</v>
      </c>
      <c r="C481" s="8274" t="s">
        <v>2813</v>
      </c>
      <c r="D481" s="8274" t="s">
        <v>2814</v>
      </c>
      <c r="E481" s="8274" t="s">
        <v>2815</v>
      </c>
      <c r="F481" s="8274" t="s">
        <v>2560</v>
      </c>
      <c r="G481" s="8274" t="s">
        <v>17</v>
      </c>
      <c r="H481" s="8274" t="s">
        <v>17</v>
      </c>
      <c r="I481" s="8274" t="s">
        <v>3350</v>
      </c>
      <c r="J481" s="0" t="s">
        <v>17</v>
      </c>
      <c r="K481" s="0" t="s">
        <v>2904</v>
      </c>
      <c r="L481" s="0" t="s">
        <v>3351</v>
      </c>
      <c r="M481" s="0" t="s">
        <v>3352</v>
      </c>
      <c r="N481" s="0" t="s">
        <v>463</v>
      </c>
    </row>
    <row customHeight="1" ht="11.25">
      <c r="A482" s="8274" t="s">
        <v>2233</v>
      </c>
      <c r="B482" s="8274" t="s">
        <v>14</v>
      </c>
      <c r="C482" s="8274" t="s">
        <v>2813</v>
      </c>
      <c r="D482" s="8274" t="s">
        <v>2814</v>
      </c>
      <c r="E482" s="8274" t="s">
        <v>2815</v>
      </c>
      <c r="F482" s="8274" t="s">
        <v>2560</v>
      </c>
      <c r="G482" s="8274" t="s">
        <v>17</v>
      </c>
      <c r="H482" s="8274" t="s">
        <v>17</v>
      </c>
      <c r="I482" s="8274" t="s">
        <v>3350</v>
      </c>
      <c r="J482" s="0" t="s">
        <v>17</v>
      </c>
      <c r="K482" s="0" t="s">
        <v>2917</v>
      </c>
      <c r="L482" s="0" t="s">
        <v>3351</v>
      </c>
      <c r="M482" s="0" t="s">
        <v>3352</v>
      </c>
      <c r="N482" s="0" t="s">
        <v>463</v>
      </c>
    </row>
    <row customHeight="1" ht="11.25">
      <c r="A483" s="8274" t="s">
        <v>2233</v>
      </c>
      <c r="B483" s="8274" t="s">
        <v>14</v>
      </c>
      <c r="C483" s="8274" t="s">
        <v>2813</v>
      </c>
      <c r="D483" s="8274" t="s">
        <v>2814</v>
      </c>
      <c r="E483" s="8274" t="s">
        <v>2815</v>
      </c>
      <c r="F483" s="8274" t="s">
        <v>2560</v>
      </c>
      <c r="G483" s="8274" t="s">
        <v>17</v>
      </c>
      <c r="H483" s="8274" t="s">
        <v>17</v>
      </c>
      <c r="I483" s="8274" t="s">
        <v>3350</v>
      </c>
      <c r="J483" s="0" t="s">
        <v>17</v>
      </c>
      <c r="K483" s="0" t="s">
        <v>2904</v>
      </c>
      <c r="L483" s="0" t="s">
        <v>3353</v>
      </c>
      <c r="M483" s="0" t="s">
        <v>3354</v>
      </c>
      <c r="N483" s="0" t="s">
        <v>463</v>
      </c>
    </row>
    <row customHeight="1" ht="11.25">
      <c r="A484" s="8274" t="s">
        <v>2233</v>
      </c>
      <c r="B484" s="8274" t="s">
        <v>14</v>
      </c>
      <c r="C484" s="8274" t="s">
        <v>2813</v>
      </c>
      <c r="D484" s="8274" t="s">
        <v>2814</v>
      </c>
      <c r="E484" s="8274" t="s">
        <v>2815</v>
      </c>
      <c r="F484" s="8274" t="s">
        <v>2560</v>
      </c>
      <c r="G484" s="8274" t="s">
        <v>17</v>
      </c>
      <c r="H484" s="8274" t="s">
        <v>17</v>
      </c>
      <c r="I484" s="8274" t="s">
        <v>3350</v>
      </c>
      <c r="J484" s="0" t="s">
        <v>17</v>
      </c>
      <c r="K484" s="0" t="s">
        <v>2917</v>
      </c>
      <c r="L484" s="0" t="s">
        <v>3353</v>
      </c>
      <c r="M484" s="0" t="s">
        <v>3354</v>
      </c>
      <c r="N484" s="0" t="s">
        <v>463</v>
      </c>
    </row>
    <row customHeight="1" ht="11.25">
      <c r="A485" s="8274" t="s">
        <v>2233</v>
      </c>
      <c r="B485" s="8274" t="s">
        <v>14</v>
      </c>
      <c r="C485" s="8274" t="s">
        <v>3355</v>
      </c>
      <c r="D485" s="8274" t="s">
        <v>3356</v>
      </c>
      <c r="E485" s="8274" t="s">
        <v>3357</v>
      </c>
      <c r="F485" s="8274" t="s">
        <v>2482</v>
      </c>
      <c r="G485" s="8274" t="s">
        <v>17</v>
      </c>
      <c r="H485" s="8274" t="s">
        <v>17</v>
      </c>
      <c r="I485" s="8274" t="s">
        <v>3358</v>
      </c>
      <c r="J485" s="0" t="s">
        <v>17</v>
      </c>
      <c r="K485" s="0" t="s">
        <v>2904</v>
      </c>
      <c r="L485" s="0" t="s">
        <v>2915</v>
      </c>
      <c r="M485" s="0" t="s">
        <v>2916</v>
      </c>
      <c r="N485" s="0" t="s">
        <v>463</v>
      </c>
    </row>
    <row customHeight="1" ht="11.25">
      <c r="A486" s="8274" t="s">
        <v>2233</v>
      </c>
      <c r="B486" s="8274" t="s">
        <v>14</v>
      </c>
      <c r="C486" s="8274" t="s">
        <v>3355</v>
      </c>
      <c r="D486" s="8274" t="s">
        <v>3356</v>
      </c>
      <c r="E486" s="8274" t="s">
        <v>3357</v>
      </c>
      <c r="F486" s="8274" t="s">
        <v>2482</v>
      </c>
      <c r="G486" s="8274" t="s">
        <v>17</v>
      </c>
      <c r="H486" s="8274" t="s">
        <v>17</v>
      </c>
      <c r="I486" s="8274" t="s">
        <v>3358</v>
      </c>
      <c r="J486" s="0" t="s">
        <v>17</v>
      </c>
      <c r="K486" s="0" t="s">
        <v>2917</v>
      </c>
      <c r="L486" s="0" t="s">
        <v>2915</v>
      </c>
      <c r="M486" s="0" t="s">
        <v>2916</v>
      </c>
      <c r="N486" s="0" t="s">
        <v>463</v>
      </c>
    </row>
    <row customHeight="1" ht="11.25">
      <c r="A487" s="8274" t="s">
        <v>2233</v>
      </c>
      <c r="B487" s="8274" t="s">
        <v>14</v>
      </c>
      <c r="C487" s="8274" t="s">
        <v>2819</v>
      </c>
      <c r="D487" s="8274" t="s">
        <v>2820</v>
      </c>
      <c r="E487" s="8274" t="s">
        <v>2821</v>
      </c>
      <c r="F487" s="8274" t="s">
        <v>2822</v>
      </c>
      <c r="G487" s="8274" t="s">
        <v>17</v>
      </c>
      <c r="H487" s="8274" t="s">
        <v>17</v>
      </c>
      <c r="I487" s="8274" t="s">
        <v>2463</v>
      </c>
      <c r="J487" s="0" t="s">
        <v>17</v>
      </c>
      <c r="K487" s="0" t="s">
        <v>2904</v>
      </c>
      <c r="L487" s="0" t="s">
        <v>2905</v>
      </c>
      <c r="M487" s="0" t="s">
        <v>2906</v>
      </c>
      <c r="N487" s="0" t="s">
        <v>463</v>
      </c>
    </row>
    <row customHeight="1" ht="11.25">
      <c r="A488" s="8274" t="s">
        <v>2233</v>
      </c>
      <c r="B488" s="8274" t="s">
        <v>14</v>
      </c>
      <c r="C488" s="8274" t="s">
        <v>2823</v>
      </c>
      <c r="D488" s="8274" t="s">
        <v>2824</v>
      </c>
      <c r="E488" s="8274" t="s">
        <v>2825</v>
      </c>
      <c r="F488" s="8274" t="s">
        <v>2427</v>
      </c>
      <c r="G488" s="8274" t="s">
        <v>17</v>
      </c>
      <c r="H488" s="8274" t="s">
        <v>17</v>
      </c>
      <c r="I488" s="8274" t="s">
        <v>2463</v>
      </c>
      <c r="J488" s="0" t="s">
        <v>17</v>
      </c>
      <c r="K488" s="0" t="s">
        <v>2904</v>
      </c>
      <c r="L488" s="0" t="s">
        <v>2905</v>
      </c>
      <c r="M488" s="0" t="s">
        <v>2906</v>
      </c>
      <c r="N488" s="0" t="s">
        <v>463</v>
      </c>
    </row>
    <row customHeight="1" ht="11.25">
      <c r="A489" s="8274" t="s">
        <v>2233</v>
      </c>
      <c r="B489" s="8274" t="s">
        <v>14</v>
      </c>
      <c r="C489" s="8274" t="s">
        <v>2826</v>
      </c>
      <c r="D489" s="8274" t="s">
        <v>2827</v>
      </c>
      <c r="E489" s="8274" t="s">
        <v>2828</v>
      </c>
      <c r="F489" s="8274" t="s">
        <v>2829</v>
      </c>
      <c r="G489" s="8274" t="s">
        <v>2830</v>
      </c>
      <c r="H489" s="8274" t="s">
        <v>17</v>
      </c>
      <c r="I489" s="8274" t="s">
        <v>2830</v>
      </c>
      <c r="J489" s="0" t="s">
        <v>17</v>
      </c>
      <c r="K489" s="0" t="s">
        <v>2904</v>
      </c>
      <c r="L489" s="0" t="s">
        <v>2905</v>
      </c>
      <c r="M489" s="0" t="s">
        <v>2906</v>
      </c>
      <c r="N489" s="0" t="s">
        <v>463</v>
      </c>
    </row>
    <row customHeight="1" ht="11.25">
      <c r="A490" s="8274" t="s">
        <v>2233</v>
      </c>
      <c r="B490" s="8274" t="s">
        <v>14</v>
      </c>
      <c r="C490" s="8274" t="s">
        <v>2846</v>
      </c>
      <c r="D490" s="8274" t="s">
        <v>2847</v>
      </c>
      <c r="E490" s="8274" t="s">
        <v>2848</v>
      </c>
      <c r="F490" s="8274" t="s">
        <v>2829</v>
      </c>
      <c r="G490" s="8274" t="s">
        <v>17</v>
      </c>
      <c r="H490" s="8274" t="s">
        <v>17</v>
      </c>
      <c r="I490" s="8274" t="s">
        <v>3359</v>
      </c>
      <c r="J490" s="0" t="s">
        <v>17</v>
      </c>
      <c r="K490" s="0" t="s">
        <v>2904</v>
      </c>
      <c r="L490" s="0" t="s">
        <v>2905</v>
      </c>
      <c r="M490" s="0" t="s">
        <v>2906</v>
      </c>
      <c r="N490" s="0" t="s">
        <v>463</v>
      </c>
    </row>
    <row customHeight="1" ht="11.25">
      <c r="A491" s="8274" t="s">
        <v>2233</v>
      </c>
      <c r="B491" s="8274" t="s">
        <v>14</v>
      </c>
      <c r="C491" s="8274" t="s">
        <v>2855</v>
      </c>
      <c r="D491" s="8274" t="s">
        <v>2856</v>
      </c>
      <c r="E491" s="8274" t="s">
        <v>2857</v>
      </c>
      <c r="F491" s="8274" t="s">
        <v>2858</v>
      </c>
      <c r="G491" s="8274" t="s">
        <v>17</v>
      </c>
      <c r="H491" s="8274" t="s">
        <v>17</v>
      </c>
      <c r="I491" s="8274" t="s">
        <v>2859</v>
      </c>
      <c r="J491" s="0" t="s">
        <v>17</v>
      </c>
      <c r="K491" s="0" t="s">
        <v>2904</v>
      </c>
      <c r="L491" s="0" t="s">
        <v>2905</v>
      </c>
      <c r="M491" s="0" t="s">
        <v>2906</v>
      </c>
      <c r="N491" s="0" t="s">
        <v>463</v>
      </c>
    </row>
    <row customHeight="1" ht="11.25">
      <c r="A492" s="8274" t="s">
        <v>2233</v>
      </c>
      <c r="B492" s="8274" t="s">
        <v>14</v>
      </c>
      <c r="C492" s="8274" t="s">
        <v>2867</v>
      </c>
      <c r="D492" s="8274" t="s">
        <v>2868</v>
      </c>
      <c r="E492" s="8274" t="s">
        <v>2869</v>
      </c>
      <c r="F492" s="8274" t="s">
        <v>2870</v>
      </c>
      <c r="G492" s="8274" t="s">
        <v>17</v>
      </c>
      <c r="H492" s="8274" t="s">
        <v>17</v>
      </c>
      <c r="I492" s="8274" t="s">
        <v>3360</v>
      </c>
      <c r="J492" s="0" t="s">
        <v>17</v>
      </c>
      <c r="K492" s="0" t="s">
        <v>2904</v>
      </c>
      <c r="L492" s="0" t="s">
        <v>2913</v>
      </c>
      <c r="M492" s="0" t="s">
        <v>2939</v>
      </c>
      <c r="N492" s="0" t="s">
        <v>463</v>
      </c>
    </row>
    <row customHeight="1" ht="11.25">
      <c r="A493" s="8274" t="s">
        <v>2233</v>
      </c>
      <c r="B493" s="8274" t="s">
        <v>14</v>
      </c>
      <c r="C493" s="8274" t="s">
        <v>2872</v>
      </c>
      <c r="D493" s="8274" t="s">
        <v>2873</v>
      </c>
      <c r="E493" s="8274" t="s">
        <v>2874</v>
      </c>
      <c r="F493" s="8274" t="s">
        <v>2875</v>
      </c>
      <c r="G493" s="8274" t="s">
        <v>17</v>
      </c>
      <c r="H493" s="8274" t="s">
        <v>17</v>
      </c>
      <c r="I493" s="8274" t="s">
        <v>2463</v>
      </c>
      <c r="J493" s="0" t="s">
        <v>17</v>
      </c>
      <c r="K493" s="0" t="s">
        <v>2904</v>
      </c>
      <c r="L493" s="0" t="s">
        <v>2905</v>
      </c>
      <c r="M493" s="0" t="s">
        <v>2906</v>
      </c>
      <c r="N493" s="0" t="s">
        <v>463</v>
      </c>
    </row>
    <row customHeight="1" ht="11.25">
      <c r="A494" s="8274" t="s">
        <v>2233</v>
      </c>
      <c r="B494" s="8274" t="s">
        <v>14</v>
      </c>
      <c r="C494" s="8274" t="s">
        <v>3361</v>
      </c>
      <c r="D494" s="8274" t="s">
        <v>3362</v>
      </c>
      <c r="E494" s="8274" t="s">
        <v>3363</v>
      </c>
      <c r="F494" s="8274" t="s">
        <v>2365</v>
      </c>
      <c r="G494" s="8274" t="s">
        <v>17</v>
      </c>
      <c r="H494" s="8274" t="s">
        <v>17</v>
      </c>
      <c r="I494" s="8274" t="s">
        <v>3364</v>
      </c>
      <c r="J494" s="0" t="s">
        <v>17</v>
      </c>
      <c r="K494" s="0" t="s">
        <v>3365</v>
      </c>
      <c r="L494" s="0" t="s">
        <v>3366</v>
      </c>
      <c r="M494" s="0" t="s">
        <v>3367</v>
      </c>
      <c r="N494" s="0" t="s">
        <v>464</v>
      </c>
    </row>
    <row customHeight="1" ht="11.25">
      <c r="A495" s="8274" t="s">
        <v>2233</v>
      </c>
      <c r="B495" s="8274" t="s">
        <v>14</v>
      </c>
      <c r="C495" s="8274" t="s">
        <v>3361</v>
      </c>
      <c r="D495" s="8274" t="s">
        <v>3362</v>
      </c>
      <c r="E495" s="8274" t="s">
        <v>3363</v>
      </c>
      <c r="F495" s="8274" t="s">
        <v>2365</v>
      </c>
      <c r="G495" s="8274" t="s">
        <v>17</v>
      </c>
      <c r="H495" s="8274" t="s">
        <v>17</v>
      </c>
      <c r="I495" s="8274" t="s">
        <v>3183</v>
      </c>
      <c r="J495" s="0" t="s">
        <v>17</v>
      </c>
      <c r="K495" s="0" t="s">
        <v>3368</v>
      </c>
      <c r="L495" s="0" t="s">
        <v>3369</v>
      </c>
      <c r="M495" s="0" t="s">
        <v>3370</v>
      </c>
      <c r="N495" s="0" t="s">
        <v>464</v>
      </c>
    </row>
    <row customHeight="1" ht="11.25">
      <c r="A496" s="8274" t="s">
        <v>2233</v>
      </c>
      <c r="B496" s="8274" t="s">
        <v>14</v>
      </c>
      <c r="C496" s="8274" t="s">
        <v>2907</v>
      </c>
      <c r="D496" s="8274" t="s">
        <v>2908</v>
      </c>
      <c r="E496" s="8274" t="s">
        <v>2909</v>
      </c>
      <c r="F496" s="8274" t="s">
        <v>2482</v>
      </c>
      <c r="G496" s="8274" t="s">
        <v>2910</v>
      </c>
      <c r="H496" s="8274" t="s">
        <v>17</v>
      </c>
      <c r="I496" s="8274" t="s">
        <v>2918</v>
      </c>
      <c r="J496" s="0" t="s">
        <v>17</v>
      </c>
      <c r="K496" s="0" t="s">
        <v>3371</v>
      </c>
      <c r="L496" s="0" t="s">
        <v>3372</v>
      </c>
      <c r="M496" s="0" t="s">
        <v>3373</v>
      </c>
      <c r="N496" s="0" t="s">
        <v>464</v>
      </c>
    </row>
    <row customHeight="1" ht="11.25">
      <c r="A497" s="8274" t="s">
        <v>2233</v>
      </c>
      <c r="B497" s="8274" t="s">
        <v>14</v>
      </c>
      <c r="C497" s="8274" t="s">
        <v>2262</v>
      </c>
      <c r="D497" s="8274" t="s">
        <v>2263</v>
      </c>
      <c r="E497" s="8274" t="s">
        <v>2264</v>
      </c>
      <c r="F497" s="8274" t="s">
        <v>2245</v>
      </c>
      <c r="G497" s="8274" t="s">
        <v>2265</v>
      </c>
      <c r="H497" s="8274" t="s">
        <v>17</v>
      </c>
      <c r="I497" s="8274" t="s">
        <v>2265</v>
      </c>
      <c r="J497" s="0" t="s">
        <v>17</v>
      </c>
      <c r="K497" s="0" t="s">
        <v>3371</v>
      </c>
      <c r="L497" s="0" t="s">
        <v>3372</v>
      </c>
      <c r="M497" s="0" t="s">
        <v>3373</v>
      </c>
      <c r="N497" s="0" t="s">
        <v>464</v>
      </c>
    </row>
    <row customHeight="1" ht="11.25">
      <c r="A498" s="8274" t="s">
        <v>2233</v>
      </c>
      <c r="B498" s="8274" t="s">
        <v>14</v>
      </c>
      <c r="C498" s="8274" t="s">
        <v>2270</v>
      </c>
      <c r="D498" s="8274" t="s">
        <v>2271</v>
      </c>
      <c r="E498" s="8274" t="s">
        <v>2272</v>
      </c>
      <c r="F498" s="8274" t="s">
        <v>2273</v>
      </c>
      <c r="G498" s="8274" t="s">
        <v>17</v>
      </c>
      <c r="H498" s="8274" t="s">
        <v>17</v>
      </c>
      <c r="I498" s="8274" t="s">
        <v>2311</v>
      </c>
      <c r="J498" s="0" t="s">
        <v>17</v>
      </c>
      <c r="K498" s="0" t="s">
        <v>3371</v>
      </c>
      <c r="L498" s="0" t="s">
        <v>3372</v>
      </c>
      <c r="M498" s="0" t="s">
        <v>3373</v>
      </c>
      <c r="N498" s="0" t="s">
        <v>464</v>
      </c>
    </row>
    <row customHeight="1" ht="11.25">
      <c r="A499" s="8274" t="s">
        <v>2233</v>
      </c>
      <c r="B499" s="8274" t="s">
        <v>14</v>
      </c>
      <c r="C499" s="8274" t="s">
        <v>2275</v>
      </c>
      <c r="D499" s="8274" t="s">
        <v>2276</v>
      </c>
      <c r="E499" s="8274" t="s">
        <v>2277</v>
      </c>
      <c r="F499" s="8274" t="s">
        <v>2278</v>
      </c>
      <c r="G499" s="8274" t="s">
        <v>17</v>
      </c>
      <c r="H499" s="8274" t="s">
        <v>17</v>
      </c>
      <c r="I499" s="8274" t="s">
        <v>2311</v>
      </c>
      <c r="J499" s="0" t="s">
        <v>17</v>
      </c>
      <c r="K499" s="0" t="s">
        <v>3371</v>
      </c>
      <c r="L499" s="0" t="s">
        <v>3372</v>
      </c>
      <c r="M499" s="0" t="s">
        <v>3373</v>
      </c>
      <c r="N499" s="0" t="s">
        <v>464</v>
      </c>
    </row>
    <row customHeight="1" ht="11.25">
      <c r="A500" s="8274" t="s">
        <v>2233</v>
      </c>
      <c r="B500" s="8274" t="s">
        <v>14</v>
      </c>
      <c r="C500" s="8274" t="s">
        <v>2922</v>
      </c>
      <c r="D500" s="8274" t="s">
        <v>2923</v>
      </c>
      <c r="E500" s="8274" t="s">
        <v>2924</v>
      </c>
      <c r="F500" s="8274" t="s">
        <v>2358</v>
      </c>
      <c r="G500" s="8274" t="s">
        <v>17</v>
      </c>
      <c r="H500" s="8274" t="s">
        <v>17</v>
      </c>
      <c r="I500" s="8274" t="s">
        <v>2731</v>
      </c>
      <c r="J500" s="0" t="s">
        <v>17</v>
      </c>
      <c r="K500" s="0" t="s">
        <v>3368</v>
      </c>
      <c r="L500" s="0" t="s">
        <v>3374</v>
      </c>
      <c r="M500" s="0" t="s">
        <v>3375</v>
      </c>
      <c r="N500" s="0" t="s">
        <v>464</v>
      </c>
    </row>
    <row customHeight="1" ht="11.25">
      <c r="A501" s="8274" t="s">
        <v>2233</v>
      </c>
      <c r="B501" s="8274" t="s">
        <v>14</v>
      </c>
      <c r="C501" s="8274" t="s">
        <v>2296</v>
      </c>
      <c r="D501" s="8274" t="s">
        <v>2297</v>
      </c>
      <c r="E501" s="8274" t="s">
        <v>2298</v>
      </c>
      <c r="F501" s="8274" t="s">
        <v>2273</v>
      </c>
      <c r="G501" s="8274" t="s">
        <v>17</v>
      </c>
      <c r="H501" s="8274" t="s">
        <v>17</v>
      </c>
      <c r="I501" s="8274" t="s">
        <v>3376</v>
      </c>
      <c r="J501" s="0" t="s">
        <v>17</v>
      </c>
      <c r="K501" s="0" t="s">
        <v>3377</v>
      </c>
      <c r="L501" s="0" t="s">
        <v>3378</v>
      </c>
      <c r="M501" s="0" t="s">
        <v>3379</v>
      </c>
      <c r="N501" s="0" t="s">
        <v>464</v>
      </c>
    </row>
    <row customHeight="1" ht="11.25">
      <c r="A502" s="8274" t="s">
        <v>2233</v>
      </c>
      <c r="B502" s="8274" t="s">
        <v>14</v>
      </c>
      <c r="C502" s="8274" t="s">
        <v>2296</v>
      </c>
      <c r="D502" s="8274" t="s">
        <v>2297</v>
      </c>
      <c r="E502" s="8274" t="s">
        <v>2298</v>
      </c>
      <c r="F502" s="8274" t="s">
        <v>2273</v>
      </c>
      <c r="G502" s="8274" t="s">
        <v>17</v>
      </c>
      <c r="H502" s="8274" t="s">
        <v>17</v>
      </c>
      <c r="I502" s="8274" t="s">
        <v>3376</v>
      </c>
      <c r="J502" s="0" t="s">
        <v>17</v>
      </c>
      <c r="K502" s="0" t="s">
        <v>3371</v>
      </c>
      <c r="L502" s="0" t="s">
        <v>3380</v>
      </c>
      <c r="M502" s="0" t="s">
        <v>3381</v>
      </c>
      <c r="N502" s="0" t="s">
        <v>464</v>
      </c>
    </row>
    <row customHeight="1" ht="11.25">
      <c r="A503" s="8274" t="s">
        <v>2233</v>
      </c>
      <c r="B503" s="8274" t="s">
        <v>14</v>
      </c>
      <c r="C503" s="8274" t="s">
        <v>2334</v>
      </c>
      <c r="D503" s="8274" t="s">
        <v>2335</v>
      </c>
      <c r="E503" s="8274" t="s">
        <v>2336</v>
      </c>
      <c r="F503" s="8274" t="s">
        <v>2337</v>
      </c>
      <c r="G503" s="8274" t="s">
        <v>2265</v>
      </c>
      <c r="H503" s="8274" t="s">
        <v>17</v>
      </c>
      <c r="I503" s="8274" t="s">
        <v>2265</v>
      </c>
      <c r="J503" s="0" t="s">
        <v>17</v>
      </c>
      <c r="K503" s="0" t="s">
        <v>3371</v>
      </c>
      <c r="L503" s="0" t="s">
        <v>3372</v>
      </c>
      <c r="M503" s="0" t="s">
        <v>3373</v>
      </c>
      <c r="N503" s="0" t="s">
        <v>464</v>
      </c>
    </row>
    <row customHeight="1" ht="11.25">
      <c r="A504" s="8274" t="s">
        <v>2233</v>
      </c>
      <c r="B504" s="8274" t="s">
        <v>14</v>
      </c>
      <c r="C504" s="8274" t="s">
        <v>2927</v>
      </c>
      <c r="D504" s="8274" t="s">
        <v>2928</v>
      </c>
      <c r="E504" s="8274" t="s">
        <v>2929</v>
      </c>
      <c r="F504" s="8274" t="s">
        <v>2358</v>
      </c>
      <c r="G504" s="8274" t="s">
        <v>17</v>
      </c>
      <c r="H504" s="8274" t="s">
        <v>17</v>
      </c>
      <c r="I504" s="8274" t="s">
        <v>2311</v>
      </c>
      <c r="J504" s="0" t="s">
        <v>17</v>
      </c>
      <c r="K504" s="0" t="s">
        <v>3371</v>
      </c>
      <c r="L504" s="0" t="s">
        <v>3372</v>
      </c>
      <c r="M504" s="0" t="s">
        <v>3373</v>
      </c>
      <c r="N504" s="0" t="s">
        <v>464</v>
      </c>
    </row>
    <row customHeight="1" ht="11.25">
      <c r="A505" s="8274" t="s">
        <v>2233</v>
      </c>
      <c r="B505" s="8274" t="s">
        <v>14</v>
      </c>
      <c r="C505" s="8274" t="s">
        <v>3382</v>
      </c>
      <c r="D505" s="8274" t="s">
        <v>3383</v>
      </c>
      <c r="E505" s="8274" t="s">
        <v>3384</v>
      </c>
      <c r="F505" s="8274" t="s">
        <v>2379</v>
      </c>
      <c r="G505" s="8274" t="s">
        <v>17</v>
      </c>
      <c r="H505" s="8274" t="s">
        <v>17</v>
      </c>
      <c r="I505" s="8274" t="s">
        <v>3385</v>
      </c>
      <c r="J505" s="0" t="s">
        <v>17</v>
      </c>
      <c r="K505" s="0" t="s">
        <v>3371</v>
      </c>
      <c r="L505" s="0" t="s">
        <v>3372</v>
      </c>
      <c r="M505" s="0" t="s">
        <v>3373</v>
      </c>
      <c r="N505" s="0" t="s">
        <v>464</v>
      </c>
    </row>
    <row customHeight="1" ht="11.25">
      <c r="A506" s="8274" t="s">
        <v>2233</v>
      </c>
      <c r="B506" s="8274" t="s">
        <v>14</v>
      </c>
      <c r="C506" s="8274" t="s">
        <v>2351</v>
      </c>
      <c r="D506" s="8274" t="s">
        <v>2352</v>
      </c>
      <c r="E506" s="8274" t="s">
        <v>2349</v>
      </c>
      <c r="F506" s="8274" t="s">
        <v>2353</v>
      </c>
      <c r="G506" s="8274" t="s">
        <v>17</v>
      </c>
      <c r="H506" s="8274" t="s">
        <v>17</v>
      </c>
      <c r="I506" s="8274" t="s">
        <v>3386</v>
      </c>
      <c r="J506" s="0" t="s">
        <v>17</v>
      </c>
      <c r="K506" s="0" t="s">
        <v>3368</v>
      </c>
      <c r="L506" s="0" t="s">
        <v>3374</v>
      </c>
      <c r="M506" s="0" t="s">
        <v>3375</v>
      </c>
      <c r="N506" s="0" t="s">
        <v>464</v>
      </c>
    </row>
    <row customHeight="1" ht="11.25">
      <c r="A507" s="8274" t="s">
        <v>2233</v>
      </c>
      <c r="B507" s="8274" t="s">
        <v>14</v>
      </c>
      <c r="C507" s="8274" t="s">
        <v>2351</v>
      </c>
      <c r="D507" s="8274" t="s">
        <v>2352</v>
      </c>
      <c r="E507" s="8274" t="s">
        <v>2349</v>
      </c>
      <c r="F507" s="8274" t="s">
        <v>2353</v>
      </c>
      <c r="G507" s="8274" t="s">
        <v>17</v>
      </c>
      <c r="H507" s="8274" t="s">
        <v>17</v>
      </c>
      <c r="I507" s="8274" t="s">
        <v>2932</v>
      </c>
      <c r="J507" s="0" t="s">
        <v>17</v>
      </c>
      <c r="K507" s="0" t="s">
        <v>3368</v>
      </c>
      <c r="L507" s="0" t="s">
        <v>3369</v>
      </c>
      <c r="M507" s="0" t="s">
        <v>3370</v>
      </c>
      <c r="N507" s="0" t="s">
        <v>464</v>
      </c>
    </row>
    <row customHeight="1" ht="11.25">
      <c r="A508" s="8274" t="s">
        <v>2233</v>
      </c>
      <c r="B508" s="8274" t="s">
        <v>14</v>
      </c>
      <c r="C508" s="8274" t="s">
        <v>2351</v>
      </c>
      <c r="D508" s="8274" t="s">
        <v>2352</v>
      </c>
      <c r="E508" s="8274" t="s">
        <v>2349</v>
      </c>
      <c r="F508" s="8274" t="s">
        <v>2353</v>
      </c>
      <c r="G508" s="8274" t="s">
        <v>17</v>
      </c>
      <c r="H508" s="8274" t="s">
        <v>17</v>
      </c>
      <c r="I508" s="8274" t="s">
        <v>2932</v>
      </c>
      <c r="J508" s="0" t="s">
        <v>17</v>
      </c>
      <c r="K508" s="0" t="s">
        <v>3365</v>
      </c>
      <c r="L508" s="0" t="s">
        <v>3366</v>
      </c>
      <c r="M508" s="0" t="s">
        <v>3367</v>
      </c>
      <c r="N508" s="0" t="s">
        <v>464</v>
      </c>
    </row>
    <row customHeight="1" ht="11.25">
      <c r="A509" s="8274" t="s">
        <v>2233</v>
      </c>
      <c r="B509" s="8274" t="s">
        <v>14</v>
      </c>
      <c r="C509" s="8274" t="s">
        <v>2351</v>
      </c>
      <c r="D509" s="8274" t="s">
        <v>2352</v>
      </c>
      <c r="E509" s="8274" t="s">
        <v>2349</v>
      </c>
      <c r="F509" s="8274" t="s">
        <v>2353</v>
      </c>
      <c r="G509" s="8274" t="s">
        <v>17</v>
      </c>
      <c r="H509" s="8274" t="s">
        <v>17</v>
      </c>
      <c r="I509" s="8274" t="s">
        <v>3387</v>
      </c>
      <c r="J509" s="0" t="s">
        <v>17</v>
      </c>
      <c r="K509" s="0" t="s">
        <v>3365</v>
      </c>
      <c r="L509" s="0" t="s">
        <v>3366</v>
      </c>
      <c r="M509" s="0" t="s">
        <v>3367</v>
      </c>
      <c r="N509" s="0" t="s">
        <v>464</v>
      </c>
    </row>
    <row customHeight="1" ht="11.25">
      <c r="A510" s="8274" t="s">
        <v>2233</v>
      </c>
      <c r="B510" s="8274" t="s">
        <v>14</v>
      </c>
      <c r="C510" s="8274" t="s">
        <v>2390</v>
      </c>
      <c r="D510" s="8274" t="s">
        <v>2391</v>
      </c>
      <c r="E510" s="8274" t="s">
        <v>2392</v>
      </c>
      <c r="F510" s="8274" t="s">
        <v>1481</v>
      </c>
      <c r="G510" s="8274" t="s">
        <v>17</v>
      </c>
      <c r="H510" s="8274" t="s">
        <v>17</v>
      </c>
      <c r="I510" s="8274" t="s">
        <v>2936</v>
      </c>
      <c r="J510" s="0" t="s">
        <v>17</v>
      </c>
      <c r="K510" s="0" t="s">
        <v>3371</v>
      </c>
      <c r="L510" s="0" t="s">
        <v>3372</v>
      </c>
      <c r="M510" s="0" t="s">
        <v>3373</v>
      </c>
      <c r="N510" s="0" t="s">
        <v>464</v>
      </c>
    </row>
    <row customHeight="1" ht="11.25">
      <c r="A511" s="8274" t="s">
        <v>2233</v>
      </c>
      <c r="B511" s="8274" t="s">
        <v>14</v>
      </c>
      <c r="C511" s="8274" t="s">
        <v>2398</v>
      </c>
      <c r="D511" s="8274" t="s">
        <v>2399</v>
      </c>
      <c r="E511" s="8274" t="s">
        <v>2400</v>
      </c>
      <c r="F511" s="8274" t="s">
        <v>1481</v>
      </c>
      <c r="G511" s="8274" t="s">
        <v>2401</v>
      </c>
      <c r="H511" s="8274" t="s">
        <v>17</v>
      </c>
      <c r="I511" s="8274" t="s">
        <v>2938</v>
      </c>
      <c r="J511" s="0" t="s">
        <v>17</v>
      </c>
      <c r="K511" s="0" t="s">
        <v>3377</v>
      </c>
      <c r="L511" s="0" t="s">
        <v>3378</v>
      </c>
      <c r="M511" s="0" t="s">
        <v>3379</v>
      </c>
      <c r="N511" s="0" t="s">
        <v>464</v>
      </c>
    </row>
    <row customHeight="1" ht="11.25">
      <c r="A512" s="8274" t="s">
        <v>2233</v>
      </c>
      <c r="B512" s="8274" t="s">
        <v>14</v>
      </c>
      <c r="C512" s="8274" t="s">
        <v>2412</v>
      </c>
      <c r="D512" s="8274" t="s">
        <v>2413</v>
      </c>
      <c r="E512" s="8274" t="s">
        <v>2414</v>
      </c>
      <c r="F512" s="8274" t="s">
        <v>2415</v>
      </c>
      <c r="G512" s="8274" t="s">
        <v>17</v>
      </c>
      <c r="H512" s="8274" t="s">
        <v>17</v>
      </c>
      <c r="I512" s="8274" t="s">
        <v>3388</v>
      </c>
      <c r="J512" s="0" t="s">
        <v>17</v>
      </c>
      <c r="K512" s="0" t="s">
        <v>3368</v>
      </c>
      <c r="L512" s="0" t="s">
        <v>3369</v>
      </c>
      <c r="M512" s="0" t="s">
        <v>3370</v>
      </c>
      <c r="N512" s="0" t="s">
        <v>464</v>
      </c>
    </row>
    <row customHeight="1" ht="11.25">
      <c r="A513" s="8274" t="s">
        <v>2233</v>
      </c>
      <c r="B513" s="8274" t="s">
        <v>14</v>
      </c>
      <c r="C513" s="8274" t="s">
        <v>2412</v>
      </c>
      <c r="D513" s="8274" t="s">
        <v>2413</v>
      </c>
      <c r="E513" s="8274" t="s">
        <v>2414</v>
      </c>
      <c r="F513" s="8274" t="s">
        <v>2415</v>
      </c>
      <c r="G513" s="8274" t="s">
        <v>17</v>
      </c>
      <c r="H513" s="8274" t="s">
        <v>17</v>
      </c>
      <c r="I513" s="8274" t="s">
        <v>2274</v>
      </c>
      <c r="J513" s="0" t="s">
        <v>17</v>
      </c>
      <c r="K513" s="0" t="s">
        <v>3377</v>
      </c>
      <c r="L513" s="0" t="s">
        <v>3378</v>
      </c>
      <c r="M513" s="0" t="s">
        <v>3379</v>
      </c>
      <c r="N513" s="0" t="s">
        <v>464</v>
      </c>
    </row>
    <row customHeight="1" ht="11.25">
      <c r="A514" s="8274" t="s">
        <v>2233</v>
      </c>
      <c r="B514" s="8274" t="s">
        <v>14</v>
      </c>
      <c r="C514" s="8274" t="s">
        <v>2948</v>
      </c>
      <c r="D514" s="8274" t="s">
        <v>2949</v>
      </c>
      <c r="E514" s="8274" t="s">
        <v>2414</v>
      </c>
      <c r="F514" s="8274" t="s">
        <v>2950</v>
      </c>
      <c r="G514" s="8274" t="s">
        <v>17</v>
      </c>
      <c r="H514" s="8274" t="s">
        <v>17</v>
      </c>
      <c r="I514" s="8274" t="s">
        <v>2274</v>
      </c>
      <c r="J514" s="0" t="s">
        <v>17</v>
      </c>
      <c r="K514" s="0" t="s">
        <v>3368</v>
      </c>
      <c r="L514" s="0" t="s">
        <v>3369</v>
      </c>
      <c r="M514" s="0" t="s">
        <v>3370</v>
      </c>
      <c r="N514" s="0" t="s">
        <v>464</v>
      </c>
    </row>
    <row customHeight="1" ht="11.25">
      <c r="A515" s="8274" t="s">
        <v>2233</v>
      </c>
      <c r="B515" s="8274" t="s">
        <v>14</v>
      </c>
      <c r="C515" s="8274" t="s">
        <v>2417</v>
      </c>
      <c r="D515" s="8274" t="s">
        <v>2418</v>
      </c>
      <c r="E515" s="8274" t="s">
        <v>2419</v>
      </c>
      <c r="F515" s="8274" t="s">
        <v>2420</v>
      </c>
      <c r="G515" s="8274" t="s">
        <v>17</v>
      </c>
      <c r="H515" s="8274" t="s">
        <v>17</v>
      </c>
      <c r="I515" s="8274" t="s">
        <v>2421</v>
      </c>
      <c r="J515" s="0" t="s">
        <v>17</v>
      </c>
      <c r="K515" s="0" t="s">
        <v>3371</v>
      </c>
      <c r="L515" s="0" t="s">
        <v>3380</v>
      </c>
      <c r="M515" s="0" t="s">
        <v>3381</v>
      </c>
      <c r="N515" s="0" t="s">
        <v>464</v>
      </c>
    </row>
    <row customHeight="1" ht="11.25">
      <c r="A516" s="8274" t="s">
        <v>2233</v>
      </c>
      <c r="B516" s="8274" t="s">
        <v>14</v>
      </c>
      <c r="C516" s="8274" t="s">
        <v>2417</v>
      </c>
      <c r="D516" s="8274" t="s">
        <v>2418</v>
      </c>
      <c r="E516" s="8274" t="s">
        <v>2419</v>
      </c>
      <c r="F516" s="8274" t="s">
        <v>2420</v>
      </c>
      <c r="G516" s="8274" t="s">
        <v>17</v>
      </c>
      <c r="H516" s="8274" t="s">
        <v>17</v>
      </c>
      <c r="I516" s="8274" t="s">
        <v>2422</v>
      </c>
      <c r="J516" s="0" t="s">
        <v>17</v>
      </c>
      <c r="K516" s="0" t="s">
        <v>3368</v>
      </c>
      <c r="L516" s="0" t="s">
        <v>3369</v>
      </c>
      <c r="M516" s="0" t="s">
        <v>3370</v>
      </c>
      <c r="N516" s="0" t="s">
        <v>464</v>
      </c>
    </row>
    <row customHeight="1" ht="11.25">
      <c r="A517" s="8274" t="s">
        <v>2233</v>
      </c>
      <c r="B517" s="8274" t="s">
        <v>14</v>
      </c>
      <c r="C517" s="8274" t="s">
        <v>2417</v>
      </c>
      <c r="D517" s="8274" t="s">
        <v>2418</v>
      </c>
      <c r="E517" s="8274" t="s">
        <v>2419</v>
      </c>
      <c r="F517" s="8274" t="s">
        <v>2420</v>
      </c>
      <c r="G517" s="8274" t="s">
        <v>17</v>
      </c>
      <c r="H517" s="8274" t="s">
        <v>17</v>
      </c>
      <c r="I517" s="8274" t="s">
        <v>2871</v>
      </c>
      <c r="J517" s="0" t="s">
        <v>17</v>
      </c>
      <c r="K517" s="0" t="s">
        <v>3365</v>
      </c>
      <c r="L517" s="0" t="s">
        <v>3366</v>
      </c>
      <c r="M517" s="0" t="s">
        <v>3367</v>
      </c>
      <c r="N517" s="0" t="s">
        <v>464</v>
      </c>
    </row>
    <row customHeight="1" ht="11.25">
      <c r="A518" s="8274" t="s">
        <v>2233</v>
      </c>
      <c r="B518" s="8274" t="s">
        <v>14</v>
      </c>
      <c r="C518" s="8274" t="s">
        <v>2429</v>
      </c>
      <c r="D518" s="8274" t="s">
        <v>2430</v>
      </c>
      <c r="E518" s="8274" t="s">
        <v>2431</v>
      </c>
      <c r="F518" s="8274" t="s">
        <v>2432</v>
      </c>
      <c r="G518" s="8274" t="s">
        <v>17</v>
      </c>
      <c r="H518" s="8274" t="s">
        <v>17</v>
      </c>
      <c r="I518" s="8274" t="s">
        <v>2893</v>
      </c>
      <c r="J518" s="0" t="s">
        <v>17</v>
      </c>
      <c r="K518" s="0" t="s">
        <v>3368</v>
      </c>
      <c r="L518" s="0" t="s">
        <v>3369</v>
      </c>
      <c r="M518" s="0" t="s">
        <v>3370</v>
      </c>
      <c r="N518" s="0" t="s">
        <v>464</v>
      </c>
    </row>
    <row customHeight="1" ht="11.25">
      <c r="A519" s="8274" t="s">
        <v>2233</v>
      </c>
      <c r="B519" s="8274" t="s">
        <v>14</v>
      </c>
      <c r="C519" s="8274" t="s">
        <v>2971</v>
      </c>
      <c r="D519" s="8274" t="s">
        <v>2972</v>
      </c>
      <c r="E519" s="8274" t="s">
        <v>2973</v>
      </c>
      <c r="F519" s="8274" t="s">
        <v>2310</v>
      </c>
      <c r="G519" s="8274" t="s">
        <v>17</v>
      </c>
      <c r="H519" s="8274" t="s">
        <v>17</v>
      </c>
      <c r="I519" s="8274" t="s">
        <v>3389</v>
      </c>
      <c r="J519" s="0" t="s">
        <v>17</v>
      </c>
      <c r="K519" s="0" t="s">
        <v>3368</v>
      </c>
      <c r="L519" s="0" t="s">
        <v>3369</v>
      </c>
      <c r="M519" s="0" t="s">
        <v>3370</v>
      </c>
      <c r="N519" s="0" t="s">
        <v>464</v>
      </c>
    </row>
    <row customHeight="1" ht="11.25">
      <c r="A520" s="8274" t="s">
        <v>2233</v>
      </c>
      <c r="B520" s="8274" t="s">
        <v>14</v>
      </c>
      <c r="C520" s="8274" t="s">
        <v>2437</v>
      </c>
      <c r="D520" s="8274" t="s">
        <v>2438</v>
      </c>
      <c r="E520" s="8274" t="s">
        <v>2439</v>
      </c>
      <c r="F520" s="8274" t="s">
        <v>2432</v>
      </c>
      <c r="G520" s="8274" t="s">
        <v>2440</v>
      </c>
      <c r="H520" s="8274" t="s">
        <v>17</v>
      </c>
      <c r="I520" s="8274" t="s">
        <v>2259</v>
      </c>
      <c r="J520" s="0" t="s">
        <v>17</v>
      </c>
      <c r="K520" s="0" t="s">
        <v>3368</v>
      </c>
      <c r="L520" s="0" t="s">
        <v>3369</v>
      </c>
      <c r="M520" s="0" t="s">
        <v>3370</v>
      </c>
      <c r="N520" s="0" t="s">
        <v>464</v>
      </c>
    </row>
    <row customHeight="1" ht="11.25">
      <c r="A521" s="8274" t="s">
        <v>2233</v>
      </c>
      <c r="B521" s="8274" t="s">
        <v>14</v>
      </c>
      <c r="C521" s="8274" t="s">
        <v>2442</v>
      </c>
      <c r="D521" s="8274" t="s">
        <v>2443</v>
      </c>
      <c r="E521" s="8274" t="s">
        <v>2444</v>
      </c>
      <c r="F521" s="8274" t="s">
        <v>2432</v>
      </c>
      <c r="G521" s="8274" t="s">
        <v>2445</v>
      </c>
      <c r="H521" s="8274" t="s">
        <v>17</v>
      </c>
      <c r="I521" s="8274" t="s">
        <v>2445</v>
      </c>
      <c r="J521" s="0" t="s">
        <v>17</v>
      </c>
      <c r="K521" s="0" t="s">
        <v>3365</v>
      </c>
      <c r="L521" s="0" t="s">
        <v>3366</v>
      </c>
      <c r="M521" s="0" t="s">
        <v>3367</v>
      </c>
      <c r="N521" s="0" t="s">
        <v>464</v>
      </c>
    </row>
    <row customHeight="1" ht="11.25">
      <c r="A522" s="8274" t="s">
        <v>2233</v>
      </c>
      <c r="B522" s="8274" t="s">
        <v>14</v>
      </c>
      <c r="C522" s="8274" t="s">
        <v>2446</v>
      </c>
      <c r="D522" s="8274" t="s">
        <v>2447</v>
      </c>
      <c r="E522" s="8274" t="s">
        <v>2448</v>
      </c>
      <c r="F522" s="8274" t="s">
        <v>2375</v>
      </c>
      <c r="G522" s="8274" t="s">
        <v>17</v>
      </c>
      <c r="H522" s="8274" t="s">
        <v>17</v>
      </c>
      <c r="I522" s="8274" t="s">
        <v>2449</v>
      </c>
      <c r="J522" s="0" t="s">
        <v>17</v>
      </c>
      <c r="K522" s="0" t="s">
        <v>3368</v>
      </c>
      <c r="L522" s="0" t="s">
        <v>3369</v>
      </c>
      <c r="M522" s="0" t="s">
        <v>3370</v>
      </c>
      <c r="N522" s="0" t="s">
        <v>464</v>
      </c>
    </row>
    <row customHeight="1" ht="11.25">
      <c r="A523" s="8274" t="s">
        <v>2233</v>
      </c>
      <c r="B523" s="8274" t="s">
        <v>14</v>
      </c>
      <c r="C523" s="8274" t="s">
        <v>2981</v>
      </c>
      <c r="D523" s="8274" t="s">
        <v>2982</v>
      </c>
      <c r="E523" s="8274" t="s">
        <v>2983</v>
      </c>
      <c r="F523" s="8274" t="s">
        <v>2984</v>
      </c>
      <c r="G523" s="8274" t="s">
        <v>17</v>
      </c>
      <c r="H523" s="8274" t="s">
        <v>17</v>
      </c>
      <c r="I523" s="8274" t="s">
        <v>2985</v>
      </c>
      <c r="J523" s="0" t="s">
        <v>17</v>
      </c>
      <c r="K523" s="0" t="s">
        <v>3371</v>
      </c>
      <c r="L523" s="0" t="s">
        <v>3372</v>
      </c>
      <c r="M523" s="0" t="s">
        <v>3373</v>
      </c>
      <c r="N523" s="0" t="s">
        <v>464</v>
      </c>
    </row>
    <row customHeight="1" ht="11.25">
      <c r="A524" s="8274" t="s">
        <v>2233</v>
      </c>
      <c r="B524" s="8274" t="s">
        <v>14</v>
      </c>
      <c r="C524" s="8274" t="s">
        <v>2450</v>
      </c>
      <c r="D524" s="8274" t="s">
        <v>2451</v>
      </c>
      <c r="E524" s="8274" t="s">
        <v>2452</v>
      </c>
      <c r="F524" s="8274" t="s">
        <v>2432</v>
      </c>
      <c r="G524" s="8274" t="s">
        <v>17</v>
      </c>
      <c r="H524" s="8274" t="s">
        <v>17</v>
      </c>
      <c r="I524" s="8274" t="s">
        <v>2453</v>
      </c>
      <c r="J524" s="0" t="s">
        <v>17</v>
      </c>
      <c r="K524" s="0" t="s">
        <v>3368</v>
      </c>
      <c r="L524" s="0" t="s">
        <v>3390</v>
      </c>
      <c r="M524" s="0" t="s">
        <v>3391</v>
      </c>
      <c r="N524" s="0" t="s">
        <v>464</v>
      </c>
    </row>
    <row customHeight="1" ht="11.25">
      <c r="A525" s="8274" t="s">
        <v>2233</v>
      </c>
      <c r="B525" s="8274" t="s">
        <v>14</v>
      </c>
      <c r="C525" s="8274" t="s">
        <v>2455</v>
      </c>
      <c r="D525" s="8274" t="s">
        <v>2456</v>
      </c>
      <c r="E525" s="8274" t="s">
        <v>2457</v>
      </c>
      <c r="F525" s="8274" t="s">
        <v>2458</v>
      </c>
      <c r="G525" s="8274" t="s">
        <v>17</v>
      </c>
      <c r="H525" s="8274" t="s">
        <v>17</v>
      </c>
      <c r="I525" s="8274" t="s">
        <v>2311</v>
      </c>
      <c r="J525" s="0" t="s">
        <v>17</v>
      </c>
      <c r="K525" s="0" t="s">
        <v>3371</v>
      </c>
      <c r="L525" s="0" t="s">
        <v>3372</v>
      </c>
      <c r="M525" s="0" t="s">
        <v>3373</v>
      </c>
      <c r="N525" s="0" t="s">
        <v>464</v>
      </c>
    </row>
    <row customHeight="1" ht="11.25">
      <c r="A526" s="8274" t="s">
        <v>2233</v>
      </c>
      <c r="B526" s="8274" t="s">
        <v>14</v>
      </c>
      <c r="C526" s="8274" t="s">
        <v>2990</v>
      </c>
      <c r="D526" s="8274" t="s">
        <v>2991</v>
      </c>
      <c r="E526" s="8274" t="s">
        <v>2992</v>
      </c>
      <c r="F526" s="8274" t="s">
        <v>2643</v>
      </c>
      <c r="G526" s="8274" t="s">
        <v>17</v>
      </c>
      <c r="H526" s="8274" t="s">
        <v>17</v>
      </c>
      <c r="I526" s="8274" t="s">
        <v>2993</v>
      </c>
      <c r="J526" s="0" t="s">
        <v>17</v>
      </c>
      <c r="K526" s="0" t="s">
        <v>3377</v>
      </c>
      <c r="L526" s="0" t="s">
        <v>3378</v>
      </c>
      <c r="M526" s="0" t="s">
        <v>3379</v>
      </c>
      <c r="N526" s="0" t="s">
        <v>464</v>
      </c>
    </row>
    <row customHeight="1" ht="11.25">
      <c r="A527" s="8274" t="s">
        <v>2233</v>
      </c>
      <c r="B527" s="8274" t="s">
        <v>14</v>
      </c>
      <c r="C527" s="8274" t="s">
        <v>3392</v>
      </c>
      <c r="D527" s="8274" t="s">
        <v>3393</v>
      </c>
      <c r="E527" s="8274" t="s">
        <v>3394</v>
      </c>
      <c r="F527" s="8274" t="s">
        <v>2560</v>
      </c>
      <c r="G527" s="8274" t="s">
        <v>17</v>
      </c>
      <c r="H527" s="8274" t="s">
        <v>17</v>
      </c>
      <c r="I527" s="8274" t="s">
        <v>2883</v>
      </c>
      <c r="J527" s="0" t="s">
        <v>17</v>
      </c>
      <c r="K527" s="0" t="s">
        <v>3368</v>
      </c>
      <c r="L527" s="0" t="s">
        <v>3390</v>
      </c>
      <c r="M527" s="0" t="s">
        <v>3391</v>
      </c>
      <c r="N527" s="0" t="s">
        <v>464</v>
      </c>
    </row>
    <row customHeight="1" ht="11.25">
      <c r="A528" s="8274" t="s">
        <v>2233</v>
      </c>
      <c r="B528" s="8274" t="s">
        <v>14</v>
      </c>
      <c r="C528" s="8274" t="s">
        <v>2467</v>
      </c>
      <c r="D528" s="8274" t="s">
        <v>2468</v>
      </c>
      <c r="E528" s="8274" t="s">
        <v>2469</v>
      </c>
      <c r="F528" s="8274" t="s">
        <v>51</v>
      </c>
      <c r="G528" s="8274" t="s">
        <v>2470</v>
      </c>
      <c r="H528" s="8274" t="s">
        <v>17</v>
      </c>
      <c r="I528" s="8274" t="s">
        <v>2470</v>
      </c>
      <c r="J528" s="0" t="s">
        <v>17</v>
      </c>
      <c r="K528" s="0" t="s">
        <v>3371</v>
      </c>
      <c r="L528" s="0" t="s">
        <v>3372</v>
      </c>
      <c r="M528" s="0" t="s">
        <v>3373</v>
      </c>
      <c r="N528" s="0" t="s">
        <v>464</v>
      </c>
    </row>
    <row customHeight="1" ht="11.25">
      <c r="A529" s="8274" t="s">
        <v>2233</v>
      </c>
      <c r="B529" s="8274" t="s">
        <v>14</v>
      </c>
      <c r="C529" s="8274" t="s">
        <v>2471</v>
      </c>
      <c r="D529" s="8274" t="s">
        <v>2472</v>
      </c>
      <c r="E529" s="8274" t="s">
        <v>2473</v>
      </c>
      <c r="F529" s="8274" t="s">
        <v>2432</v>
      </c>
      <c r="G529" s="8274" t="s">
        <v>17</v>
      </c>
      <c r="H529" s="8274" t="s">
        <v>17</v>
      </c>
      <c r="I529" s="8274" t="s">
        <v>2474</v>
      </c>
      <c r="J529" s="0" t="s">
        <v>17</v>
      </c>
      <c r="K529" s="0" t="s">
        <v>3371</v>
      </c>
      <c r="L529" s="0" t="s">
        <v>3372</v>
      </c>
      <c r="M529" s="0" t="s">
        <v>3373</v>
      </c>
      <c r="N529" s="0" t="s">
        <v>464</v>
      </c>
    </row>
    <row customHeight="1" ht="11.25">
      <c r="A530" s="8274" t="s">
        <v>2233</v>
      </c>
      <c r="B530" s="8274" t="s">
        <v>14</v>
      </c>
      <c r="C530" s="8274" t="s">
        <v>3012</v>
      </c>
      <c r="D530" s="8274" t="s">
        <v>3013</v>
      </c>
      <c r="E530" s="8274" t="s">
        <v>3014</v>
      </c>
      <c r="F530" s="8274" t="s">
        <v>2310</v>
      </c>
      <c r="G530" s="8274" t="s">
        <v>17</v>
      </c>
      <c r="H530" s="8274" t="s">
        <v>17</v>
      </c>
      <c r="I530" s="8274" t="s">
        <v>3015</v>
      </c>
      <c r="J530" s="0" t="s">
        <v>17</v>
      </c>
      <c r="K530" s="0" t="s">
        <v>3368</v>
      </c>
      <c r="L530" s="0" t="s">
        <v>3390</v>
      </c>
      <c r="M530" s="0" t="s">
        <v>3391</v>
      </c>
      <c r="N530" s="0" t="s">
        <v>464</v>
      </c>
    </row>
    <row customHeight="1" ht="11.25">
      <c r="A531" s="8274" t="s">
        <v>2233</v>
      </c>
      <c r="B531" s="8274" t="s">
        <v>14</v>
      </c>
      <c r="C531" s="8274" t="s">
        <v>3016</v>
      </c>
      <c r="D531" s="8274" t="s">
        <v>3017</v>
      </c>
      <c r="E531" s="8274" t="s">
        <v>3018</v>
      </c>
      <c r="F531" s="8274" t="s">
        <v>51</v>
      </c>
      <c r="G531" s="8274" t="s">
        <v>17</v>
      </c>
      <c r="H531" s="8274" t="s">
        <v>17</v>
      </c>
      <c r="I531" s="8274" t="s">
        <v>3019</v>
      </c>
      <c r="J531" s="0" t="s">
        <v>17</v>
      </c>
      <c r="K531" s="0" t="s">
        <v>3377</v>
      </c>
      <c r="L531" s="0" t="s">
        <v>3378</v>
      </c>
      <c r="M531" s="0" t="s">
        <v>3379</v>
      </c>
      <c r="N531" s="0" t="s">
        <v>464</v>
      </c>
    </row>
    <row customHeight="1" ht="11.25">
      <c r="A532" s="8274" t="s">
        <v>2233</v>
      </c>
      <c r="B532" s="8274" t="s">
        <v>14</v>
      </c>
      <c r="C532" s="8274" t="s">
        <v>3016</v>
      </c>
      <c r="D532" s="8274" t="s">
        <v>3017</v>
      </c>
      <c r="E532" s="8274" t="s">
        <v>3018</v>
      </c>
      <c r="F532" s="8274" t="s">
        <v>51</v>
      </c>
      <c r="G532" s="8274" t="s">
        <v>17</v>
      </c>
      <c r="H532" s="8274" t="s">
        <v>17</v>
      </c>
      <c r="I532" s="8274" t="s">
        <v>3395</v>
      </c>
      <c r="J532" s="0" t="s">
        <v>17</v>
      </c>
      <c r="K532" s="0" t="s">
        <v>3368</v>
      </c>
      <c r="L532" s="0" t="s">
        <v>3390</v>
      </c>
      <c r="M532" s="0" t="s">
        <v>3391</v>
      </c>
      <c r="N532" s="0" t="s">
        <v>464</v>
      </c>
    </row>
    <row customHeight="1" ht="11.25">
      <c r="A533" s="8274" t="s">
        <v>2233</v>
      </c>
      <c r="B533" s="8274" t="s">
        <v>14</v>
      </c>
      <c r="C533" s="8274" t="s">
        <v>3020</v>
      </c>
      <c r="D533" s="8274" t="s">
        <v>3021</v>
      </c>
      <c r="E533" s="8274" t="s">
        <v>3022</v>
      </c>
      <c r="F533" s="8274" t="s">
        <v>2310</v>
      </c>
      <c r="G533" s="8274" t="s">
        <v>3023</v>
      </c>
      <c r="H533" s="8274" t="s">
        <v>17</v>
      </c>
      <c r="I533" s="8274" t="s">
        <v>3023</v>
      </c>
      <c r="J533" s="0" t="s">
        <v>17</v>
      </c>
      <c r="K533" s="0" t="s">
        <v>3377</v>
      </c>
      <c r="L533" s="0" t="s">
        <v>3378</v>
      </c>
      <c r="M533" s="0" t="s">
        <v>3379</v>
      </c>
      <c r="N533" s="0" t="s">
        <v>464</v>
      </c>
    </row>
    <row customHeight="1" ht="11.25">
      <c r="A534" s="8274" t="s">
        <v>2233</v>
      </c>
      <c r="B534" s="8274" t="s">
        <v>14</v>
      </c>
      <c r="C534" s="8274" t="s">
        <v>3024</v>
      </c>
      <c r="D534" s="8274" t="s">
        <v>3025</v>
      </c>
      <c r="E534" s="8274" t="s">
        <v>3026</v>
      </c>
      <c r="F534" s="8274" t="s">
        <v>2310</v>
      </c>
      <c r="G534" s="8274" t="s">
        <v>3027</v>
      </c>
      <c r="H534" s="8274" t="s">
        <v>17</v>
      </c>
      <c r="I534" s="8274" t="s">
        <v>3027</v>
      </c>
      <c r="J534" s="0" t="s">
        <v>17</v>
      </c>
      <c r="K534" s="0" t="s">
        <v>3377</v>
      </c>
      <c r="L534" s="0" t="s">
        <v>3378</v>
      </c>
      <c r="M534" s="0" t="s">
        <v>3379</v>
      </c>
      <c r="N534" s="0" t="s">
        <v>464</v>
      </c>
    </row>
    <row customHeight="1" ht="11.25">
      <c r="A535" s="8274" t="s">
        <v>2233</v>
      </c>
      <c r="B535" s="8274" t="s">
        <v>14</v>
      </c>
      <c r="C535" s="8274" t="s">
        <v>3031</v>
      </c>
      <c r="D535" s="8274" t="s">
        <v>3032</v>
      </c>
      <c r="E535" s="8274" t="s">
        <v>3033</v>
      </c>
      <c r="F535" s="8274" t="s">
        <v>2548</v>
      </c>
      <c r="G535" s="8274" t="s">
        <v>17</v>
      </c>
      <c r="H535" s="8274" t="s">
        <v>17</v>
      </c>
      <c r="I535" s="8274" t="s">
        <v>2985</v>
      </c>
      <c r="J535" s="0" t="s">
        <v>17</v>
      </c>
      <c r="K535" s="0" t="s">
        <v>3371</v>
      </c>
      <c r="L535" s="0" t="s">
        <v>3372</v>
      </c>
      <c r="M535" s="0" t="s">
        <v>3373</v>
      </c>
      <c r="N535" s="0" t="s">
        <v>464</v>
      </c>
    </row>
    <row customHeight="1" ht="11.25">
      <c r="A536" s="8274" t="s">
        <v>2233</v>
      </c>
      <c r="B536" s="8274" t="s">
        <v>14</v>
      </c>
      <c r="C536" s="8274" t="s">
        <v>3034</v>
      </c>
      <c r="D536" s="8274" t="s">
        <v>3035</v>
      </c>
      <c r="E536" s="8274" t="s">
        <v>3036</v>
      </c>
      <c r="F536" s="8274" t="s">
        <v>2506</v>
      </c>
      <c r="G536" s="8274" t="s">
        <v>17</v>
      </c>
      <c r="H536" s="8274" t="s">
        <v>17</v>
      </c>
      <c r="I536" s="8274" t="s">
        <v>3037</v>
      </c>
      <c r="J536" s="0" t="s">
        <v>17</v>
      </c>
      <c r="K536" s="0" t="s">
        <v>3371</v>
      </c>
      <c r="L536" s="0" t="s">
        <v>3372</v>
      </c>
      <c r="M536" s="0" t="s">
        <v>3373</v>
      </c>
      <c r="N536" s="0" t="s">
        <v>464</v>
      </c>
    </row>
    <row customHeight="1" ht="11.25">
      <c r="A537" s="8274" t="s">
        <v>2233</v>
      </c>
      <c r="B537" s="8274" t="s">
        <v>14</v>
      </c>
      <c r="C537" s="8274" t="s">
        <v>3038</v>
      </c>
      <c r="D537" s="8274" t="s">
        <v>3039</v>
      </c>
      <c r="E537" s="8274" t="s">
        <v>3040</v>
      </c>
      <c r="F537" s="8274" t="s">
        <v>2310</v>
      </c>
      <c r="G537" s="8274" t="s">
        <v>17</v>
      </c>
      <c r="H537" s="8274" t="s">
        <v>17</v>
      </c>
      <c r="I537" s="8274" t="s">
        <v>2883</v>
      </c>
      <c r="J537" s="0" t="s">
        <v>17</v>
      </c>
      <c r="K537" s="0" t="s">
        <v>3368</v>
      </c>
      <c r="L537" s="0" t="s">
        <v>3369</v>
      </c>
      <c r="M537" s="0" t="s">
        <v>3370</v>
      </c>
      <c r="N537" s="0" t="s">
        <v>464</v>
      </c>
    </row>
    <row customHeight="1" ht="11.25">
      <c r="A538" s="8274" t="s">
        <v>2233</v>
      </c>
      <c r="B538" s="8274" t="s">
        <v>14</v>
      </c>
      <c r="C538" s="8274" t="s">
        <v>3042</v>
      </c>
      <c r="D538" s="8274" t="s">
        <v>3043</v>
      </c>
      <c r="E538" s="8274" t="s">
        <v>3044</v>
      </c>
      <c r="F538" s="8274" t="s">
        <v>2310</v>
      </c>
      <c r="G538" s="8274" t="s">
        <v>3045</v>
      </c>
      <c r="H538" s="8274" t="s">
        <v>17</v>
      </c>
      <c r="I538" s="8274" t="s">
        <v>3046</v>
      </c>
      <c r="J538" s="0" t="s">
        <v>3047</v>
      </c>
      <c r="K538" s="0" t="s">
        <v>3368</v>
      </c>
      <c r="L538" s="0" t="s">
        <v>3390</v>
      </c>
      <c r="M538" s="0" t="s">
        <v>3391</v>
      </c>
      <c r="N538" s="0" t="s">
        <v>464</v>
      </c>
    </row>
    <row customHeight="1" ht="11.25">
      <c r="A539" s="8274" t="s">
        <v>2233</v>
      </c>
      <c r="B539" s="8274" t="s">
        <v>14</v>
      </c>
      <c r="C539" s="8274" t="s">
        <v>3042</v>
      </c>
      <c r="D539" s="8274" t="s">
        <v>3043</v>
      </c>
      <c r="E539" s="8274" t="s">
        <v>3044</v>
      </c>
      <c r="F539" s="8274" t="s">
        <v>2310</v>
      </c>
      <c r="G539" s="8274" t="s">
        <v>3045</v>
      </c>
      <c r="H539" s="8274" t="s">
        <v>17</v>
      </c>
      <c r="I539" s="8274" t="s">
        <v>3049</v>
      </c>
      <c r="J539" s="0" t="s">
        <v>17</v>
      </c>
      <c r="K539" s="0" t="s">
        <v>3368</v>
      </c>
      <c r="L539" s="0" t="s">
        <v>3390</v>
      </c>
      <c r="M539" s="0" t="s">
        <v>3391</v>
      </c>
      <c r="N539" s="0" t="s">
        <v>464</v>
      </c>
    </row>
    <row customHeight="1" ht="11.25">
      <c r="A540" s="8274" t="s">
        <v>2233</v>
      </c>
      <c r="B540" s="8274" t="s">
        <v>14</v>
      </c>
      <c r="C540" s="8274" t="s">
        <v>2479</v>
      </c>
      <c r="D540" s="8274" t="s">
        <v>2480</v>
      </c>
      <c r="E540" s="8274" t="s">
        <v>2481</v>
      </c>
      <c r="F540" s="8274" t="s">
        <v>2482</v>
      </c>
      <c r="G540" s="8274" t="s">
        <v>17</v>
      </c>
      <c r="H540" s="8274" t="s">
        <v>17</v>
      </c>
      <c r="I540" s="8274" t="s">
        <v>2483</v>
      </c>
      <c r="J540" s="0" t="s">
        <v>17</v>
      </c>
      <c r="K540" s="0" t="s">
        <v>3371</v>
      </c>
      <c r="L540" s="0" t="s">
        <v>3372</v>
      </c>
      <c r="M540" s="0" t="s">
        <v>3373</v>
      </c>
      <c r="N540" s="0" t="s">
        <v>464</v>
      </c>
    </row>
    <row customHeight="1" ht="11.25">
      <c r="A541" s="8274" t="s">
        <v>2233</v>
      </c>
      <c r="B541" s="8274" t="s">
        <v>14</v>
      </c>
      <c r="C541" s="8274" t="s">
        <v>3068</v>
      </c>
      <c r="D541" s="8274" t="s">
        <v>3069</v>
      </c>
      <c r="E541" s="8274" t="s">
        <v>3070</v>
      </c>
      <c r="F541" s="8274" t="s">
        <v>2520</v>
      </c>
      <c r="G541" s="8274" t="s">
        <v>17</v>
      </c>
      <c r="H541" s="8274" t="s">
        <v>17</v>
      </c>
      <c r="I541" s="8274" t="s">
        <v>3071</v>
      </c>
      <c r="J541" s="0" t="s">
        <v>17</v>
      </c>
      <c r="K541" s="0" t="s">
        <v>3368</v>
      </c>
      <c r="L541" s="0" t="s">
        <v>3369</v>
      </c>
      <c r="M541" s="0" t="s">
        <v>3370</v>
      </c>
      <c r="N541" s="0" t="s">
        <v>464</v>
      </c>
    </row>
    <row customHeight="1" ht="11.25">
      <c r="A542" s="8274" t="s">
        <v>2233</v>
      </c>
      <c r="B542" s="8274" t="s">
        <v>14</v>
      </c>
      <c r="C542" s="8274" t="s">
        <v>2485</v>
      </c>
      <c r="D542" s="8274" t="s">
        <v>2486</v>
      </c>
      <c r="E542" s="8274" t="s">
        <v>2487</v>
      </c>
      <c r="F542" s="8274" t="s">
        <v>2285</v>
      </c>
      <c r="G542" s="8274" t="s">
        <v>2488</v>
      </c>
      <c r="H542" s="8274" t="s">
        <v>17</v>
      </c>
      <c r="I542" s="8274" t="s">
        <v>2274</v>
      </c>
      <c r="J542" s="0" t="s">
        <v>2490</v>
      </c>
      <c r="K542" s="0" t="s">
        <v>3368</v>
      </c>
      <c r="L542" s="0" t="s">
        <v>3369</v>
      </c>
      <c r="M542" s="0" t="s">
        <v>3370</v>
      </c>
      <c r="N542" s="0" t="s">
        <v>464</v>
      </c>
    </row>
    <row customHeight="1" ht="11.25">
      <c r="A543" s="8274" t="s">
        <v>2233</v>
      </c>
      <c r="B543" s="8274" t="s">
        <v>14</v>
      </c>
      <c r="C543" s="8274" t="s">
        <v>3093</v>
      </c>
      <c r="D543" s="8274" t="s">
        <v>3094</v>
      </c>
      <c r="E543" s="8274" t="s">
        <v>3095</v>
      </c>
      <c r="F543" s="8274" t="s">
        <v>2310</v>
      </c>
      <c r="G543" s="8274" t="s">
        <v>3096</v>
      </c>
      <c r="H543" s="8274" t="s">
        <v>17</v>
      </c>
      <c r="I543" s="8274" t="s">
        <v>3349</v>
      </c>
      <c r="J543" s="0" t="s">
        <v>17</v>
      </c>
      <c r="K543" s="0" t="s">
        <v>3368</v>
      </c>
      <c r="L543" s="0" t="s">
        <v>3369</v>
      </c>
      <c r="M543" s="0" t="s">
        <v>3370</v>
      </c>
      <c r="N543" s="0" t="s">
        <v>464</v>
      </c>
    </row>
    <row customHeight="1" ht="11.25">
      <c r="A544" s="8274" t="s">
        <v>2233</v>
      </c>
      <c r="B544" s="8274" t="s">
        <v>14</v>
      </c>
      <c r="C544" s="8274" t="s">
        <v>3098</v>
      </c>
      <c r="D544" s="8274" t="s">
        <v>3099</v>
      </c>
      <c r="E544" s="8274" t="s">
        <v>3100</v>
      </c>
      <c r="F544" s="8274" t="s">
        <v>2310</v>
      </c>
      <c r="G544" s="8274" t="s">
        <v>17</v>
      </c>
      <c r="H544" s="8274" t="s">
        <v>17</v>
      </c>
      <c r="I544" s="8274" t="s">
        <v>3101</v>
      </c>
      <c r="J544" s="0" t="s">
        <v>2895</v>
      </c>
      <c r="K544" s="0" t="s">
        <v>3368</v>
      </c>
      <c r="L544" s="0" t="s">
        <v>3390</v>
      </c>
      <c r="M544" s="0" t="s">
        <v>3391</v>
      </c>
      <c r="N544" s="0" t="s">
        <v>464</v>
      </c>
    </row>
    <row customHeight="1" ht="11.25">
      <c r="A545" s="8274" t="s">
        <v>2233</v>
      </c>
      <c r="B545" s="8274" t="s">
        <v>14</v>
      </c>
      <c r="C545" s="8274" t="s">
        <v>3113</v>
      </c>
      <c r="D545" s="8274" t="s">
        <v>3114</v>
      </c>
      <c r="E545" s="8274" t="s">
        <v>3115</v>
      </c>
      <c r="F545" s="8274" t="s">
        <v>2310</v>
      </c>
      <c r="G545" s="8274" t="s">
        <v>17</v>
      </c>
      <c r="H545" s="8274" t="s">
        <v>17</v>
      </c>
      <c r="I545" s="8274" t="s">
        <v>3116</v>
      </c>
      <c r="J545" s="0" t="s">
        <v>17</v>
      </c>
      <c r="K545" s="0" t="s">
        <v>3377</v>
      </c>
      <c r="L545" s="0" t="s">
        <v>3378</v>
      </c>
      <c r="M545" s="0" t="s">
        <v>3379</v>
      </c>
      <c r="N545" s="0" t="s">
        <v>464</v>
      </c>
    </row>
    <row customHeight="1" ht="11.25">
      <c r="A546" s="8274" t="s">
        <v>2233</v>
      </c>
      <c r="B546" s="8274" t="s">
        <v>14</v>
      </c>
      <c r="C546" s="8274" t="s">
        <v>2508</v>
      </c>
      <c r="D546" s="8274" t="s">
        <v>2509</v>
      </c>
      <c r="E546" s="8274" t="s">
        <v>2510</v>
      </c>
      <c r="F546" s="8274" t="s">
        <v>2506</v>
      </c>
      <c r="G546" s="8274" t="s">
        <v>17</v>
      </c>
      <c r="H546" s="8274" t="s">
        <v>17</v>
      </c>
      <c r="I546" s="8274" t="s">
        <v>3376</v>
      </c>
      <c r="J546" s="0" t="s">
        <v>17</v>
      </c>
      <c r="K546" s="0" t="s">
        <v>3371</v>
      </c>
      <c r="L546" s="0" t="s">
        <v>3380</v>
      </c>
      <c r="M546" s="0" t="s">
        <v>3381</v>
      </c>
      <c r="N546" s="0" t="s">
        <v>464</v>
      </c>
    </row>
    <row customHeight="1" ht="11.25">
      <c r="A547" s="8274" t="s">
        <v>2233</v>
      </c>
      <c r="B547" s="8274" t="s">
        <v>14</v>
      </c>
      <c r="C547" s="8274" t="s">
        <v>2512</v>
      </c>
      <c r="D547" s="8274" t="s">
        <v>2513</v>
      </c>
      <c r="E547" s="8274" t="s">
        <v>2514</v>
      </c>
      <c r="F547" s="8274" t="s">
        <v>2310</v>
      </c>
      <c r="G547" s="8274" t="s">
        <v>17</v>
      </c>
      <c r="H547" s="8274" t="s">
        <v>17</v>
      </c>
      <c r="I547" s="8274" t="s">
        <v>3142</v>
      </c>
      <c r="J547" s="0" t="s">
        <v>17</v>
      </c>
      <c r="K547" s="0" t="s">
        <v>3368</v>
      </c>
      <c r="L547" s="0" t="s">
        <v>3369</v>
      </c>
      <c r="M547" s="0" t="s">
        <v>3370</v>
      </c>
      <c r="N547" s="0" t="s">
        <v>464</v>
      </c>
    </row>
    <row customHeight="1" ht="11.25">
      <c r="A548" s="8274" t="s">
        <v>2233</v>
      </c>
      <c r="B548" s="8274" t="s">
        <v>14</v>
      </c>
      <c r="C548" s="8274" t="s">
        <v>3143</v>
      </c>
      <c r="D548" s="8274" t="s">
        <v>3144</v>
      </c>
      <c r="E548" s="8274" t="s">
        <v>3145</v>
      </c>
      <c r="F548" s="8274" t="s">
        <v>51</v>
      </c>
      <c r="G548" s="8274" t="s">
        <v>17</v>
      </c>
      <c r="H548" s="8274" t="s">
        <v>17</v>
      </c>
      <c r="I548" s="8274" t="s">
        <v>3396</v>
      </c>
      <c r="J548" s="0" t="s">
        <v>17</v>
      </c>
      <c r="K548" s="0" t="s">
        <v>3368</v>
      </c>
      <c r="L548" s="0" t="s">
        <v>3369</v>
      </c>
      <c r="M548" s="0" t="s">
        <v>3370</v>
      </c>
      <c r="N548" s="0" t="s">
        <v>464</v>
      </c>
    </row>
    <row customHeight="1" ht="11.25">
      <c r="A549" s="8274" t="s">
        <v>2233</v>
      </c>
      <c r="B549" s="8274" t="s">
        <v>14</v>
      </c>
      <c r="C549" s="8274" t="s">
        <v>3146</v>
      </c>
      <c r="D549" s="8274" t="s">
        <v>3147</v>
      </c>
      <c r="E549" s="8274" t="s">
        <v>3148</v>
      </c>
      <c r="F549" s="8274" t="s">
        <v>2520</v>
      </c>
      <c r="G549" s="8274" t="s">
        <v>17</v>
      </c>
      <c r="H549" s="8274" t="s">
        <v>17</v>
      </c>
      <c r="I549" s="8274" t="s">
        <v>2311</v>
      </c>
      <c r="J549" s="0" t="s">
        <v>17</v>
      </c>
      <c r="K549" s="0" t="s">
        <v>3371</v>
      </c>
      <c r="L549" s="0" t="s">
        <v>3372</v>
      </c>
      <c r="M549" s="0" t="s">
        <v>3373</v>
      </c>
      <c r="N549" s="0" t="s">
        <v>464</v>
      </c>
    </row>
    <row customHeight="1" ht="11.25">
      <c r="A550" s="8274" t="s">
        <v>2233</v>
      </c>
      <c r="B550" s="8274" t="s">
        <v>14</v>
      </c>
      <c r="C550" s="8274" t="s">
        <v>2517</v>
      </c>
      <c r="D550" s="8274" t="s">
        <v>2518</v>
      </c>
      <c r="E550" s="8274" t="s">
        <v>2519</v>
      </c>
      <c r="F550" s="8274" t="s">
        <v>2520</v>
      </c>
      <c r="G550" s="8274" t="s">
        <v>17</v>
      </c>
      <c r="H550" s="8274" t="s">
        <v>17</v>
      </c>
      <c r="I550" s="8274" t="s">
        <v>2311</v>
      </c>
      <c r="J550" s="0" t="s">
        <v>17</v>
      </c>
      <c r="K550" s="0" t="s">
        <v>3371</v>
      </c>
      <c r="L550" s="0" t="s">
        <v>3372</v>
      </c>
      <c r="M550" s="0" t="s">
        <v>3373</v>
      </c>
      <c r="N550" s="0" t="s">
        <v>464</v>
      </c>
    </row>
    <row customHeight="1" ht="11.25">
      <c r="A551" s="8274" t="s">
        <v>2233</v>
      </c>
      <c r="B551" s="8274" t="s">
        <v>14</v>
      </c>
      <c r="C551" s="8274" t="s">
        <v>2522</v>
      </c>
      <c r="D551" s="8274" t="s">
        <v>2523</v>
      </c>
      <c r="E551" s="8274" t="s">
        <v>2524</v>
      </c>
      <c r="F551" s="8274" t="s">
        <v>2482</v>
      </c>
      <c r="G551" s="8274" t="s">
        <v>17</v>
      </c>
      <c r="H551" s="8274" t="s">
        <v>17</v>
      </c>
      <c r="I551" s="8274" t="s">
        <v>3397</v>
      </c>
      <c r="J551" s="0" t="s">
        <v>17</v>
      </c>
      <c r="K551" s="0" t="s">
        <v>3368</v>
      </c>
      <c r="L551" s="0" t="s">
        <v>3369</v>
      </c>
      <c r="M551" s="0" t="s">
        <v>3370</v>
      </c>
      <c r="N551" s="0" t="s">
        <v>464</v>
      </c>
    </row>
    <row customHeight="1" ht="11.25">
      <c r="A552" s="8274" t="s">
        <v>2233</v>
      </c>
      <c r="B552" s="8274" t="s">
        <v>14</v>
      </c>
      <c r="C552" s="8274" t="s">
        <v>2525</v>
      </c>
      <c r="D552" s="8274" t="s">
        <v>2526</v>
      </c>
      <c r="E552" s="8274" t="s">
        <v>2527</v>
      </c>
      <c r="F552" s="8274" t="s">
        <v>2506</v>
      </c>
      <c r="G552" s="8274" t="s">
        <v>17</v>
      </c>
      <c r="H552" s="8274" t="s">
        <v>17</v>
      </c>
      <c r="I552" s="8274" t="s">
        <v>2463</v>
      </c>
      <c r="J552" s="0" t="s">
        <v>17</v>
      </c>
      <c r="K552" s="0" t="s">
        <v>3371</v>
      </c>
      <c r="L552" s="0" t="s">
        <v>3372</v>
      </c>
      <c r="M552" s="0" t="s">
        <v>3373</v>
      </c>
      <c r="N552" s="0" t="s">
        <v>464</v>
      </c>
    </row>
    <row customHeight="1" ht="11.25">
      <c r="A553" s="8274" t="s">
        <v>2233</v>
      </c>
      <c r="B553" s="8274" t="s">
        <v>14</v>
      </c>
      <c r="C553" s="8274" t="s">
        <v>3151</v>
      </c>
      <c r="D553" s="8274" t="s">
        <v>3152</v>
      </c>
      <c r="E553" s="8274" t="s">
        <v>3153</v>
      </c>
      <c r="F553" s="8274" t="s">
        <v>2520</v>
      </c>
      <c r="G553" s="8274" t="s">
        <v>17</v>
      </c>
      <c r="H553" s="8274" t="s">
        <v>17</v>
      </c>
      <c r="I553" s="8274" t="s">
        <v>2311</v>
      </c>
      <c r="J553" s="0" t="s">
        <v>17</v>
      </c>
      <c r="K553" s="0" t="s">
        <v>3371</v>
      </c>
      <c r="L553" s="0" t="s">
        <v>3372</v>
      </c>
      <c r="M553" s="0" t="s">
        <v>3373</v>
      </c>
      <c r="N553" s="0" t="s">
        <v>464</v>
      </c>
    </row>
    <row customHeight="1" ht="11.25">
      <c r="A554" s="8274" t="s">
        <v>2233</v>
      </c>
      <c r="B554" s="8274" t="s">
        <v>14</v>
      </c>
      <c r="C554" s="8274" t="s">
        <v>3154</v>
      </c>
      <c r="D554" s="8274" t="s">
        <v>3155</v>
      </c>
      <c r="E554" s="8274" t="s">
        <v>3156</v>
      </c>
      <c r="F554" s="8274" t="s">
        <v>2520</v>
      </c>
      <c r="G554" s="8274" t="s">
        <v>17</v>
      </c>
      <c r="H554" s="8274" t="s">
        <v>17</v>
      </c>
      <c r="I554" s="8274" t="s">
        <v>2311</v>
      </c>
      <c r="J554" s="0" t="s">
        <v>17</v>
      </c>
      <c r="K554" s="0" t="s">
        <v>3371</v>
      </c>
      <c r="L554" s="0" t="s">
        <v>3372</v>
      </c>
      <c r="M554" s="0" t="s">
        <v>3373</v>
      </c>
      <c r="N554" s="0" t="s">
        <v>464</v>
      </c>
    </row>
    <row customHeight="1" ht="11.25">
      <c r="A555" s="8274" t="s">
        <v>2233</v>
      </c>
      <c r="B555" s="8274" t="s">
        <v>14</v>
      </c>
      <c r="C555" s="8274" t="s">
        <v>3154</v>
      </c>
      <c r="D555" s="8274" t="s">
        <v>3155</v>
      </c>
      <c r="E555" s="8274" t="s">
        <v>3156</v>
      </c>
      <c r="F555" s="8274" t="s">
        <v>2520</v>
      </c>
      <c r="G555" s="8274" t="s">
        <v>17</v>
      </c>
      <c r="H555" s="8274" t="s">
        <v>17</v>
      </c>
      <c r="I555" s="8274" t="s">
        <v>3158</v>
      </c>
      <c r="J555" s="0" t="s">
        <v>17</v>
      </c>
      <c r="K555" s="0" t="s">
        <v>3368</v>
      </c>
      <c r="L555" s="0" t="s">
        <v>3374</v>
      </c>
      <c r="M555" s="0" t="s">
        <v>3375</v>
      </c>
      <c r="N555" s="0" t="s">
        <v>464</v>
      </c>
    </row>
    <row customHeight="1" ht="11.25">
      <c r="A556" s="8274" t="s">
        <v>2233</v>
      </c>
      <c r="B556" s="8274" t="s">
        <v>14</v>
      </c>
      <c r="C556" s="8274" t="s">
        <v>2538</v>
      </c>
      <c r="D556" s="8274" t="s">
        <v>2539</v>
      </c>
      <c r="E556" s="8274" t="s">
        <v>2540</v>
      </c>
      <c r="F556" s="8274" t="s">
        <v>2310</v>
      </c>
      <c r="G556" s="8274" t="s">
        <v>17</v>
      </c>
      <c r="H556" s="8274" t="s">
        <v>17</v>
      </c>
      <c r="I556" s="8274" t="s">
        <v>3142</v>
      </c>
      <c r="J556" s="0" t="s">
        <v>17</v>
      </c>
      <c r="K556" s="0" t="s">
        <v>3368</v>
      </c>
      <c r="L556" s="0" t="s">
        <v>3369</v>
      </c>
      <c r="M556" s="0" t="s">
        <v>3370</v>
      </c>
      <c r="N556" s="0" t="s">
        <v>464</v>
      </c>
    </row>
    <row customHeight="1" ht="11.25">
      <c r="A557" s="8274" t="s">
        <v>2233</v>
      </c>
      <c r="B557" s="8274" t="s">
        <v>14</v>
      </c>
      <c r="C557" s="8274" t="s">
        <v>3165</v>
      </c>
      <c r="D557" s="8274" t="s">
        <v>3166</v>
      </c>
      <c r="E557" s="8274" t="s">
        <v>3167</v>
      </c>
      <c r="F557" s="8274" t="s">
        <v>2310</v>
      </c>
      <c r="G557" s="8274" t="s">
        <v>17</v>
      </c>
      <c r="H557" s="8274" t="s">
        <v>17</v>
      </c>
      <c r="I557" s="8274" t="s">
        <v>2883</v>
      </c>
      <c r="J557" s="0" t="s">
        <v>17</v>
      </c>
      <c r="K557" s="0" t="s">
        <v>3368</v>
      </c>
      <c r="L557" s="0" t="s">
        <v>3369</v>
      </c>
      <c r="M557" s="0" t="s">
        <v>3370</v>
      </c>
      <c r="N557" s="0" t="s">
        <v>464</v>
      </c>
    </row>
    <row customHeight="1" ht="11.25">
      <c r="A558" s="8274" t="s">
        <v>2233</v>
      </c>
      <c r="B558" s="8274" t="s">
        <v>14</v>
      </c>
      <c r="C558" s="8274" t="s">
        <v>3180</v>
      </c>
      <c r="D558" s="8274" t="s">
        <v>3181</v>
      </c>
      <c r="E558" s="8274" t="s">
        <v>3182</v>
      </c>
      <c r="F558" s="8274" t="s">
        <v>2310</v>
      </c>
      <c r="G558" s="8274" t="s">
        <v>17</v>
      </c>
      <c r="H558" s="8274" t="s">
        <v>17</v>
      </c>
      <c r="I558" s="8274" t="s">
        <v>3183</v>
      </c>
      <c r="J558" s="0" t="s">
        <v>17</v>
      </c>
      <c r="K558" s="0" t="s">
        <v>3368</v>
      </c>
      <c r="L558" s="0" t="s">
        <v>3369</v>
      </c>
      <c r="M558" s="0" t="s">
        <v>3370</v>
      </c>
      <c r="N558" s="0" t="s">
        <v>464</v>
      </c>
    </row>
    <row customHeight="1" ht="11.25">
      <c r="A559" s="8274" t="s">
        <v>2233</v>
      </c>
      <c r="B559" s="8274" t="s">
        <v>14</v>
      </c>
      <c r="C559" s="8274" t="s">
        <v>2541</v>
      </c>
      <c r="D559" s="8274" t="s">
        <v>2542</v>
      </c>
      <c r="E559" s="8274" t="s">
        <v>2543</v>
      </c>
      <c r="F559" s="8274" t="s">
        <v>2544</v>
      </c>
      <c r="G559" s="8274" t="s">
        <v>17</v>
      </c>
      <c r="H559" s="8274" t="s">
        <v>17</v>
      </c>
      <c r="I559" s="8274" t="s">
        <v>3387</v>
      </c>
      <c r="J559" s="0" t="s">
        <v>17</v>
      </c>
      <c r="K559" s="0" t="s">
        <v>3377</v>
      </c>
      <c r="L559" s="0" t="s">
        <v>3378</v>
      </c>
      <c r="M559" s="0" t="s">
        <v>3379</v>
      </c>
      <c r="N559" s="0" t="s">
        <v>464</v>
      </c>
    </row>
    <row customHeight="1" ht="11.25">
      <c r="A560" s="8274" t="s">
        <v>2233</v>
      </c>
      <c r="B560" s="8274" t="s">
        <v>14</v>
      </c>
      <c r="C560" s="8274" t="s">
        <v>3195</v>
      </c>
      <c r="D560" s="8274" t="s">
        <v>3196</v>
      </c>
      <c r="E560" s="8274" t="s">
        <v>3197</v>
      </c>
      <c r="F560" s="8274" t="s">
        <v>51</v>
      </c>
      <c r="G560" s="8274" t="s">
        <v>17</v>
      </c>
      <c r="H560" s="8274" t="s">
        <v>17</v>
      </c>
      <c r="I560" s="8274" t="s">
        <v>2247</v>
      </c>
      <c r="J560" s="0" t="s">
        <v>17</v>
      </c>
      <c r="K560" s="0" t="s">
        <v>3377</v>
      </c>
      <c r="L560" s="0" t="s">
        <v>3378</v>
      </c>
      <c r="M560" s="0" t="s">
        <v>3379</v>
      </c>
      <c r="N560" s="0" t="s">
        <v>464</v>
      </c>
    </row>
    <row customHeight="1" ht="11.25">
      <c r="A561" s="8274" t="s">
        <v>2233</v>
      </c>
      <c r="B561" s="8274" t="s">
        <v>14</v>
      </c>
      <c r="C561" s="8274" t="s">
        <v>3207</v>
      </c>
      <c r="D561" s="8274" t="s">
        <v>3208</v>
      </c>
      <c r="E561" s="8274" t="s">
        <v>3209</v>
      </c>
      <c r="F561" s="8274" t="s">
        <v>2520</v>
      </c>
      <c r="G561" s="8274" t="s">
        <v>17</v>
      </c>
      <c r="H561" s="8274" t="s">
        <v>17</v>
      </c>
      <c r="I561" s="8274" t="s">
        <v>2311</v>
      </c>
      <c r="J561" s="0" t="s">
        <v>17</v>
      </c>
      <c r="K561" s="0" t="s">
        <v>3371</v>
      </c>
      <c r="L561" s="0" t="s">
        <v>3372</v>
      </c>
      <c r="M561" s="0" t="s">
        <v>3373</v>
      </c>
      <c r="N561" s="0" t="s">
        <v>464</v>
      </c>
    </row>
    <row customHeight="1" ht="11.25">
      <c r="A562" s="8274" t="s">
        <v>2233</v>
      </c>
      <c r="B562" s="8274" t="s">
        <v>14</v>
      </c>
      <c r="C562" s="8274" t="s">
        <v>3211</v>
      </c>
      <c r="D562" s="8274" t="s">
        <v>3212</v>
      </c>
      <c r="E562" s="8274" t="s">
        <v>3213</v>
      </c>
      <c r="F562" s="8274" t="s">
        <v>2310</v>
      </c>
      <c r="G562" s="8274" t="s">
        <v>2274</v>
      </c>
      <c r="H562" s="8274" t="s">
        <v>17</v>
      </c>
      <c r="I562" s="8274" t="s">
        <v>3214</v>
      </c>
      <c r="J562" s="0" t="s">
        <v>17</v>
      </c>
      <c r="K562" s="0" t="s">
        <v>3368</v>
      </c>
      <c r="L562" s="0" t="s">
        <v>3390</v>
      </c>
      <c r="M562" s="0" t="s">
        <v>3391</v>
      </c>
      <c r="N562" s="0" t="s">
        <v>464</v>
      </c>
    </row>
    <row customHeight="1" ht="11.25">
      <c r="A563" s="8274" t="s">
        <v>2233</v>
      </c>
      <c r="B563" s="8274" t="s">
        <v>14</v>
      </c>
      <c r="C563" s="8274" t="s">
        <v>3215</v>
      </c>
      <c r="D563" s="8274" t="s">
        <v>3216</v>
      </c>
      <c r="E563" s="8274" t="s">
        <v>3217</v>
      </c>
      <c r="F563" s="8274" t="s">
        <v>2432</v>
      </c>
      <c r="G563" s="8274" t="s">
        <v>17</v>
      </c>
      <c r="H563" s="8274" t="s">
        <v>17</v>
      </c>
      <c r="I563" s="8274" t="s">
        <v>2311</v>
      </c>
      <c r="J563" s="0" t="s">
        <v>17</v>
      </c>
      <c r="K563" s="0" t="s">
        <v>3371</v>
      </c>
      <c r="L563" s="0" t="s">
        <v>3372</v>
      </c>
      <c r="M563" s="0" t="s">
        <v>3373</v>
      </c>
      <c r="N563" s="0" t="s">
        <v>464</v>
      </c>
    </row>
    <row customHeight="1" ht="11.25">
      <c r="A564" s="8274" t="s">
        <v>2233</v>
      </c>
      <c r="B564" s="8274" t="s">
        <v>14</v>
      </c>
      <c r="C564" s="8274" t="s">
        <v>2545</v>
      </c>
      <c r="D564" s="8274" t="s">
        <v>2546</v>
      </c>
      <c r="E564" s="8274" t="s">
        <v>2547</v>
      </c>
      <c r="F564" s="8274" t="s">
        <v>2548</v>
      </c>
      <c r="G564" s="8274" t="s">
        <v>17</v>
      </c>
      <c r="H564" s="8274" t="s">
        <v>17</v>
      </c>
      <c r="I564" s="8274" t="s">
        <v>2463</v>
      </c>
      <c r="J564" s="0" t="s">
        <v>17</v>
      </c>
      <c r="K564" s="0" t="s">
        <v>3371</v>
      </c>
      <c r="L564" s="0" t="s">
        <v>3372</v>
      </c>
      <c r="M564" s="0" t="s">
        <v>3373</v>
      </c>
      <c r="N564" s="0" t="s">
        <v>464</v>
      </c>
    </row>
    <row customHeight="1" ht="11.25">
      <c r="A565" s="8274" t="s">
        <v>2233</v>
      </c>
      <c r="B565" s="8274" t="s">
        <v>14</v>
      </c>
      <c r="C565" s="8274" t="s">
        <v>3223</v>
      </c>
      <c r="D565" s="8274" t="s">
        <v>3224</v>
      </c>
      <c r="E565" s="8274" t="s">
        <v>3225</v>
      </c>
      <c r="F565" s="8274" t="s">
        <v>2310</v>
      </c>
      <c r="G565" s="8274" t="s">
        <v>17</v>
      </c>
      <c r="H565" s="8274" t="s">
        <v>17</v>
      </c>
      <c r="I565" s="8274" t="s">
        <v>3226</v>
      </c>
      <c r="J565" s="0" t="s">
        <v>17</v>
      </c>
      <c r="K565" s="0" t="s">
        <v>3368</v>
      </c>
      <c r="L565" s="0" t="s">
        <v>3369</v>
      </c>
      <c r="M565" s="0" t="s">
        <v>3370</v>
      </c>
      <c r="N565" s="0" t="s">
        <v>464</v>
      </c>
    </row>
    <row customHeight="1" ht="11.25">
      <c r="A566" s="8274" t="s">
        <v>2233</v>
      </c>
      <c r="B566" s="8274" t="s">
        <v>14</v>
      </c>
      <c r="C566" s="8274" t="s">
        <v>3227</v>
      </c>
      <c r="D566" s="8274" t="s">
        <v>3228</v>
      </c>
      <c r="E566" s="8274" t="s">
        <v>3229</v>
      </c>
      <c r="F566" s="8274" t="s">
        <v>2310</v>
      </c>
      <c r="G566" s="8274" t="s">
        <v>17</v>
      </c>
      <c r="H566" s="8274" t="s">
        <v>17</v>
      </c>
      <c r="I566" s="8274" t="s">
        <v>2985</v>
      </c>
      <c r="J566" s="0" t="s">
        <v>17</v>
      </c>
      <c r="K566" s="0" t="s">
        <v>3371</v>
      </c>
      <c r="L566" s="0" t="s">
        <v>3372</v>
      </c>
      <c r="M566" s="0" t="s">
        <v>3373</v>
      </c>
      <c r="N566" s="0" t="s">
        <v>464</v>
      </c>
    </row>
    <row customHeight="1" ht="11.25">
      <c r="A567" s="8274" t="s">
        <v>2233</v>
      </c>
      <c r="B567" s="8274" t="s">
        <v>14</v>
      </c>
      <c r="C567" s="8274" t="s">
        <v>3398</v>
      </c>
      <c r="D567" s="8274" t="s">
        <v>3399</v>
      </c>
      <c r="E567" s="8274" t="s">
        <v>3400</v>
      </c>
      <c r="F567" s="8274" t="s">
        <v>2310</v>
      </c>
      <c r="G567" s="8274" t="s">
        <v>17</v>
      </c>
      <c r="H567" s="8274" t="s">
        <v>17</v>
      </c>
      <c r="I567" s="8274" t="s">
        <v>2985</v>
      </c>
      <c r="J567" s="0" t="s">
        <v>17</v>
      </c>
      <c r="K567" s="0" t="s">
        <v>3371</v>
      </c>
      <c r="L567" s="0" t="s">
        <v>3372</v>
      </c>
      <c r="M567" s="0" t="s">
        <v>3373</v>
      </c>
      <c r="N567" s="0" t="s">
        <v>464</v>
      </c>
    </row>
    <row customHeight="1" ht="11.25">
      <c r="A568" s="8274" t="s">
        <v>2233</v>
      </c>
      <c r="B568" s="8274" t="s">
        <v>14</v>
      </c>
      <c r="C568" s="8274" t="s">
        <v>2564</v>
      </c>
      <c r="D568" s="8274" t="s">
        <v>2565</v>
      </c>
      <c r="E568" s="8274" t="s">
        <v>2566</v>
      </c>
      <c r="F568" s="8274" t="s">
        <v>2567</v>
      </c>
      <c r="G568" s="8274" t="s">
        <v>17</v>
      </c>
      <c r="H568" s="8274" t="s">
        <v>17</v>
      </c>
      <c r="I568" s="8274" t="s">
        <v>3234</v>
      </c>
      <c r="J568" s="0" t="s">
        <v>17</v>
      </c>
      <c r="K568" s="0" t="s">
        <v>3371</v>
      </c>
      <c r="L568" s="0" t="s">
        <v>3372</v>
      </c>
      <c r="M568" s="0" t="s">
        <v>3373</v>
      </c>
      <c r="N568" s="0" t="s">
        <v>464</v>
      </c>
    </row>
    <row customHeight="1" ht="11.25">
      <c r="A569" s="8274" t="s">
        <v>2233</v>
      </c>
      <c r="B569" s="8274" t="s">
        <v>14</v>
      </c>
      <c r="C569" s="8274" t="s">
        <v>3235</v>
      </c>
      <c r="D569" s="8274" t="s">
        <v>3236</v>
      </c>
      <c r="E569" s="8274" t="s">
        <v>3237</v>
      </c>
      <c r="F569" s="8274" t="s">
        <v>3238</v>
      </c>
      <c r="G569" s="8274" t="s">
        <v>17</v>
      </c>
      <c r="H569" s="8274" t="s">
        <v>17</v>
      </c>
      <c r="I569" s="8274" t="s">
        <v>3239</v>
      </c>
      <c r="J569" s="0" t="s">
        <v>17</v>
      </c>
      <c r="K569" s="0" t="s">
        <v>3371</v>
      </c>
      <c r="L569" s="0" t="s">
        <v>3372</v>
      </c>
      <c r="M569" s="0" t="s">
        <v>3373</v>
      </c>
      <c r="N569" s="0" t="s">
        <v>464</v>
      </c>
    </row>
    <row customHeight="1" ht="11.25">
      <c r="A570" s="8274" t="s">
        <v>2233</v>
      </c>
      <c r="B570" s="8274" t="s">
        <v>14</v>
      </c>
      <c r="C570" s="8274" t="s">
        <v>2569</v>
      </c>
      <c r="D570" s="8274" t="s">
        <v>2570</v>
      </c>
      <c r="E570" s="8274" t="s">
        <v>2571</v>
      </c>
      <c r="F570" s="8274" t="s">
        <v>2237</v>
      </c>
      <c r="G570" s="8274" t="s">
        <v>17</v>
      </c>
      <c r="H570" s="8274" t="s">
        <v>17</v>
      </c>
      <c r="I570" s="8274" t="s">
        <v>3240</v>
      </c>
      <c r="J570" s="0" t="s">
        <v>17</v>
      </c>
      <c r="K570" s="0" t="s">
        <v>3368</v>
      </c>
      <c r="L570" s="0" t="s">
        <v>3390</v>
      </c>
      <c r="M570" s="0" t="s">
        <v>3391</v>
      </c>
      <c r="N570" s="0" t="s">
        <v>464</v>
      </c>
    </row>
    <row customHeight="1" ht="11.25">
      <c r="A571" s="8274" t="s">
        <v>2233</v>
      </c>
      <c r="B571" s="8274" t="s">
        <v>14</v>
      </c>
      <c r="C571" s="8274" t="s">
        <v>3241</v>
      </c>
      <c r="D571" s="8274" t="s">
        <v>3242</v>
      </c>
      <c r="E571" s="8274" t="s">
        <v>3243</v>
      </c>
      <c r="F571" s="8274" t="s">
        <v>2482</v>
      </c>
      <c r="G571" s="8274" t="s">
        <v>17</v>
      </c>
      <c r="H571" s="8274" t="s">
        <v>17</v>
      </c>
      <c r="I571" s="8274" t="s">
        <v>2690</v>
      </c>
      <c r="J571" s="0" t="s">
        <v>17</v>
      </c>
      <c r="K571" s="0" t="s">
        <v>3377</v>
      </c>
      <c r="L571" s="0" t="s">
        <v>3378</v>
      </c>
      <c r="M571" s="0" t="s">
        <v>3379</v>
      </c>
      <c r="N571" s="0" t="s">
        <v>464</v>
      </c>
    </row>
    <row customHeight="1" ht="11.25">
      <c r="A572" s="8274" t="s">
        <v>2233</v>
      </c>
      <c r="B572" s="8274" t="s">
        <v>14</v>
      </c>
      <c r="C572" s="8274" t="s">
        <v>3241</v>
      </c>
      <c r="D572" s="8274" t="s">
        <v>3242</v>
      </c>
      <c r="E572" s="8274" t="s">
        <v>3243</v>
      </c>
      <c r="F572" s="8274" t="s">
        <v>2482</v>
      </c>
      <c r="G572" s="8274" t="s">
        <v>17</v>
      </c>
      <c r="H572" s="8274" t="s">
        <v>17</v>
      </c>
      <c r="I572" s="8274" t="s">
        <v>2690</v>
      </c>
      <c r="J572" s="0" t="s">
        <v>17</v>
      </c>
      <c r="K572" s="0" t="s">
        <v>3371</v>
      </c>
      <c r="L572" s="0" t="s">
        <v>3380</v>
      </c>
      <c r="M572" s="0" t="s">
        <v>3381</v>
      </c>
      <c r="N572" s="0" t="s">
        <v>464</v>
      </c>
    </row>
    <row customHeight="1" ht="11.25">
      <c r="A573" s="8274" t="s">
        <v>2233</v>
      </c>
      <c r="B573" s="8274" t="s">
        <v>14</v>
      </c>
      <c r="C573" s="8274" t="s">
        <v>3254</v>
      </c>
      <c r="D573" s="8274" t="s">
        <v>3255</v>
      </c>
      <c r="E573" s="8274" t="s">
        <v>3256</v>
      </c>
      <c r="F573" s="8274" t="s">
        <v>2273</v>
      </c>
      <c r="G573" s="8274" t="s">
        <v>17</v>
      </c>
      <c r="H573" s="8274" t="s">
        <v>17</v>
      </c>
      <c r="I573" s="8274" t="s">
        <v>3401</v>
      </c>
      <c r="J573" s="0" t="s">
        <v>17</v>
      </c>
      <c r="K573" s="0" t="s">
        <v>3365</v>
      </c>
      <c r="L573" s="0" t="s">
        <v>3366</v>
      </c>
      <c r="M573" s="0" t="s">
        <v>3367</v>
      </c>
      <c r="N573" s="0" t="s">
        <v>464</v>
      </c>
    </row>
    <row customHeight="1" ht="11.25">
      <c r="A574" s="8274" t="s">
        <v>2233</v>
      </c>
      <c r="B574" s="8274" t="s">
        <v>14</v>
      </c>
      <c r="C574" s="8274" t="s">
        <v>3258</v>
      </c>
      <c r="D574" s="8274" t="s">
        <v>3259</v>
      </c>
      <c r="E574" s="8274" t="s">
        <v>3260</v>
      </c>
      <c r="F574" s="8274" t="s">
        <v>2358</v>
      </c>
      <c r="G574" s="8274" t="s">
        <v>3261</v>
      </c>
      <c r="H574" s="8274" t="s">
        <v>17</v>
      </c>
      <c r="I574" s="8274" t="s">
        <v>3262</v>
      </c>
      <c r="J574" s="0" t="s">
        <v>17</v>
      </c>
      <c r="K574" s="0" t="s">
        <v>3365</v>
      </c>
      <c r="L574" s="0" t="s">
        <v>3366</v>
      </c>
      <c r="M574" s="0" t="s">
        <v>3367</v>
      </c>
      <c r="N574" s="0" t="s">
        <v>464</v>
      </c>
    </row>
    <row customHeight="1" ht="11.25">
      <c r="A575" s="8274" t="s">
        <v>2233</v>
      </c>
      <c r="B575" s="8274" t="s">
        <v>14</v>
      </c>
      <c r="C575" s="8274" t="s">
        <v>3263</v>
      </c>
      <c r="D575" s="8274" t="s">
        <v>3264</v>
      </c>
      <c r="E575" s="8274" t="s">
        <v>3265</v>
      </c>
      <c r="F575" s="8274" t="s">
        <v>2310</v>
      </c>
      <c r="G575" s="8274" t="s">
        <v>17</v>
      </c>
      <c r="H575" s="8274" t="s">
        <v>17</v>
      </c>
      <c r="I575" s="8274" t="s">
        <v>3266</v>
      </c>
      <c r="J575" s="0" t="s">
        <v>17</v>
      </c>
      <c r="K575" s="0" t="s">
        <v>3368</v>
      </c>
      <c r="L575" s="0" t="s">
        <v>3369</v>
      </c>
      <c r="M575" s="0" t="s">
        <v>3370</v>
      </c>
      <c r="N575" s="0" t="s">
        <v>464</v>
      </c>
    </row>
    <row customHeight="1" ht="11.25">
      <c r="A576" s="8274" t="s">
        <v>2233</v>
      </c>
      <c r="B576" s="8274" t="s">
        <v>14</v>
      </c>
      <c r="C576" s="8274" t="s">
        <v>3402</v>
      </c>
      <c r="D576" s="8274" t="s">
        <v>3403</v>
      </c>
      <c r="E576" s="8274" t="s">
        <v>3404</v>
      </c>
      <c r="F576" s="8274" t="s">
        <v>2375</v>
      </c>
      <c r="G576" s="8274" t="s">
        <v>17</v>
      </c>
      <c r="H576" s="8274" t="s">
        <v>17</v>
      </c>
      <c r="I576" s="8274" t="s">
        <v>3405</v>
      </c>
      <c r="J576" s="0" t="s">
        <v>17</v>
      </c>
      <c r="K576" s="0" t="s">
        <v>3368</v>
      </c>
      <c r="L576" s="0" t="s">
        <v>3390</v>
      </c>
      <c r="M576" s="0" t="s">
        <v>3391</v>
      </c>
      <c r="N576" s="0" t="s">
        <v>464</v>
      </c>
    </row>
    <row customHeight="1" ht="11.25">
      <c r="A577" s="8274" t="s">
        <v>2233</v>
      </c>
      <c r="B577" s="8274" t="s">
        <v>14</v>
      </c>
      <c r="C577" s="8274" t="s">
        <v>3272</v>
      </c>
      <c r="D577" s="8274" t="s">
        <v>3273</v>
      </c>
      <c r="E577" s="8274" t="s">
        <v>3274</v>
      </c>
      <c r="F577" s="8274" t="s">
        <v>2379</v>
      </c>
      <c r="G577" s="8274" t="s">
        <v>3275</v>
      </c>
      <c r="H577" s="8274" t="s">
        <v>17</v>
      </c>
      <c r="I577" s="8274" t="s">
        <v>3276</v>
      </c>
      <c r="J577" s="0" t="s">
        <v>17</v>
      </c>
      <c r="K577" s="0" t="s">
        <v>3371</v>
      </c>
      <c r="L577" s="0" t="s">
        <v>3372</v>
      </c>
      <c r="M577" s="0" t="s">
        <v>3373</v>
      </c>
      <c r="N577" s="0" t="s">
        <v>464</v>
      </c>
    </row>
    <row customHeight="1" ht="11.25">
      <c r="A578" s="8274" t="s">
        <v>2233</v>
      </c>
      <c r="B578" s="8274" t="s">
        <v>14</v>
      </c>
      <c r="C578" s="8274" t="s">
        <v>2604</v>
      </c>
      <c r="D578" s="8274" t="s">
        <v>2605</v>
      </c>
      <c r="E578" s="8274" t="s">
        <v>2606</v>
      </c>
      <c r="F578" s="8274" t="s">
        <v>2379</v>
      </c>
      <c r="G578" s="8274" t="s">
        <v>17</v>
      </c>
      <c r="H578" s="8274" t="s">
        <v>17</v>
      </c>
      <c r="I578" s="8274" t="s">
        <v>2607</v>
      </c>
      <c r="J578" s="0" t="s">
        <v>17</v>
      </c>
      <c r="K578" s="0" t="s">
        <v>3371</v>
      </c>
      <c r="L578" s="0" t="s">
        <v>3372</v>
      </c>
      <c r="M578" s="0" t="s">
        <v>3373</v>
      </c>
      <c r="N578" s="0" t="s">
        <v>464</v>
      </c>
    </row>
    <row customHeight="1" ht="11.25">
      <c r="A579" s="8274" t="s">
        <v>2233</v>
      </c>
      <c r="B579" s="8274" t="s">
        <v>14</v>
      </c>
      <c r="C579" s="8274" t="s">
        <v>3284</v>
      </c>
      <c r="D579" s="8274" t="s">
        <v>3285</v>
      </c>
      <c r="E579" s="8274" t="s">
        <v>3286</v>
      </c>
      <c r="F579" s="8274" t="s">
        <v>2531</v>
      </c>
      <c r="G579" s="8274" t="s">
        <v>3287</v>
      </c>
      <c r="H579" s="8274" t="s">
        <v>17</v>
      </c>
      <c r="I579" s="8274" t="s">
        <v>3287</v>
      </c>
      <c r="J579" s="0" t="s">
        <v>17</v>
      </c>
      <c r="K579" s="0" t="s">
        <v>3371</v>
      </c>
      <c r="L579" s="0" t="s">
        <v>3372</v>
      </c>
      <c r="M579" s="0" t="s">
        <v>3373</v>
      </c>
      <c r="N579" s="0" t="s">
        <v>464</v>
      </c>
    </row>
    <row customHeight="1" ht="11.25">
      <c r="A580" s="8274" t="s">
        <v>2233</v>
      </c>
      <c r="B580" s="8274" t="s">
        <v>14</v>
      </c>
      <c r="C580" s="8274" t="s">
        <v>2636</v>
      </c>
      <c r="D580" s="8274" t="s">
        <v>2637</v>
      </c>
      <c r="E580" s="8274" t="s">
        <v>2638</v>
      </c>
      <c r="F580" s="8274" t="s">
        <v>2379</v>
      </c>
      <c r="G580" s="8274" t="s">
        <v>17</v>
      </c>
      <c r="H580" s="8274" t="s">
        <v>17</v>
      </c>
      <c r="I580" s="8274" t="s">
        <v>3296</v>
      </c>
      <c r="J580" s="0" t="s">
        <v>17</v>
      </c>
      <c r="K580" s="0" t="s">
        <v>3365</v>
      </c>
      <c r="L580" s="0" t="s">
        <v>3366</v>
      </c>
      <c r="M580" s="0" t="s">
        <v>3367</v>
      </c>
      <c r="N580" s="0" t="s">
        <v>464</v>
      </c>
    </row>
    <row customHeight="1" ht="11.25">
      <c r="A581" s="8274" t="s">
        <v>2233</v>
      </c>
      <c r="B581" s="8274" t="s">
        <v>14</v>
      </c>
      <c r="C581" s="8274" t="s">
        <v>2660</v>
      </c>
      <c r="D581" s="8274" t="s">
        <v>2661</v>
      </c>
      <c r="E581" s="8274" t="s">
        <v>2662</v>
      </c>
      <c r="F581" s="8274" t="s">
        <v>2322</v>
      </c>
      <c r="G581" s="8274" t="s">
        <v>17</v>
      </c>
      <c r="H581" s="8274" t="s">
        <v>17</v>
      </c>
      <c r="I581" s="8274" t="s">
        <v>3300</v>
      </c>
      <c r="J581" s="0" t="s">
        <v>17</v>
      </c>
      <c r="K581" s="0" t="s">
        <v>3377</v>
      </c>
      <c r="L581" s="0" t="s">
        <v>3378</v>
      </c>
      <c r="M581" s="0" t="s">
        <v>3379</v>
      </c>
      <c r="N581" s="0" t="s">
        <v>464</v>
      </c>
    </row>
    <row customHeight="1" ht="11.25">
      <c r="A582" s="8274" t="s">
        <v>2233</v>
      </c>
      <c r="B582" s="8274" t="s">
        <v>14</v>
      </c>
      <c r="C582" s="8274" t="s">
        <v>2660</v>
      </c>
      <c r="D582" s="8274" t="s">
        <v>2661</v>
      </c>
      <c r="E582" s="8274" t="s">
        <v>2662</v>
      </c>
      <c r="F582" s="8274" t="s">
        <v>2322</v>
      </c>
      <c r="G582" s="8274" t="s">
        <v>17</v>
      </c>
      <c r="H582" s="8274" t="s">
        <v>17</v>
      </c>
      <c r="I582" s="8274" t="s">
        <v>3304</v>
      </c>
      <c r="J582" s="0" t="s">
        <v>17</v>
      </c>
      <c r="K582" s="0" t="s">
        <v>3377</v>
      </c>
      <c r="L582" s="0" t="s">
        <v>3378</v>
      </c>
      <c r="M582" s="0" t="s">
        <v>3379</v>
      </c>
      <c r="N582" s="0" t="s">
        <v>464</v>
      </c>
    </row>
    <row customHeight="1" ht="11.25">
      <c r="A583" s="8274" t="s">
        <v>2233</v>
      </c>
      <c r="B583" s="8274" t="s">
        <v>14</v>
      </c>
      <c r="C583" s="8274" t="s">
        <v>3306</v>
      </c>
      <c r="D583" s="8274" t="s">
        <v>3307</v>
      </c>
      <c r="E583" s="8274" t="s">
        <v>3308</v>
      </c>
      <c r="F583" s="8274" t="s">
        <v>2369</v>
      </c>
      <c r="G583" s="8274" t="s">
        <v>17</v>
      </c>
      <c r="H583" s="8274" t="s">
        <v>17</v>
      </c>
      <c r="I583" s="8274" t="s">
        <v>3309</v>
      </c>
      <c r="J583" s="0" t="s">
        <v>17</v>
      </c>
      <c r="K583" s="0" t="s">
        <v>3371</v>
      </c>
      <c r="L583" s="0" t="s">
        <v>3372</v>
      </c>
      <c r="M583" s="0" t="s">
        <v>3373</v>
      </c>
      <c r="N583" s="0" t="s">
        <v>464</v>
      </c>
    </row>
    <row customHeight="1" ht="11.25">
      <c r="A584" s="8274" t="s">
        <v>2233</v>
      </c>
      <c r="B584" s="8274" t="s">
        <v>14</v>
      </c>
      <c r="C584" s="8274" t="s">
        <v>2671</v>
      </c>
      <c r="D584" s="8274" t="s">
        <v>2672</v>
      </c>
      <c r="E584" s="8274" t="s">
        <v>2673</v>
      </c>
      <c r="F584" s="8274" t="s">
        <v>2427</v>
      </c>
      <c r="G584" s="8274" t="s">
        <v>2674</v>
      </c>
      <c r="H584" s="8274" t="s">
        <v>17</v>
      </c>
      <c r="I584" s="8274" t="s">
        <v>2674</v>
      </c>
      <c r="J584" s="0" t="s">
        <v>17</v>
      </c>
      <c r="K584" s="0" t="s">
        <v>3371</v>
      </c>
      <c r="L584" s="0" t="s">
        <v>3372</v>
      </c>
      <c r="M584" s="0" t="s">
        <v>3373</v>
      </c>
      <c r="N584" s="0" t="s">
        <v>464</v>
      </c>
    </row>
    <row customHeight="1" ht="11.25">
      <c r="A585" s="8274" t="s">
        <v>2233</v>
      </c>
      <c r="B585" s="8274" t="s">
        <v>14</v>
      </c>
      <c r="C585" s="8274" t="s">
        <v>3406</v>
      </c>
      <c r="D585" s="8274" t="s">
        <v>3407</v>
      </c>
      <c r="E585" s="8274" t="s">
        <v>3408</v>
      </c>
      <c r="F585" s="8274" t="s">
        <v>2285</v>
      </c>
      <c r="G585" s="8274" t="s">
        <v>17</v>
      </c>
      <c r="H585" s="8274" t="s">
        <v>17</v>
      </c>
      <c r="I585" s="8274" t="s">
        <v>2980</v>
      </c>
      <c r="J585" s="0" t="s">
        <v>17</v>
      </c>
      <c r="K585" s="0" t="s">
        <v>3371</v>
      </c>
      <c r="L585" s="0" t="s">
        <v>3372</v>
      </c>
      <c r="M585" s="0" t="s">
        <v>3373</v>
      </c>
      <c r="N585" s="0" t="s">
        <v>464</v>
      </c>
    </row>
    <row customHeight="1" ht="11.25">
      <c r="A586" s="8274" t="s">
        <v>2233</v>
      </c>
      <c r="B586" s="8274" t="s">
        <v>14</v>
      </c>
      <c r="C586" s="8274" t="s">
        <v>3313</v>
      </c>
      <c r="D586" s="8274" t="s">
        <v>3314</v>
      </c>
      <c r="E586" s="8274" t="s">
        <v>3315</v>
      </c>
      <c r="F586" s="8274" t="s">
        <v>2432</v>
      </c>
      <c r="G586" s="8274" t="s">
        <v>17</v>
      </c>
      <c r="H586" s="8274" t="s">
        <v>17</v>
      </c>
      <c r="I586" s="8274" t="s">
        <v>2985</v>
      </c>
      <c r="J586" s="0" t="s">
        <v>17</v>
      </c>
      <c r="K586" s="0" t="s">
        <v>3371</v>
      </c>
      <c r="L586" s="0" t="s">
        <v>3372</v>
      </c>
      <c r="M586" s="0" t="s">
        <v>3373</v>
      </c>
      <c r="N586" s="0" t="s">
        <v>464</v>
      </c>
    </row>
    <row customHeight="1" ht="11.25">
      <c r="A587" s="8274" t="s">
        <v>2233</v>
      </c>
      <c r="B587" s="8274" t="s">
        <v>14</v>
      </c>
      <c r="C587" s="8274" t="s">
        <v>3313</v>
      </c>
      <c r="D587" s="8274" t="s">
        <v>3314</v>
      </c>
      <c r="E587" s="8274" t="s">
        <v>3315</v>
      </c>
      <c r="F587" s="8274" t="s">
        <v>2432</v>
      </c>
      <c r="G587" s="8274" t="s">
        <v>17</v>
      </c>
      <c r="H587" s="8274" t="s">
        <v>17</v>
      </c>
      <c r="I587" s="8274" t="s">
        <v>3316</v>
      </c>
      <c r="J587" s="0" t="s">
        <v>17</v>
      </c>
      <c r="K587" s="0" t="s">
        <v>3368</v>
      </c>
      <c r="L587" s="0" t="s">
        <v>3390</v>
      </c>
      <c r="M587" s="0" t="s">
        <v>3391</v>
      </c>
      <c r="N587" s="0" t="s">
        <v>464</v>
      </c>
    </row>
    <row customHeight="1" ht="11.25">
      <c r="A588" s="8274" t="s">
        <v>2233</v>
      </c>
      <c r="B588" s="8274" t="s">
        <v>14</v>
      </c>
      <c r="C588" s="8274" t="s">
        <v>2696</v>
      </c>
      <c r="D588" s="8274" t="s">
        <v>2697</v>
      </c>
      <c r="E588" s="8274" t="s">
        <v>2698</v>
      </c>
      <c r="F588" s="8274" t="s">
        <v>2379</v>
      </c>
      <c r="G588" s="8274" t="s">
        <v>2699</v>
      </c>
      <c r="H588" s="8274" t="s">
        <v>17</v>
      </c>
      <c r="I588" s="8274" t="s">
        <v>2422</v>
      </c>
      <c r="J588" s="0" t="s">
        <v>17</v>
      </c>
      <c r="K588" s="0" t="s">
        <v>3371</v>
      </c>
      <c r="L588" s="0" t="s">
        <v>3372</v>
      </c>
      <c r="M588" s="0" t="s">
        <v>3373</v>
      </c>
      <c r="N588" s="0" t="s">
        <v>464</v>
      </c>
    </row>
    <row customHeight="1" ht="11.25">
      <c r="A589" s="8274" t="s">
        <v>2233</v>
      </c>
      <c r="B589" s="8274" t="s">
        <v>14</v>
      </c>
      <c r="C589" s="8274" t="s">
        <v>2700</v>
      </c>
      <c r="D589" s="8274" t="s">
        <v>2701</v>
      </c>
      <c r="E589" s="8274" t="s">
        <v>2702</v>
      </c>
      <c r="F589" s="8274" t="s">
        <v>2432</v>
      </c>
      <c r="G589" s="8274" t="s">
        <v>17</v>
      </c>
      <c r="H589" s="8274" t="s">
        <v>17</v>
      </c>
      <c r="I589" s="8274" t="s">
        <v>2703</v>
      </c>
      <c r="J589" s="0" t="s">
        <v>17</v>
      </c>
      <c r="K589" s="0" t="s">
        <v>3377</v>
      </c>
      <c r="L589" s="0" t="s">
        <v>3378</v>
      </c>
      <c r="M589" s="0" t="s">
        <v>3379</v>
      </c>
      <c r="N589" s="0" t="s">
        <v>464</v>
      </c>
    </row>
    <row customHeight="1" ht="11.25">
      <c r="A590" s="8274" t="s">
        <v>2233</v>
      </c>
      <c r="B590" s="8274" t="s">
        <v>14</v>
      </c>
      <c r="C590" s="8274" t="s">
        <v>2704</v>
      </c>
      <c r="D590" s="8274" t="s">
        <v>2705</v>
      </c>
      <c r="E590" s="8274" t="s">
        <v>2706</v>
      </c>
      <c r="F590" s="8274" t="s">
        <v>2375</v>
      </c>
      <c r="G590" s="8274" t="s">
        <v>2707</v>
      </c>
      <c r="H590" s="8274" t="s">
        <v>17</v>
      </c>
      <c r="I590" s="8274" t="s">
        <v>2707</v>
      </c>
      <c r="J590" s="0" t="s">
        <v>17</v>
      </c>
      <c r="K590" s="0" t="s">
        <v>3371</v>
      </c>
      <c r="L590" s="0" t="s">
        <v>3372</v>
      </c>
      <c r="M590" s="0" t="s">
        <v>3373</v>
      </c>
      <c r="N590" s="0" t="s">
        <v>464</v>
      </c>
    </row>
    <row customHeight="1" ht="11.25">
      <c r="A591" s="8274" t="s">
        <v>2233</v>
      </c>
      <c r="B591" s="8274" t="s">
        <v>14</v>
      </c>
      <c r="C591" s="8274" t="s">
        <v>2704</v>
      </c>
      <c r="D591" s="8274" t="s">
        <v>2705</v>
      </c>
      <c r="E591" s="8274" t="s">
        <v>2706</v>
      </c>
      <c r="F591" s="8274" t="s">
        <v>2375</v>
      </c>
      <c r="G591" s="8274" t="s">
        <v>2707</v>
      </c>
      <c r="H591" s="8274" t="s">
        <v>17</v>
      </c>
      <c r="I591" s="8274" t="s">
        <v>3323</v>
      </c>
      <c r="J591" s="0" t="s">
        <v>17</v>
      </c>
      <c r="K591" s="0" t="s">
        <v>3371</v>
      </c>
      <c r="L591" s="0" t="s">
        <v>3372</v>
      </c>
      <c r="M591" s="0" t="s">
        <v>3373</v>
      </c>
      <c r="N591" s="0" t="s">
        <v>464</v>
      </c>
    </row>
    <row customHeight="1" ht="11.25">
      <c r="A592" s="8274" t="s">
        <v>2233</v>
      </c>
      <c r="B592" s="8274" t="s">
        <v>14</v>
      </c>
      <c r="C592" s="8274" t="s">
        <v>2704</v>
      </c>
      <c r="D592" s="8274" t="s">
        <v>2705</v>
      </c>
      <c r="E592" s="8274" t="s">
        <v>2706</v>
      </c>
      <c r="F592" s="8274" t="s">
        <v>2375</v>
      </c>
      <c r="G592" s="8274" t="s">
        <v>2707</v>
      </c>
      <c r="H592" s="8274" t="s">
        <v>17</v>
      </c>
      <c r="I592" s="8274" t="s">
        <v>3324</v>
      </c>
      <c r="J592" s="0" t="s">
        <v>17</v>
      </c>
      <c r="K592" s="0" t="s">
        <v>3371</v>
      </c>
      <c r="L592" s="0" t="s">
        <v>3372</v>
      </c>
      <c r="M592" s="0" t="s">
        <v>3373</v>
      </c>
      <c r="N592" s="0" t="s">
        <v>464</v>
      </c>
    </row>
    <row customHeight="1" ht="11.25">
      <c r="A593" s="8274" t="s">
        <v>2233</v>
      </c>
      <c r="B593" s="8274" t="s">
        <v>14</v>
      </c>
      <c r="C593" s="8274" t="s">
        <v>3325</v>
      </c>
      <c r="D593" s="8274" t="s">
        <v>3326</v>
      </c>
      <c r="E593" s="8274" t="s">
        <v>3327</v>
      </c>
      <c r="F593" s="8274" t="s">
        <v>2643</v>
      </c>
      <c r="G593" s="8274" t="s">
        <v>17</v>
      </c>
      <c r="H593" s="8274" t="s">
        <v>17</v>
      </c>
      <c r="I593" s="8274" t="s">
        <v>3328</v>
      </c>
      <c r="J593" s="0" t="s">
        <v>17</v>
      </c>
      <c r="K593" s="0" t="s">
        <v>3368</v>
      </c>
      <c r="L593" s="0" t="s">
        <v>3369</v>
      </c>
      <c r="M593" s="0" t="s">
        <v>3370</v>
      </c>
      <c r="N593" s="0" t="s">
        <v>464</v>
      </c>
    </row>
    <row customHeight="1" ht="11.25">
      <c r="A594" s="8274" t="s">
        <v>2233</v>
      </c>
      <c r="B594" s="8274" t="s">
        <v>14</v>
      </c>
      <c r="C594" s="8274" t="s">
        <v>3409</v>
      </c>
      <c r="D594" s="8274" t="s">
        <v>2724</v>
      </c>
      <c r="E594" s="8274" t="s">
        <v>3410</v>
      </c>
      <c r="F594" s="8274" t="s">
        <v>2520</v>
      </c>
      <c r="G594" s="8274" t="s">
        <v>3411</v>
      </c>
      <c r="H594" s="8274" t="s">
        <v>17</v>
      </c>
      <c r="I594" s="8274" t="s">
        <v>2898</v>
      </c>
      <c r="J594" s="0" t="s">
        <v>17</v>
      </c>
      <c r="K594" s="0" t="s">
        <v>3371</v>
      </c>
      <c r="L594" s="0" t="s">
        <v>3372</v>
      </c>
      <c r="M594" s="0" t="s">
        <v>3373</v>
      </c>
      <c r="N594" s="0" t="s">
        <v>464</v>
      </c>
    </row>
    <row customHeight="1" ht="11.25">
      <c r="A595" s="8274" t="s">
        <v>2233</v>
      </c>
      <c r="B595" s="8274" t="s">
        <v>14</v>
      </c>
      <c r="C595" s="8274" t="s">
        <v>2728</v>
      </c>
      <c r="D595" s="8274" t="s">
        <v>2729</v>
      </c>
      <c r="E595" s="8274" t="s">
        <v>2730</v>
      </c>
      <c r="F595" s="8274" t="s">
        <v>2560</v>
      </c>
      <c r="G595" s="8274" t="s">
        <v>17</v>
      </c>
      <c r="H595" s="8274" t="s">
        <v>17</v>
      </c>
      <c r="I595" s="8274" t="s">
        <v>2422</v>
      </c>
      <c r="J595" s="0" t="s">
        <v>17</v>
      </c>
      <c r="K595" s="0" t="s">
        <v>3365</v>
      </c>
      <c r="L595" s="0" t="s">
        <v>3366</v>
      </c>
      <c r="M595" s="0" t="s">
        <v>3367</v>
      </c>
      <c r="N595" s="0" t="s">
        <v>464</v>
      </c>
    </row>
    <row customHeight="1" ht="11.25">
      <c r="A596" s="8274" t="s">
        <v>2233</v>
      </c>
      <c r="B596" s="8274" t="s">
        <v>14</v>
      </c>
      <c r="C596" s="8274" t="s">
        <v>3332</v>
      </c>
      <c r="D596" s="8274" t="s">
        <v>3333</v>
      </c>
      <c r="E596" s="8274" t="s">
        <v>3334</v>
      </c>
      <c r="F596" s="8274" t="s">
        <v>2379</v>
      </c>
      <c r="G596" s="8274" t="s">
        <v>2445</v>
      </c>
      <c r="H596" s="8274" t="s">
        <v>17</v>
      </c>
      <c r="I596" s="8274" t="s">
        <v>2445</v>
      </c>
      <c r="J596" s="0" t="s">
        <v>17</v>
      </c>
      <c r="K596" s="0" t="s">
        <v>3371</v>
      </c>
      <c r="L596" s="0" t="s">
        <v>3380</v>
      </c>
      <c r="M596" s="0" t="s">
        <v>3381</v>
      </c>
      <c r="N596" s="0" t="s">
        <v>464</v>
      </c>
    </row>
    <row customHeight="1" ht="11.25">
      <c r="A597" s="8274" t="s">
        <v>2233</v>
      </c>
      <c r="B597" s="8274" t="s">
        <v>14</v>
      </c>
      <c r="C597" s="8274" t="s">
        <v>2746</v>
      </c>
      <c r="D597" s="8274" t="s">
        <v>2747</v>
      </c>
      <c r="E597" s="8274" t="s">
        <v>2748</v>
      </c>
      <c r="F597" s="8274" t="s">
        <v>2749</v>
      </c>
      <c r="G597" s="8274" t="s">
        <v>17</v>
      </c>
      <c r="H597" s="8274" t="s">
        <v>17</v>
      </c>
      <c r="I597" s="8274" t="s">
        <v>2311</v>
      </c>
      <c r="J597" s="0" t="s">
        <v>17</v>
      </c>
      <c r="K597" s="0" t="s">
        <v>3371</v>
      </c>
      <c r="L597" s="0" t="s">
        <v>3372</v>
      </c>
      <c r="M597" s="0" t="s">
        <v>3373</v>
      </c>
      <c r="N597" s="0" t="s">
        <v>464</v>
      </c>
    </row>
    <row customHeight="1" ht="11.25">
      <c r="A598" s="8274" t="s">
        <v>2233</v>
      </c>
      <c r="B598" s="8274" t="s">
        <v>14</v>
      </c>
      <c r="C598" s="8274" t="s">
        <v>2750</v>
      </c>
      <c r="D598" s="8274" t="s">
        <v>2751</v>
      </c>
      <c r="E598" s="8274" t="s">
        <v>2752</v>
      </c>
      <c r="F598" s="8274" t="s">
        <v>2369</v>
      </c>
      <c r="G598" s="8274" t="s">
        <v>17</v>
      </c>
      <c r="H598" s="8274" t="s">
        <v>17</v>
      </c>
      <c r="I598" s="8274" t="s">
        <v>2311</v>
      </c>
      <c r="J598" s="0" t="s">
        <v>17</v>
      </c>
      <c r="K598" s="0" t="s">
        <v>3371</v>
      </c>
      <c r="L598" s="0" t="s">
        <v>3372</v>
      </c>
      <c r="M598" s="0" t="s">
        <v>3373</v>
      </c>
      <c r="N598" s="0" t="s">
        <v>464</v>
      </c>
    </row>
    <row customHeight="1" ht="11.25">
      <c r="A599" s="8274" t="s">
        <v>2233</v>
      </c>
      <c r="B599" s="8274" t="s">
        <v>14</v>
      </c>
      <c r="C599" s="8274" t="s">
        <v>2756</v>
      </c>
      <c r="D599" s="8274" t="s">
        <v>2757</v>
      </c>
      <c r="E599" s="8274" t="s">
        <v>2758</v>
      </c>
      <c r="F599" s="8274" t="s">
        <v>2285</v>
      </c>
      <c r="G599" s="8274" t="s">
        <v>17</v>
      </c>
      <c r="H599" s="8274" t="s">
        <v>17</v>
      </c>
      <c r="I599" s="8274" t="s">
        <v>2311</v>
      </c>
      <c r="J599" s="0" t="s">
        <v>17</v>
      </c>
      <c r="K599" s="0" t="s">
        <v>3371</v>
      </c>
      <c r="L599" s="0" t="s">
        <v>3372</v>
      </c>
      <c r="M599" s="0" t="s">
        <v>3373</v>
      </c>
      <c r="N599" s="0" t="s">
        <v>464</v>
      </c>
    </row>
    <row customHeight="1" ht="11.25">
      <c r="A600" s="8274" t="s">
        <v>2233</v>
      </c>
      <c r="B600" s="8274" t="s">
        <v>14</v>
      </c>
      <c r="C600" s="8274" t="s">
        <v>3335</v>
      </c>
      <c r="D600" s="8274" t="s">
        <v>3336</v>
      </c>
      <c r="E600" s="8274" t="s">
        <v>3337</v>
      </c>
      <c r="F600" s="8274" t="s">
        <v>2531</v>
      </c>
      <c r="G600" s="8274" t="s">
        <v>2445</v>
      </c>
      <c r="H600" s="8274" t="s">
        <v>17</v>
      </c>
      <c r="I600" s="8274" t="s">
        <v>2445</v>
      </c>
      <c r="J600" s="0" t="s">
        <v>17</v>
      </c>
      <c r="K600" s="0" t="s">
        <v>3371</v>
      </c>
      <c r="L600" s="0" t="s">
        <v>3372</v>
      </c>
      <c r="M600" s="0" t="s">
        <v>3373</v>
      </c>
      <c r="N600" s="0" t="s">
        <v>464</v>
      </c>
    </row>
    <row customHeight="1" ht="11.25">
      <c r="A601" s="8274" t="s">
        <v>2233</v>
      </c>
      <c r="B601" s="8274" t="s">
        <v>14</v>
      </c>
      <c r="C601" s="8274" t="s">
        <v>2774</v>
      </c>
      <c r="D601" s="8274" t="s">
        <v>2775</v>
      </c>
      <c r="E601" s="8274" t="s">
        <v>2776</v>
      </c>
      <c r="F601" s="8274" t="s">
        <v>2375</v>
      </c>
      <c r="G601" s="8274" t="s">
        <v>17</v>
      </c>
      <c r="H601" s="8274" t="s">
        <v>17</v>
      </c>
      <c r="I601" s="8274" t="s">
        <v>2311</v>
      </c>
      <c r="J601" s="0" t="s">
        <v>17</v>
      </c>
      <c r="K601" s="0" t="s">
        <v>3371</v>
      </c>
      <c r="L601" s="0" t="s">
        <v>3372</v>
      </c>
      <c r="M601" s="0" t="s">
        <v>3373</v>
      </c>
      <c r="N601" s="0" t="s">
        <v>464</v>
      </c>
    </row>
    <row customHeight="1" ht="11.25">
      <c r="A602" s="8274" t="s">
        <v>2233</v>
      </c>
      <c r="B602" s="8274" t="s">
        <v>14</v>
      </c>
      <c r="C602" s="8274" t="s">
        <v>3339</v>
      </c>
      <c r="D602" s="8274" t="s">
        <v>3340</v>
      </c>
      <c r="E602" s="8274" t="s">
        <v>3341</v>
      </c>
      <c r="F602" s="8274" t="s">
        <v>2322</v>
      </c>
      <c r="G602" s="8274" t="s">
        <v>17</v>
      </c>
      <c r="H602" s="8274" t="s">
        <v>17</v>
      </c>
      <c r="I602" s="8274" t="s">
        <v>3342</v>
      </c>
      <c r="J602" s="0" t="s">
        <v>17</v>
      </c>
      <c r="K602" s="0" t="s">
        <v>3365</v>
      </c>
      <c r="L602" s="0" t="s">
        <v>3366</v>
      </c>
      <c r="M602" s="0" t="s">
        <v>3367</v>
      </c>
      <c r="N602" s="0" t="s">
        <v>464</v>
      </c>
    </row>
    <row customHeight="1" ht="11.25">
      <c r="A603" s="8274" t="s">
        <v>2233</v>
      </c>
      <c r="B603" s="8274" t="s">
        <v>14</v>
      </c>
      <c r="C603" s="8274" t="s">
        <v>2800</v>
      </c>
      <c r="D603" s="8274" t="s">
        <v>2801</v>
      </c>
      <c r="E603" s="8274" t="s">
        <v>2802</v>
      </c>
      <c r="F603" s="8274" t="s">
        <v>2379</v>
      </c>
      <c r="G603" s="8274" t="s">
        <v>17</v>
      </c>
      <c r="H603" s="8274" t="s">
        <v>17</v>
      </c>
      <c r="I603" s="8274" t="s">
        <v>2329</v>
      </c>
      <c r="J603" s="0" t="s">
        <v>17</v>
      </c>
      <c r="K603" s="0" t="s">
        <v>3368</v>
      </c>
      <c r="L603" s="0" t="s">
        <v>3369</v>
      </c>
      <c r="M603" s="0" t="s">
        <v>3370</v>
      </c>
      <c r="N603" s="0" t="s">
        <v>464</v>
      </c>
    </row>
    <row customHeight="1" ht="11.25">
      <c r="A604" s="8274" t="s">
        <v>2233</v>
      </c>
      <c r="B604" s="8274" t="s">
        <v>14</v>
      </c>
      <c r="C604" s="8274" t="s">
        <v>2807</v>
      </c>
      <c r="D604" s="8274" t="s">
        <v>2808</v>
      </c>
      <c r="E604" s="8274" t="s">
        <v>2809</v>
      </c>
      <c r="F604" s="8274" t="s">
        <v>2375</v>
      </c>
      <c r="G604" s="8274" t="s">
        <v>2521</v>
      </c>
      <c r="H604" s="8274" t="s">
        <v>17</v>
      </c>
      <c r="I604" s="8274" t="s">
        <v>2521</v>
      </c>
      <c r="J604" s="0" t="s">
        <v>17</v>
      </c>
      <c r="K604" s="0" t="s">
        <v>3371</v>
      </c>
      <c r="L604" s="0" t="s">
        <v>3380</v>
      </c>
      <c r="M604" s="0" t="s">
        <v>3381</v>
      </c>
      <c r="N604" s="0" t="s">
        <v>464</v>
      </c>
    </row>
    <row customHeight="1" ht="11.25">
      <c r="A605" s="8274" t="s">
        <v>2233</v>
      </c>
      <c r="B605" s="8274" t="s">
        <v>14</v>
      </c>
      <c r="C605" s="8274" t="s">
        <v>3412</v>
      </c>
      <c r="D605" s="8274" t="s">
        <v>3413</v>
      </c>
      <c r="E605" s="8274" t="s">
        <v>3414</v>
      </c>
      <c r="F605" s="8274" t="s">
        <v>2379</v>
      </c>
      <c r="G605" s="8274" t="s">
        <v>3415</v>
      </c>
      <c r="H605" s="8274" t="s">
        <v>17</v>
      </c>
      <c r="I605" s="8274" t="s">
        <v>3416</v>
      </c>
      <c r="J605" s="0" t="s">
        <v>17</v>
      </c>
      <c r="K605" s="0" t="s">
        <v>3365</v>
      </c>
      <c r="L605" s="0" t="s">
        <v>3366</v>
      </c>
      <c r="M605" s="0" t="s">
        <v>3367</v>
      </c>
      <c r="N605" s="0" t="s">
        <v>464</v>
      </c>
    </row>
    <row customHeight="1" ht="11.25">
      <c r="A606" s="8274" t="s">
        <v>2233</v>
      </c>
      <c r="B606" s="8274" t="s">
        <v>14</v>
      </c>
      <c r="C606" s="8274" t="s">
        <v>3417</v>
      </c>
      <c r="D606" s="8274" t="s">
        <v>3418</v>
      </c>
      <c r="E606" s="8274" t="s">
        <v>3419</v>
      </c>
      <c r="F606" s="8274" t="s">
        <v>2379</v>
      </c>
      <c r="G606" s="8274" t="s">
        <v>17</v>
      </c>
      <c r="H606" s="8274" t="s">
        <v>17</v>
      </c>
      <c r="I606" s="8274" t="s">
        <v>3137</v>
      </c>
      <c r="J606" s="0" t="s">
        <v>17</v>
      </c>
      <c r="K606" s="0" t="s">
        <v>3371</v>
      </c>
      <c r="L606" s="0" t="s">
        <v>3372</v>
      </c>
      <c r="M606" s="0" t="s">
        <v>3373</v>
      </c>
      <c r="N606" s="0" t="s">
        <v>464</v>
      </c>
    </row>
    <row customHeight="1" ht="11.25">
      <c r="A607" s="8274" t="s">
        <v>2233</v>
      </c>
      <c r="B607" s="8274" t="s">
        <v>14</v>
      </c>
      <c r="C607" s="8274" t="s">
        <v>3420</v>
      </c>
      <c r="D607" s="8274" t="s">
        <v>3421</v>
      </c>
      <c r="E607" s="8274" t="s">
        <v>3422</v>
      </c>
      <c r="F607" s="8274" t="s">
        <v>2369</v>
      </c>
      <c r="G607" s="8274" t="s">
        <v>17</v>
      </c>
      <c r="H607" s="8274" t="s">
        <v>17</v>
      </c>
      <c r="I607" s="8274" t="s">
        <v>2993</v>
      </c>
      <c r="J607" s="0" t="s">
        <v>17</v>
      </c>
      <c r="K607" s="0" t="s">
        <v>3377</v>
      </c>
      <c r="L607" s="0" t="s">
        <v>3378</v>
      </c>
      <c r="M607" s="0" t="s">
        <v>3379</v>
      </c>
      <c r="N607" s="0" t="s">
        <v>464</v>
      </c>
    </row>
    <row customHeight="1" ht="11.25">
      <c r="A608" s="8274" t="s">
        <v>2233</v>
      </c>
      <c r="B608" s="8274" t="s">
        <v>14</v>
      </c>
      <c r="C608" s="8274" t="s">
        <v>2819</v>
      </c>
      <c r="D608" s="8274" t="s">
        <v>2820</v>
      </c>
      <c r="E608" s="8274" t="s">
        <v>2821</v>
      </c>
      <c r="F608" s="8274" t="s">
        <v>2822</v>
      </c>
      <c r="G608" s="8274" t="s">
        <v>17</v>
      </c>
      <c r="H608" s="8274" t="s">
        <v>17</v>
      </c>
      <c r="I608" s="8274" t="s">
        <v>2463</v>
      </c>
      <c r="J608" s="0" t="s">
        <v>17</v>
      </c>
      <c r="K608" s="0" t="s">
        <v>3371</v>
      </c>
      <c r="L608" s="0" t="s">
        <v>3372</v>
      </c>
      <c r="M608" s="0" t="s">
        <v>3373</v>
      </c>
      <c r="N608" s="0" t="s">
        <v>464</v>
      </c>
    </row>
    <row customHeight="1" ht="11.25">
      <c r="A609" s="8274" t="s">
        <v>2233</v>
      </c>
      <c r="B609" s="8274" t="s">
        <v>14</v>
      </c>
      <c r="C609" s="8274" t="s">
        <v>2823</v>
      </c>
      <c r="D609" s="8274" t="s">
        <v>2824</v>
      </c>
      <c r="E609" s="8274" t="s">
        <v>2825</v>
      </c>
      <c r="F609" s="8274" t="s">
        <v>2427</v>
      </c>
      <c r="G609" s="8274" t="s">
        <v>17</v>
      </c>
      <c r="H609" s="8274" t="s">
        <v>17</v>
      </c>
      <c r="I609" s="8274" t="s">
        <v>2463</v>
      </c>
      <c r="J609" s="0" t="s">
        <v>17</v>
      </c>
      <c r="K609" s="0" t="s">
        <v>3371</v>
      </c>
      <c r="L609" s="0" t="s">
        <v>3372</v>
      </c>
      <c r="M609" s="0" t="s">
        <v>3373</v>
      </c>
      <c r="N609" s="0" t="s">
        <v>464</v>
      </c>
    </row>
    <row customHeight="1" ht="11.25">
      <c r="A610" s="8274" t="s">
        <v>2233</v>
      </c>
      <c r="B610" s="8274" t="s">
        <v>14</v>
      </c>
      <c r="C610" s="8274" t="s">
        <v>2867</v>
      </c>
      <c r="D610" s="8274" t="s">
        <v>2868</v>
      </c>
      <c r="E610" s="8274" t="s">
        <v>2869</v>
      </c>
      <c r="F610" s="8274" t="s">
        <v>2870</v>
      </c>
      <c r="G610" s="8274" t="s">
        <v>17</v>
      </c>
      <c r="H610" s="8274" t="s">
        <v>17</v>
      </c>
      <c r="I610" s="8274" t="s">
        <v>3360</v>
      </c>
      <c r="J610" s="0" t="s">
        <v>17</v>
      </c>
      <c r="K610" s="0" t="s">
        <v>3368</v>
      </c>
      <c r="L610" s="0" t="s">
        <v>3369</v>
      </c>
      <c r="M610" s="0" t="s">
        <v>3370</v>
      </c>
      <c r="N610" s="0" t="s">
        <v>464</v>
      </c>
    </row>
    <row customHeight="1" ht="11.25">
      <c r="A611" s="8274" t="s">
        <v>2233</v>
      </c>
      <c r="B611" s="8274" t="s">
        <v>14</v>
      </c>
      <c r="C611" s="8274" t="s">
        <v>2872</v>
      </c>
      <c r="D611" s="8274" t="s">
        <v>2873</v>
      </c>
      <c r="E611" s="8274" t="s">
        <v>2874</v>
      </c>
      <c r="F611" s="8274" t="s">
        <v>2875</v>
      </c>
      <c r="G611" s="8274" t="s">
        <v>17</v>
      </c>
      <c r="H611" s="8274" t="s">
        <v>17</v>
      </c>
      <c r="I611" s="8274" t="s">
        <v>2463</v>
      </c>
      <c r="J611" s="0" t="s">
        <v>17</v>
      </c>
      <c r="K611" s="0" t="s">
        <v>3371</v>
      </c>
      <c r="L611" s="0" t="s">
        <v>3372</v>
      </c>
      <c r="M611" s="0" t="s">
        <v>3373</v>
      </c>
      <c r="N611" s="0" t="s">
        <v>464</v>
      </c>
    </row>
    <row customHeight="1" ht="11.25">
      <c r="A612" s="8274" t="s">
        <v>2233</v>
      </c>
      <c r="B612" s="8274" t="s">
        <v>14</v>
      </c>
      <c r="C612" s="8274" t="s">
        <v>3423</v>
      </c>
      <c r="D612" s="8274" t="s">
        <v>3424</v>
      </c>
      <c r="E612" s="8274" t="s">
        <v>3425</v>
      </c>
      <c r="F612" s="8274" t="s">
        <v>2333</v>
      </c>
      <c r="G612" s="8274" t="s">
        <v>3426</v>
      </c>
      <c r="H612" s="8274" t="s">
        <v>17</v>
      </c>
      <c r="I612" s="8274" t="s">
        <v>3346</v>
      </c>
      <c r="J612" s="0" t="s">
        <v>17</v>
      </c>
      <c r="K612" s="0" t="s">
        <v>3427</v>
      </c>
      <c r="L612" s="0" t="s">
        <v>3427</v>
      </c>
      <c r="M612" s="0" t="s">
        <v>3428</v>
      </c>
      <c r="N612" s="0" t="s">
        <v>466</v>
      </c>
    </row>
    <row customHeight="1" ht="11.25">
      <c r="A613" s="8274" t="s">
        <v>2233</v>
      </c>
      <c r="B613" s="8274" t="s">
        <v>14</v>
      </c>
      <c r="C613" s="8274" t="s">
        <v>3429</v>
      </c>
      <c r="D613" s="8274" t="s">
        <v>3430</v>
      </c>
      <c r="E613" s="8274" t="s">
        <v>3431</v>
      </c>
      <c r="F613" s="8274" t="s">
        <v>2310</v>
      </c>
      <c r="G613" s="8274" t="s">
        <v>3432</v>
      </c>
      <c r="H613" s="8274" t="s">
        <v>17</v>
      </c>
      <c r="I613" s="8274" t="s">
        <v>3346</v>
      </c>
      <c r="J613" s="0" t="s">
        <v>17</v>
      </c>
      <c r="K613" s="0" t="s">
        <v>3427</v>
      </c>
      <c r="L613" s="0" t="s">
        <v>3427</v>
      </c>
      <c r="M613" s="0" t="s">
        <v>3428</v>
      </c>
      <c r="N613" s="0" t="s">
        <v>466</v>
      </c>
    </row>
    <row customHeight="1" ht="11.25">
      <c r="A614" s="8274" t="s">
        <v>2233</v>
      </c>
      <c r="B614" s="8274" t="s">
        <v>14</v>
      </c>
      <c r="C614" s="8274" t="s">
        <v>3433</v>
      </c>
      <c r="D614" s="8274" t="s">
        <v>3434</v>
      </c>
      <c r="E614" s="8274" t="s">
        <v>3435</v>
      </c>
      <c r="F614" s="8274" t="s">
        <v>2310</v>
      </c>
      <c r="G614" s="8274" t="s">
        <v>17</v>
      </c>
      <c r="H614" s="8274" t="s">
        <v>17</v>
      </c>
      <c r="I614" s="8274" t="s">
        <v>3436</v>
      </c>
      <c r="J614" s="0" t="s">
        <v>17</v>
      </c>
      <c r="K614" s="0" t="s">
        <v>1123</v>
      </c>
      <c r="L614" s="0" t="s">
        <v>1123</v>
      </c>
      <c r="M614" s="0" t="s">
        <v>3437</v>
      </c>
      <c r="N614" s="0" t="s">
        <v>466</v>
      </c>
    </row>
    <row customHeight="1" ht="11.25">
      <c r="A615" s="8274" t="s">
        <v>2233</v>
      </c>
      <c r="B615" s="8274" t="s">
        <v>14</v>
      </c>
      <c r="C615" s="8274" t="s">
        <v>3438</v>
      </c>
      <c r="D615" s="8274" t="s">
        <v>3439</v>
      </c>
      <c r="E615" s="8274" t="s">
        <v>3440</v>
      </c>
      <c r="F615" s="8274" t="s">
        <v>2251</v>
      </c>
      <c r="G615" s="8274" t="s">
        <v>17</v>
      </c>
      <c r="H615" s="8274" t="s">
        <v>17</v>
      </c>
      <c r="I615" s="8274" t="s">
        <v>3436</v>
      </c>
      <c r="J615" s="0" t="s">
        <v>17</v>
      </c>
      <c r="K615" s="0" t="s">
        <v>1123</v>
      </c>
      <c r="L615" s="0" t="s">
        <v>1123</v>
      </c>
      <c r="M615" s="0" t="s">
        <v>3437</v>
      </c>
      <c r="N615" s="0" t="s">
        <v>466</v>
      </c>
    </row>
    <row customHeight="1" ht="11.25">
      <c r="A616" s="8274" t="s">
        <v>2233</v>
      </c>
      <c r="B616" s="8274" t="s">
        <v>14</v>
      </c>
      <c r="C616" s="8274" t="s">
        <v>3441</v>
      </c>
      <c r="D616" s="8274" t="s">
        <v>3442</v>
      </c>
      <c r="E616" s="8274" t="s">
        <v>3443</v>
      </c>
      <c r="F616" s="8274" t="s">
        <v>2432</v>
      </c>
      <c r="G616" s="8274" t="s">
        <v>17</v>
      </c>
      <c r="H616" s="8274" t="s">
        <v>17</v>
      </c>
      <c r="I616" s="8274" t="s">
        <v>3444</v>
      </c>
      <c r="J616" s="0" t="s">
        <v>17</v>
      </c>
      <c r="K616" s="0" t="s">
        <v>1123</v>
      </c>
      <c r="L616" s="0" t="s">
        <v>1123</v>
      </c>
      <c r="M616" s="0" t="s">
        <v>3437</v>
      </c>
      <c r="N616" s="0" t="s">
        <v>466</v>
      </c>
    </row>
    <row customHeight="1" ht="11.25">
      <c r="A617" s="8274" t="s">
        <v>2233</v>
      </c>
      <c r="B617" s="8274" t="s">
        <v>14</v>
      </c>
      <c r="C617" s="8274" t="s">
        <v>3445</v>
      </c>
      <c r="D617" s="8274" t="s">
        <v>3446</v>
      </c>
      <c r="E617" s="8274" t="s">
        <v>3447</v>
      </c>
      <c r="F617" s="8274" t="s">
        <v>2365</v>
      </c>
      <c r="G617" s="8274" t="s">
        <v>2616</v>
      </c>
      <c r="H617" s="8274" t="s">
        <v>17</v>
      </c>
      <c r="I617" s="8274" t="s">
        <v>2274</v>
      </c>
      <c r="J617" s="0" t="s">
        <v>17</v>
      </c>
      <c r="K617" s="0" t="s">
        <v>1141</v>
      </c>
      <c r="L617" s="0" t="s">
        <v>1141</v>
      </c>
      <c r="M617" s="0" t="s">
        <v>3448</v>
      </c>
      <c r="N617" s="0" t="s">
        <v>466</v>
      </c>
    </row>
    <row customHeight="1" ht="11.25">
      <c r="A618" s="8274" t="s">
        <v>2233</v>
      </c>
      <c r="B618" s="8274" t="s">
        <v>14</v>
      </c>
      <c r="C618" s="8274" t="s">
        <v>3449</v>
      </c>
      <c r="D618" s="8274" t="s">
        <v>3450</v>
      </c>
      <c r="E618" s="8274" t="s">
        <v>3451</v>
      </c>
      <c r="F618" s="8274" t="s">
        <v>2369</v>
      </c>
      <c r="G618" s="8274" t="s">
        <v>17</v>
      </c>
      <c r="H618" s="8274" t="s">
        <v>17</v>
      </c>
      <c r="I618" s="8274" t="s">
        <v>3436</v>
      </c>
      <c r="J618" s="0" t="s">
        <v>17</v>
      </c>
      <c r="K618" s="0" t="s">
        <v>1123</v>
      </c>
      <c r="L618" s="0" t="s">
        <v>1123</v>
      </c>
      <c r="M618" s="0" t="s">
        <v>3437</v>
      </c>
      <c r="N618" s="0" t="s">
        <v>466</v>
      </c>
    </row>
    <row customHeight="1" ht="11.25">
      <c r="A619" s="8274" t="s">
        <v>2233</v>
      </c>
      <c r="B619" s="8274" t="s">
        <v>14</v>
      </c>
      <c r="C619" s="8274" t="s">
        <v>2981</v>
      </c>
      <c r="D619" s="8274" t="s">
        <v>2982</v>
      </c>
      <c r="E619" s="8274" t="s">
        <v>2983</v>
      </c>
      <c r="F619" s="8274" t="s">
        <v>2984</v>
      </c>
      <c r="G619" s="8274" t="s">
        <v>17</v>
      </c>
      <c r="H619" s="8274" t="s">
        <v>17</v>
      </c>
      <c r="I619" s="8274" t="s">
        <v>3436</v>
      </c>
      <c r="J619" s="0" t="s">
        <v>17</v>
      </c>
      <c r="K619" s="0" t="s">
        <v>1123</v>
      </c>
      <c r="L619" s="0" t="s">
        <v>1123</v>
      </c>
      <c r="M619" s="0" t="s">
        <v>3437</v>
      </c>
      <c r="N619" s="0" t="s">
        <v>466</v>
      </c>
    </row>
    <row customHeight="1" ht="11.25">
      <c r="A620" s="8274" t="s">
        <v>2233</v>
      </c>
      <c r="B620" s="8274" t="s">
        <v>14</v>
      </c>
      <c r="C620" s="8274" t="s">
        <v>2459</v>
      </c>
      <c r="D620" s="8274" t="s">
        <v>2460</v>
      </c>
      <c r="E620" s="8274" t="s">
        <v>2461</v>
      </c>
      <c r="F620" s="8274" t="s">
        <v>2462</v>
      </c>
      <c r="G620" s="8274" t="s">
        <v>17</v>
      </c>
      <c r="H620" s="8274" t="s">
        <v>17</v>
      </c>
      <c r="I620" s="8274" t="s">
        <v>3436</v>
      </c>
      <c r="J620" s="0" t="s">
        <v>17</v>
      </c>
      <c r="K620" s="0" t="s">
        <v>1123</v>
      </c>
      <c r="L620" s="0" t="s">
        <v>1123</v>
      </c>
      <c r="M620" s="0" t="s">
        <v>3437</v>
      </c>
      <c r="N620" s="0" t="s">
        <v>466</v>
      </c>
    </row>
    <row customHeight="1" ht="11.25">
      <c r="A621" s="8274" t="s">
        <v>2233</v>
      </c>
      <c r="B621" s="8274" t="s">
        <v>14</v>
      </c>
      <c r="C621" s="8274" t="s">
        <v>3452</v>
      </c>
      <c r="D621" s="8274" t="s">
        <v>3453</v>
      </c>
      <c r="E621" s="8274" t="s">
        <v>3454</v>
      </c>
      <c r="F621" s="8274" t="s">
        <v>2333</v>
      </c>
      <c r="G621" s="8274" t="s">
        <v>3455</v>
      </c>
      <c r="H621" s="8274" t="s">
        <v>17</v>
      </c>
      <c r="I621" s="8274" t="s">
        <v>3346</v>
      </c>
      <c r="J621" s="0" t="s">
        <v>17</v>
      </c>
      <c r="K621" s="0" t="s">
        <v>3427</v>
      </c>
      <c r="L621" s="0" t="s">
        <v>3427</v>
      </c>
      <c r="M621" s="0" t="s">
        <v>3428</v>
      </c>
      <c r="N621" s="0" t="s">
        <v>466</v>
      </c>
    </row>
    <row customHeight="1" ht="11.25">
      <c r="A622" s="8274" t="s">
        <v>2233</v>
      </c>
      <c r="B622" s="8274" t="s">
        <v>14</v>
      </c>
      <c r="C622" s="8274" t="s">
        <v>3456</v>
      </c>
      <c r="D622" s="8274" t="s">
        <v>3457</v>
      </c>
      <c r="E622" s="8274" t="s">
        <v>3458</v>
      </c>
      <c r="F622" s="8274" t="s">
        <v>2310</v>
      </c>
      <c r="G622" s="8274" t="s">
        <v>17</v>
      </c>
      <c r="H622" s="8274" t="s">
        <v>17</v>
      </c>
      <c r="I622" s="8274" t="s">
        <v>3459</v>
      </c>
      <c r="J622" s="0" t="s">
        <v>17</v>
      </c>
      <c r="K622" s="0" t="s">
        <v>1141</v>
      </c>
      <c r="L622" s="0" t="s">
        <v>1141</v>
      </c>
      <c r="M622" s="0" t="s">
        <v>3448</v>
      </c>
      <c r="N622" s="0" t="s">
        <v>466</v>
      </c>
    </row>
    <row customHeight="1" ht="11.25">
      <c r="A623" s="8274" t="s">
        <v>2233</v>
      </c>
      <c r="B623" s="8274" t="s">
        <v>14</v>
      </c>
      <c r="C623" s="8274" t="s">
        <v>3460</v>
      </c>
      <c r="D623" s="8274" t="s">
        <v>3461</v>
      </c>
      <c r="E623" s="8274" t="s">
        <v>3462</v>
      </c>
      <c r="F623" s="8274" t="s">
        <v>2333</v>
      </c>
      <c r="G623" s="8274" t="s">
        <v>17</v>
      </c>
      <c r="H623" s="8274" t="s">
        <v>17</v>
      </c>
      <c r="I623" s="8274" t="s">
        <v>3349</v>
      </c>
      <c r="J623" s="0" t="s">
        <v>17</v>
      </c>
      <c r="K623" s="0" t="s">
        <v>1123</v>
      </c>
      <c r="L623" s="0" t="s">
        <v>1123</v>
      </c>
      <c r="M623" s="0" t="s">
        <v>3437</v>
      </c>
      <c r="N623" s="0" t="s">
        <v>466</v>
      </c>
    </row>
    <row customHeight="1" ht="11.25">
      <c r="A624" s="8274" t="s">
        <v>2233</v>
      </c>
      <c r="B624" s="8274" t="s">
        <v>14</v>
      </c>
      <c r="C624" s="8274" t="s">
        <v>3406</v>
      </c>
      <c r="D624" s="8274" t="s">
        <v>3407</v>
      </c>
      <c r="E624" s="8274" t="s">
        <v>3408</v>
      </c>
      <c r="F624" s="8274" t="s">
        <v>2285</v>
      </c>
      <c r="G624" s="8274" t="s">
        <v>17</v>
      </c>
      <c r="H624" s="8274" t="s">
        <v>17</v>
      </c>
      <c r="I624" s="8274" t="s">
        <v>3436</v>
      </c>
      <c r="J624" s="0" t="s">
        <v>17</v>
      </c>
      <c r="K624" s="0" t="s">
        <v>1123</v>
      </c>
      <c r="L624" s="0" t="s">
        <v>1123</v>
      </c>
      <c r="M624" s="0" t="s">
        <v>3437</v>
      </c>
      <c r="N624" s="0" t="s">
        <v>466</v>
      </c>
    </row>
    <row customHeight="1" ht="11.25">
      <c r="A625" s="8274" t="s">
        <v>2233</v>
      </c>
      <c r="B625" s="8274" t="s">
        <v>14</v>
      </c>
      <c r="C625" s="8274" t="s">
        <v>3463</v>
      </c>
      <c r="D625" s="8274" t="s">
        <v>3464</v>
      </c>
      <c r="E625" s="8274" t="s">
        <v>3465</v>
      </c>
      <c r="F625" s="8274" t="s">
        <v>2365</v>
      </c>
      <c r="G625" s="8274" t="s">
        <v>3466</v>
      </c>
      <c r="H625" s="8274" t="s">
        <v>17</v>
      </c>
      <c r="I625" s="8274" t="s">
        <v>3346</v>
      </c>
      <c r="J625" s="0" t="s">
        <v>17</v>
      </c>
      <c r="K625" s="0" t="s">
        <v>3427</v>
      </c>
      <c r="L625" s="0" t="s">
        <v>3427</v>
      </c>
      <c r="M625" s="0" t="s">
        <v>3428</v>
      </c>
      <c r="N625" s="0" t="s">
        <v>466</v>
      </c>
    </row>
    <row customHeight="1" ht="11.25">
      <c r="A626" s="8274" t="s">
        <v>2233</v>
      </c>
      <c r="B626" s="8274" t="s">
        <v>14</v>
      </c>
      <c r="C626" s="8274" t="s">
        <v>3467</v>
      </c>
      <c r="D626" s="8274" t="s">
        <v>3468</v>
      </c>
      <c r="E626" s="8274" t="s">
        <v>3469</v>
      </c>
      <c r="F626" s="8274" t="s">
        <v>2432</v>
      </c>
      <c r="G626" s="8274" t="s">
        <v>17</v>
      </c>
      <c r="H626" s="8274" t="s">
        <v>17</v>
      </c>
      <c r="I626" s="8274" t="s">
        <v>3470</v>
      </c>
      <c r="J626" s="0" t="s">
        <v>17</v>
      </c>
      <c r="K626" s="0" t="s">
        <v>1141</v>
      </c>
      <c r="L626" s="0" t="s">
        <v>1141</v>
      </c>
      <c r="M626" s="0" t="s">
        <v>3448</v>
      </c>
      <c r="N626" s="0" t="s">
        <v>466</v>
      </c>
    </row>
    <row customHeight="1" ht="11.25">
      <c r="A627" s="8274" t="s">
        <v>2233</v>
      </c>
      <c r="B627" s="8274" t="s">
        <v>14</v>
      </c>
      <c r="C627" s="8274" t="s">
        <v>3471</v>
      </c>
      <c r="D627" s="8274" t="s">
        <v>3472</v>
      </c>
      <c r="E627" s="8274" t="s">
        <v>3473</v>
      </c>
      <c r="F627" s="8274" t="s">
        <v>2310</v>
      </c>
      <c r="G627" s="8274" t="s">
        <v>17</v>
      </c>
      <c r="H627" s="8274" t="s">
        <v>17</v>
      </c>
      <c r="I627" s="8274" t="s">
        <v>3436</v>
      </c>
      <c r="J627" s="0" t="s">
        <v>17</v>
      </c>
      <c r="K627" s="0" t="s">
        <v>1123</v>
      </c>
      <c r="L627" s="0" t="s">
        <v>1123</v>
      </c>
      <c r="M627" s="0" t="s">
        <v>3437</v>
      </c>
      <c r="N627" s="0" t="s">
        <v>466</v>
      </c>
    </row>
    <row customHeight="1" ht="11.25">
      <c r="A628" s="8274" t="s">
        <v>2233</v>
      </c>
      <c r="B628" s="8274" t="s">
        <v>14</v>
      </c>
      <c r="C628" s="8274" t="s">
        <v>3474</v>
      </c>
      <c r="D628" s="8274" t="s">
        <v>3475</v>
      </c>
      <c r="E628" s="8274" t="s">
        <v>3476</v>
      </c>
      <c r="F628" s="8274" t="s">
        <v>2379</v>
      </c>
      <c r="G628" s="8274" t="s">
        <v>17</v>
      </c>
      <c r="H628" s="8274" t="s">
        <v>17</v>
      </c>
      <c r="I628" s="8274" t="s">
        <v>3477</v>
      </c>
      <c r="J628" s="0" t="s">
        <v>17</v>
      </c>
      <c r="K628" s="0" t="s">
        <v>1123</v>
      </c>
      <c r="L628" s="0" t="s">
        <v>1123</v>
      </c>
      <c r="M628" s="0" t="s">
        <v>3437</v>
      </c>
      <c r="N628" s="0" t="s">
        <v>466</v>
      </c>
    </row>
    <row customHeight="1" ht="11.25">
      <c r="A629" s="8274" t="s">
        <v>2233</v>
      </c>
      <c r="B629" s="8274" t="s">
        <v>14</v>
      </c>
      <c r="C629" s="8274" t="s">
        <v>3478</v>
      </c>
      <c r="D629" s="8274" t="s">
        <v>3479</v>
      </c>
      <c r="E629" s="8274" t="s">
        <v>3480</v>
      </c>
      <c r="F629" s="8274" t="s">
        <v>2379</v>
      </c>
      <c r="G629" s="8274" t="s">
        <v>17</v>
      </c>
      <c r="H629" s="8274" t="s">
        <v>17</v>
      </c>
      <c r="I629" s="8274" t="s">
        <v>3436</v>
      </c>
      <c r="J629" s="0" t="s">
        <v>17</v>
      </c>
      <c r="K629" s="0" t="s">
        <v>1141</v>
      </c>
      <c r="L629" s="0" t="s">
        <v>1141</v>
      </c>
      <c r="M629" s="0" t="s">
        <v>3448</v>
      </c>
      <c r="N629" s="0" t="s">
        <v>466</v>
      </c>
    </row>
    <row customHeight="1" ht="11.25">
      <c r="A630" s="8274" t="s">
        <v>2233</v>
      </c>
      <c r="B630" s="8274" t="s">
        <v>14</v>
      </c>
      <c r="C630" s="8274" t="s">
        <v>3481</v>
      </c>
      <c r="D630" s="8274" t="s">
        <v>3482</v>
      </c>
      <c r="E630" s="8274" t="s">
        <v>3483</v>
      </c>
      <c r="F630" s="8274" t="s">
        <v>2379</v>
      </c>
      <c r="G630" s="8274" t="s">
        <v>17</v>
      </c>
      <c r="H630" s="8274" t="s">
        <v>17</v>
      </c>
      <c r="I630" s="8274" t="s">
        <v>2665</v>
      </c>
      <c r="J630" s="0" t="s">
        <v>17</v>
      </c>
      <c r="K630" s="0" t="s">
        <v>1141</v>
      </c>
      <c r="L630" s="0" t="s">
        <v>1141</v>
      </c>
      <c r="M630" s="0" t="s">
        <v>3448</v>
      </c>
      <c r="N630" s="0" t="s">
        <v>466</v>
      </c>
    </row>
    <row customHeight="1" ht="11.25">
      <c r="A631" s="8274" t="s">
        <v>2233</v>
      </c>
      <c r="B631" s="8274" t="s">
        <v>14</v>
      </c>
      <c r="C631" s="8274" t="s">
        <v>3484</v>
      </c>
      <c r="D631" s="8274" t="s">
        <v>3485</v>
      </c>
      <c r="E631" s="8274" t="s">
        <v>3486</v>
      </c>
      <c r="F631" s="8274" t="s">
        <v>2643</v>
      </c>
      <c r="G631" s="8274" t="s">
        <v>17</v>
      </c>
      <c r="H631" s="8274" t="s">
        <v>17</v>
      </c>
      <c r="I631" s="8274" t="s">
        <v>3487</v>
      </c>
      <c r="J631" s="0" t="s">
        <v>17</v>
      </c>
      <c r="K631" s="0" t="s">
        <v>355</v>
      </c>
      <c r="L631" s="0" t="s">
        <v>355</v>
      </c>
      <c r="M631" s="0" t="s">
        <v>3488</v>
      </c>
      <c r="N631" s="0" t="s">
        <v>466</v>
      </c>
    </row>
    <row customHeight="1" ht="11.25">
      <c r="A632" s="8274" t="s">
        <v>2233</v>
      </c>
      <c r="B632" s="8274" t="s">
        <v>14</v>
      </c>
      <c r="C632" s="8274" t="s">
        <v>3489</v>
      </c>
      <c r="D632" s="8274" t="s">
        <v>3490</v>
      </c>
      <c r="E632" s="8274" t="s">
        <v>3491</v>
      </c>
      <c r="F632" s="8274" t="s">
        <v>2520</v>
      </c>
      <c r="G632" s="8274" t="s">
        <v>17</v>
      </c>
      <c r="H632" s="8274" t="s">
        <v>17</v>
      </c>
      <c r="I632" s="8274" t="s">
        <v>3436</v>
      </c>
      <c r="J632" s="0" t="s">
        <v>17</v>
      </c>
      <c r="K632" s="0" t="s">
        <v>1123</v>
      </c>
      <c r="L632" s="0" t="s">
        <v>1123</v>
      </c>
      <c r="M632" s="0" t="s">
        <v>3437</v>
      </c>
      <c r="N632" s="0" t="s">
        <v>466</v>
      </c>
    </row>
    <row customHeight="1" ht="11.25">
      <c r="A633" s="8274" t="s">
        <v>2233</v>
      </c>
      <c r="B633" s="8274" t="s">
        <v>14</v>
      </c>
      <c r="C633" s="8274" t="s">
        <v>3492</v>
      </c>
      <c r="D633" s="8274" t="s">
        <v>3493</v>
      </c>
      <c r="E633" s="8274" t="s">
        <v>3494</v>
      </c>
      <c r="F633" s="8274" t="s">
        <v>2251</v>
      </c>
      <c r="G633" s="8274" t="s">
        <v>2521</v>
      </c>
      <c r="H633" s="8274" t="s">
        <v>17</v>
      </c>
      <c r="I633" s="8274" t="s">
        <v>3495</v>
      </c>
      <c r="J633" s="0" t="s">
        <v>17</v>
      </c>
      <c r="K633" s="0" t="s">
        <v>1141</v>
      </c>
      <c r="L633" s="0" t="s">
        <v>1141</v>
      </c>
      <c r="M633" s="0" t="s">
        <v>3448</v>
      </c>
      <c r="N633" s="0" t="s">
        <v>466</v>
      </c>
    </row>
    <row customHeight="1" ht="11.25">
      <c r="A634" s="8274" t="s">
        <v>2233</v>
      </c>
      <c r="B634" s="8274" t="s">
        <v>14</v>
      </c>
      <c r="C634" s="8274" t="s">
        <v>3492</v>
      </c>
      <c r="D634" s="8274" t="s">
        <v>3493</v>
      </c>
      <c r="E634" s="8274" t="s">
        <v>3494</v>
      </c>
      <c r="F634" s="8274" t="s">
        <v>2251</v>
      </c>
      <c r="G634" s="8274" t="s">
        <v>2521</v>
      </c>
      <c r="H634" s="8274" t="s">
        <v>17</v>
      </c>
      <c r="I634" s="8274" t="s">
        <v>3496</v>
      </c>
      <c r="J634" s="0" t="s">
        <v>17</v>
      </c>
      <c r="K634" s="0" t="s">
        <v>1141</v>
      </c>
      <c r="L634" s="0" t="s">
        <v>1141</v>
      </c>
      <c r="M634" s="0" t="s">
        <v>3448</v>
      </c>
      <c r="N634" s="0" t="s">
        <v>466</v>
      </c>
    </row>
  </sheetData>
  <sheetProtection formatColumns="0" formatRows="0" sort="0" autoFilter="0" insertRows="0" insertColumns="1" deleteRows="0" deleteColumns="0"/>
  <pageMargins left="0.75" right="0.75" top="1.00" bottom="1.00" header="0.50" footer="0.50"/>
  <pageSetup pageOrder="downThenOver" orientation="portrait"/>
  <headerFooter>
    <oddHeader>&amp;L&amp;C&amp;R</oddHeader>
    <oddFooter>&amp;L&amp;C&amp;R</oddFooter>
    <evenHeader>&amp;L&amp;C&amp;R</evenHeader>
    <evenFooter>&amp;L&amp;C&amp;R</evenFooter>
  </headerFooter>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2B6BFD8-7FED-3828-57C6-FA3B0EF87F8B}" mc:Ignorable="x14ac xr xr2 xr3">
  <sheetPr>
    <tabColor rgb="FFFFCC99"/>
  </sheetPr>
  <dimension ref="A1:G353"/>
  <sheetViews>
    <sheetView topLeftCell="A1" showGridLines="0" workbookViewId="0">
      <selection activeCell="A1" sqref="A1"/>
    </sheetView>
  </sheetViews>
  <sheetFormatPr customHeight="1" defaultRowHeight="11.25"/>
  <cols>
    <col min="1" max="1" style="11403" width="9.140625"/>
  </cols>
  <sheetData>
    <row customHeight="1" ht="11.25">
      <c r="A1" s="598" t="s">
        <v>3497</v>
      </c>
      <c r="B1" s="255" t="s">
        <v>3498</v>
      </c>
      <c r="C1" s="255" t="s">
        <v>3499</v>
      </c>
      <c r="D1" s="255" t="s">
        <v>3500</v>
      </c>
      <c r="E1" s="93" t="s">
        <v>3501</v>
      </c>
      <c r="F1" s="93" t="s">
        <v>3502</v>
      </c>
      <c r="G1" s="93" t="s">
        <v>3503</v>
      </c>
    </row>
    <row customHeight="1" ht="11.25">
      <c r="A2" s="598" t="s">
        <v>14</v>
      </c>
      <c r="B2" s="0" t="s">
        <v>3504</v>
      </c>
      <c r="C2" s="0" t="s">
        <v>3505</v>
      </c>
      <c r="D2" s="0" t="s">
        <v>3504</v>
      </c>
      <c r="E2" s="0" t="s">
        <v>3505</v>
      </c>
      <c r="F2" s="0" t="s">
        <v>3506</v>
      </c>
      <c r="G2" s="0" t="s">
        <v>109</v>
      </c>
    </row>
    <row customHeight="1" ht="11.25">
      <c r="A3" s="598" t="s">
        <v>14</v>
      </c>
      <c r="B3" s="0" t="s">
        <v>3504</v>
      </c>
      <c r="C3" s="0" t="s">
        <v>3505</v>
      </c>
      <c r="D3" s="0" t="s">
        <v>3507</v>
      </c>
      <c r="E3" s="0" t="s">
        <v>3508</v>
      </c>
      <c r="F3" s="0" t="s">
        <v>3509</v>
      </c>
      <c r="G3" s="0" t="s">
        <v>110</v>
      </c>
    </row>
    <row customHeight="1" ht="11.25">
      <c r="A4" s="598" t="s">
        <v>14</v>
      </c>
      <c r="B4" s="0" t="s">
        <v>3504</v>
      </c>
      <c r="C4" s="0" t="s">
        <v>3505</v>
      </c>
      <c r="D4" s="0" t="s">
        <v>3510</v>
      </c>
      <c r="E4" s="0" t="s">
        <v>3511</v>
      </c>
      <c r="F4" s="0" t="s">
        <v>3509</v>
      </c>
      <c r="G4" s="0" t="s">
        <v>90</v>
      </c>
    </row>
    <row customHeight="1" ht="11.25">
      <c r="A5" s="598" t="s">
        <v>14</v>
      </c>
      <c r="B5" s="0" t="s">
        <v>3504</v>
      </c>
      <c r="C5" s="0" t="s">
        <v>3505</v>
      </c>
      <c r="D5" s="0" t="s">
        <v>3512</v>
      </c>
      <c r="E5" s="0" t="s">
        <v>3513</v>
      </c>
      <c r="F5" s="0" t="s">
        <v>3509</v>
      </c>
      <c r="G5" s="0" t="s">
        <v>91</v>
      </c>
    </row>
    <row customHeight="1" ht="11.25">
      <c r="A6" s="598" t="s">
        <v>14</v>
      </c>
      <c r="B6" s="0" t="s">
        <v>3504</v>
      </c>
      <c r="C6" s="0" t="s">
        <v>3505</v>
      </c>
      <c r="D6" s="0" t="s">
        <v>3514</v>
      </c>
      <c r="E6" s="0" t="s">
        <v>3515</v>
      </c>
      <c r="F6" s="0" t="s">
        <v>3509</v>
      </c>
      <c r="G6" s="0" t="s">
        <v>111</v>
      </c>
    </row>
    <row customHeight="1" ht="11.25">
      <c r="A7" s="598" t="s">
        <v>14</v>
      </c>
      <c r="B7" s="0" t="s">
        <v>3504</v>
      </c>
      <c r="C7" s="0" t="s">
        <v>3505</v>
      </c>
      <c r="D7" s="0" t="s">
        <v>3516</v>
      </c>
      <c r="E7" s="0" t="s">
        <v>3517</v>
      </c>
      <c r="F7" s="0" t="s">
        <v>3509</v>
      </c>
      <c r="G7" s="0" t="s">
        <v>92</v>
      </c>
    </row>
    <row customHeight="1" ht="11.25">
      <c r="A8" s="598" t="s">
        <v>14</v>
      </c>
      <c r="B8" s="0" t="s">
        <v>3518</v>
      </c>
      <c r="C8" s="0" t="s">
        <v>3519</v>
      </c>
      <c r="D8" s="0" t="s">
        <v>3518</v>
      </c>
      <c r="E8" s="0" t="s">
        <v>3519</v>
      </c>
      <c r="F8" s="0" t="s">
        <v>3506</v>
      </c>
      <c r="G8" s="0" t="s">
        <v>93</v>
      </c>
    </row>
    <row customHeight="1" ht="11.25">
      <c r="A9" s="598" t="s">
        <v>14</v>
      </c>
      <c r="B9" s="0" t="s">
        <v>3518</v>
      </c>
      <c r="C9" s="0" t="s">
        <v>3519</v>
      </c>
      <c r="D9" s="0" t="s">
        <v>3520</v>
      </c>
      <c r="E9" s="0" t="s">
        <v>3521</v>
      </c>
      <c r="F9" s="0" t="s">
        <v>3522</v>
      </c>
      <c r="G9" s="0" t="s">
        <v>112</v>
      </c>
    </row>
    <row customHeight="1" ht="11.25">
      <c r="A10" s="598" t="s">
        <v>14</v>
      </c>
      <c r="B10" s="0" t="s">
        <v>3518</v>
      </c>
      <c r="C10" s="0" t="s">
        <v>3519</v>
      </c>
      <c r="D10" s="0" t="s">
        <v>3523</v>
      </c>
      <c r="E10" s="0" t="s">
        <v>3524</v>
      </c>
      <c r="F10" s="0" t="s">
        <v>3522</v>
      </c>
      <c r="G10" s="0" t="s">
        <v>136</v>
      </c>
    </row>
    <row customHeight="1" ht="11.25">
      <c r="A11" s="598" t="s">
        <v>14</v>
      </c>
      <c r="B11" s="0" t="s">
        <v>3518</v>
      </c>
      <c r="C11" s="0" t="s">
        <v>3519</v>
      </c>
      <c r="D11" s="0" t="s">
        <v>3525</v>
      </c>
      <c r="E11" s="0" t="s">
        <v>3526</v>
      </c>
      <c r="F11" s="0" t="s">
        <v>3509</v>
      </c>
      <c r="G11" s="0" t="s">
        <v>139</v>
      </c>
    </row>
    <row customHeight="1" ht="11.25">
      <c r="A12" s="598" t="s">
        <v>14</v>
      </c>
      <c r="B12" s="0" t="s">
        <v>3518</v>
      </c>
      <c r="C12" s="0" t="s">
        <v>3519</v>
      </c>
      <c r="D12" s="0" t="s">
        <v>3527</v>
      </c>
      <c r="E12" s="0" t="s">
        <v>3528</v>
      </c>
      <c r="F12" s="0" t="s">
        <v>3509</v>
      </c>
      <c r="G12" s="0" t="s">
        <v>142</v>
      </c>
    </row>
    <row customHeight="1" ht="11.25">
      <c r="A13" s="598" t="s">
        <v>14</v>
      </c>
      <c r="B13" s="0" t="s">
        <v>3518</v>
      </c>
      <c r="C13" s="0" t="s">
        <v>3519</v>
      </c>
      <c r="D13" s="0" t="s">
        <v>3529</v>
      </c>
      <c r="E13" s="0" t="s">
        <v>3530</v>
      </c>
      <c r="F13" s="0" t="s">
        <v>3509</v>
      </c>
      <c r="G13" s="0" t="s">
        <v>145</v>
      </c>
    </row>
    <row customHeight="1" ht="11.25">
      <c r="A14" s="598" t="s">
        <v>14</v>
      </c>
      <c r="B14" s="0" t="s">
        <v>3518</v>
      </c>
      <c r="C14" s="0" t="s">
        <v>3519</v>
      </c>
      <c r="D14" s="0" t="s">
        <v>3531</v>
      </c>
      <c r="E14" s="0" t="s">
        <v>3532</v>
      </c>
      <c r="F14" s="0" t="s">
        <v>3509</v>
      </c>
      <c r="G14" s="0" t="s">
        <v>148</v>
      </c>
    </row>
    <row customHeight="1" ht="11.25">
      <c r="A15" s="598" t="s">
        <v>14</v>
      </c>
      <c r="B15" s="0" t="s">
        <v>3518</v>
      </c>
      <c r="C15" s="0" t="s">
        <v>3519</v>
      </c>
      <c r="D15" s="0" t="s">
        <v>3533</v>
      </c>
      <c r="E15" s="0" t="s">
        <v>3534</v>
      </c>
      <c r="F15" s="0" t="s">
        <v>3509</v>
      </c>
      <c r="G15" s="0" t="s">
        <v>151</v>
      </c>
    </row>
    <row customHeight="1" ht="11.25">
      <c r="A16" s="598" t="s">
        <v>14</v>
      </c>
      <c r="B16" s="0" t="s">
        <v>3518</v>
      </c>
      <c r="C16" s="0" t="s">
        <v>3519</v>
      </c>
      <c r="D16" s="0" t="s">
        <v>3535</v>
      </c>
      <c r="E16" s="0" t="s">
        <v>3536</v>
      </c>
      <c r="F16" s="0" t="s">
        <v>3509</v>
      </c>
      <c r="G16" s="0" t="s">
        <v>154</v>
      </c>
    </row>
    <row customHeight="1" ht="11.25">
      <c r="A17" s="598" t="s">
        <v>14</v>
      </c>
      <c r="B17" s="0" t="s">
        <v>3518</v>
      </c>
      <c r="C17" s="0" t="s">
        <v>3519</v>
      </c>
      <c r="D17" s="0" t="s">
        <v>3537</v>
      </c>
      <c r="E17" s="0" t="s">
        <v>3538</v>
      </c>
      <c r="F17" s="0" t="s">
        <v>3509</v>
      </c>
      <c r="G17" s="0" t="s">
        <v>157</v>
      </c>
    </row>
    <row customHeight="1" ht="11.25">
      <c r="A18" s="598" t="s">
        <v>14</v>
      </c>
      <c r="B18" s="0" t="s">
        <v>3518</v>
      </c>
      <c r="C18" s="0" t="s">
        <v>3519</v>
      </c>
      <c r="D18" s="0" t="s">
        <v>3539</v>
      </c>
      <c r="E18" s="0" t="s">
        <v>3540</v>
      </c>
      <c r="F18" s="0" t="s">
        <v>3509</v>
      </c>
      <c r="G18" s="0" t="s">
        <v>160</v>
      </c>
    </row>
    <row customHeight="1" ht="11.25">
      <c r="A19" s="598" t="s">
        <v>14</v>
      </c>
      <c r="B19" s="0" t="s">
        <v>3518</v>
      </c>
      <c r="C19" s="0" t="s">
        <v>3519</v>
      </c>
      <c r="D19" s="0" t="s">
        <v>3541</v>
      </c>
      <c r="E19" s="0" t="s">
        <v>3542</v>
      </c>
      <c r="F19" s="0" t="s">
        <v>3509</v>
      </c>
      <c r="G19" s="0" t="s">
        <v>163</v>
      </c>
    </row>
    <row customHeight="1" ht="11.25">
      <c r="A20" s="598" t="s">
        <v>14</v>
      </c>
      <c r="B20" s="0" t="s">
        <v>3518</v>
      </c>
      <c r="C20" s="0" t="s">
        <v>3519</v>
      </c>
      <c r="D20" s="0" t="s">
        <v>3543</v>
      </c>
      <c r="E20" s="0" t="s">
        <v>3544</v>
      </c>
      <c r="F20" s="0" t="s">
        <v>3509</v>
      </c>
      <c r="G20" s="0" t="s">
        <v>166</v>
      </c>
    </row>
    <row customHeight="1" ht="11.25">
      <c r="A21" s="598" t="s">
        <v>14</v>
      </c>
      <c r="B21" s="0" t="s">
        <v>3518</v>
      </c>
      <c r="C21" s="0" t="s">
        <v>3519</v>
      </c>
      <c r="D21" s="0" t="s">
        <v>3545</v>
      </c>
      <c r="E21" s="0" t="s">
        <v>3546</v>
      </c>
      <c r="F21" s="0" t="s">
        <v>3509</v>
      </c>
      <c r="G21" s="0" t="s">
        <v>169</v>
      </c>
    </row>
    <row customHeight="1" ht="11.25">
      <c r="A22" s="598" t="s">
        <v>14</v>
      </c>
      <c r="B22" s="0" t="s">
        <v>3547</v>
      </c>
      <c r="C22" s="0" t="s">
        <v>3548</v>
      </c>
      <c r="D22" s="0" t="s">
        <v>3547</v>
      </c>
      <c r="E22" s="0" t="s">
        <v>3548</v>
      </c>
      <c r="F22" s="0" t="s">
        <v>3506</v>
      </c>
      <c r="G22" s="0" t="s">
        <v>172</v>
      </c>
    </row>
    <row customHeight="1" ht="11.25">
      <c r="A23" s="598" t="s">
        <v>14</v>
      </c>
      <c r="B23" s="0" t="s">
        <v>3547</v>
      </c>
      <c r="C23" s="0" t="s">
        <v>3548</v>
      </c>
      <c r="D23" s="0" t="s">
        <v>3549</v>
      </c>
      <c r="E23" s="0" t="s">
        <v>3550</v>
      </c>
      <c r="F23" s="0" t="s">
        <v>3509</v>
      </c>
      <c r="G23" s="0" t="s">
        <v>175</v>
      </c>
    </row>
    <row customHeight="1" ht="11.25">
      <c r="A24" s="598" t="s">
        <v>14</v>
      </c>
      <c r="B24" s="0" t="s">
        <v>3547</v>
      </c>
      <c r="C24" s="0" t="s">
        <v>3548</v>
      </c>
      <c r="D24" s="0" t="s">
        <v>3551</v>
      </c>
      <c r="E24" s="0" t="s">
        <v>3552</v>
      </c>
      <c r="F24" s="0" t="s">
        <v>3509</v>
      </c>
      <c r="G24" s="0" t="s">
        <v>178</v>
      </c>
    </row>
    <row customHeight="1" ht="11.25">
      <c r="A25" s="598" t="s">
        <v>14</v>
      </c>
      <c r="B25" s="0" t="s">
        <v>3547</v>
      </c>
      <c r="C25" s="0" t="s">
        <v>3548</v>
      </c>
      <c r="D25" s="0" t="s">
        <v>3553</v>
      </c>
      <c r="E25" s="0" t="s">
        <v>3554</v>
      </c>
      <c r="F25" s="0" t="s">
        <v>3509</v>
      </c>
      <c r="G25" s="0" t="s">
        <v>181</v>
      </c>
    </row>
    <row customHeight="1" ht="11.25">
      <c r="A26" s="598" t="s">
        <v>14</v>
      </c>
      <c r="B26" s="0" t="s">
        <v>3547</v>
      </c>
      <c r="C26" s="0" t="s">
        <v>3548</v>
      </c>
      <c r="D26" s="0" t="s">
        <v>3555</v>
      </c>
      <c r="E26" s="0" t="s">
        <v>3556</v>
      </c>
      <c r="F26" s="0" t="s">
        <v>3509</v>
      </c>
      <c r="G26" s="0" t="s">
        <v>184</v>
      </c>
    </row>
    <row customHeight="1" ht="11.25">
      <c r="A27" s="598" t="s">
        <v>14</v>
      </c>
      <c r="B27" s="0" t="s">
        <v>3547</v>
      </c>
      <c r="C27" s="0" t="s">
        <v>3548</v>
      </c>
      <c r="D27" s="0" t="s">
        <v>3557</v>
      </c>
      <c r="E27" s="0" t="s">
        <v>3558</v>
      </c>
      <c r="F27" s="0" t="s">
        <v>3509</v>
      </c>
      <c r="G27" s="0" t="s">
        <v>187</v>
      </c>
    </row>
    <row customHeight="1" ht="11.25">
      <c r="A28" s="598" t="s">
        <v>14</v>
      </c>
      <c r="B28" s="0" t="s">
        <v>3559</v>
      </c>
      <c r="C28" s="0" t="s">
        <v>3560</v>
      </c>
      <c r="D28" s="0" t="s">
        <v>3559</v>
      </c>
      <c r="E28" s="0" t="s">
        <v>3560</v>
      </c>
      <c r="F28" s="0" t="s">
        <v>3506</v>
      </c>
      <c r="G28" s="0" t="s">
        <v>190</v>
      </c>
    </row>
    <row customHeight="1" ht="11.25">
      <c r="A29" s="598" t="s">
        <v>14</v>
      </c>
      <c r="B29" s="0" t="s">
        <v>3559</v>
      </c>
      <c r="C29" s="0" t="s">
        <v>3560</v>
      </c>
      <c r="D29" s="0" t="s">
        <v>3561</v>
      </c>
      <c r="E29" s="0" t="s">
        <v>3562</v>
      </c>
      <c r="F29" s="0" t="s">
        <v>3509</v>
      </c>
      <c r="G29" s="0" t="s">
        <v>193</v>
      </c>
    </row>
    <row customHeight="1" ht="11.25">
      <c r="A30" s="598" t="s">
        <v>14</v>
      </c>
      <c r="B30" s="0" t="s">
        <v>3559</v>
      </c>
      <c r="C30" s="0" t="s">
        <v>3560</v>
      </c>
      <c r="D30" s="0" t="s">
        <v>3563</v>
      </c>
      <c r="E30" s="0" t="s">
        <v>3564</v>
      </c>
      <c r="F30" s="0" t="s">
        <v>3509</v>
      </c>
      <c r="G30" s="0" t="s">
        <v>1180</v>
      </c>
    </row>
    <row customHeight="1" ht="11.25">
      <c r="A31" s="598" t="s">
        <v>14</v>
      </c>
      <c r="B31" s="0" t="s">
        <v>3559</v>
      </c>
      <c r="C31" s="0" t="s">
        <v>3560</v>
      </c>
      <c r="D31" s="0" t="s">
        <v>3565</v>
      </c>
      <c r="E31" s="0" t="s">
        <v>3566</v>
      </c>
      <c r="F31" s="0" t="s">
        <v>3509</v>
      </c>
      <c r="G31" s="0" t="s">
        <v>1186</v>
      </c>
    </row>
    <row customHeight="1" ht="11.25">
      <c r="A32" s="598" t="s">
        <v>14</v>
      </c>
      <c r="B32" s="0" t="s">
        <v>3559</v>
      </c>
      <c r="C32" s="0" t="s">
        <v>3560</v>
      </c>
      <c r="D32" s="0" t="s">
        <v>3567</v>
      </c>
      <c r="E32" s="0" t="s">
        <v>3568</v>
      </c>
      <c r="F32" s="0" t="s">
        <v>3509</v>
      </c>
      <c r="G32" s="0" t="s">
        <v>1188</v>
      </c>
    </row>
    <row customHeight="1" ht="11.25">
      <c r="A33" s="598" t="s">
        <v>14</v>
      </c>
      <c r="B33" s="0" t="s">
        <v>3559</v>
      </c>
      <c r="C33" s="0" t="s">
        <v>3560</v>
      </c>
      <c r="D33" s="0" t="s">
        <v>3569</v>
      </c>
      <c r="E33" s="0" t="s">
        <v>3570</v>
      </c>
      <c r="F33" s="0" t="s">
        <v>3509</v>
      </c>
      <c r="G33" s="0" t="s">
        <v>1190</v>
      </c>
    </row>
    <row customHeight="1" ht="11.25">
      <c r="A34" s="598" t="s">
        <v>14</v>
      </c>
      <c r="B34" s="0" t="s">
        <v>3559</v>
      </c>
      <c r="C34" s="0" t="s">
        <v>3560</v>
      </c>
      <c r="D34" s="0" t="s">
        <v>3571</v>
      </c>
      <c r="E34" s="0" t="s">
        <v>3572</v>
      </c>
      <c r="F34" s="0" t="s">
        <v>3509</v>
      </c>
      <c r="G34" s="0" t="s">
        <v>1192</v>
      </c>
    </row>
    <row customHeight="1" ht="11.25">
      <c r="A35" s="598" t="s">
        <v>14</v>
      </c>
      <c r="B35" s="0" t="s">
        <v>3559</v>
      </c>
      <c r="C35" s="0" t="s">
        <v>3560</v>
      </c>
      <c r="D35" s="0" t="s">
        <v>3573</v>
      </c>
      <c r="E35" s="0" t="s">
        <v>3574</v>
      </c>
      <c r="F35" s="0" t="s">
        <v>3509</v>
      </c>
      <c r="G35" s="0" t="s">
        <v>1197</v>
      </c>
    </row>
    <row customHeight="1" ht="11.25">
      <c r="A36" s="598" t="s">
        <v>14</v>
      </c>
      <c r="B36" s="0" t="s">
        <v>3559</v>
      </c>
      <c r="C36" s="0" t="s">
        <v>3560</v>
      </c>
      <c r="D36" s="0" t="s">
        <v>3575</v>
      </c>
      <c r="E36" s="0" t="s">
        <v>3576</v>
      </c>
      <c r="F36" s="0" t="s">
        <v>3509</v>
      </c>
      <c r="G36" s="0" t="s">
        <v>1202</v>
      </c>
    </row>
    <row customHeight="1" ht="11.25">
      <c r="A37" s="598" t="s">
        <v>14</v>
      </c>
      <c r="B37" s="0" t="s">
        <v>3577</v>
      </c>
      <c r="C37" s="0" t="s">
        <v>3578</v>
      </c>
      <c r="D37" s="0" t="s">
        <v>3577</v>
      </c>
      <c r="E37" s="0" t="s">
        <v>3578</v>
      </c>
      <c r="F37" s="0" t="s">
        <v>3506</v>
      </c>
      <c r="G37" s="0" t="s">
        <v>1206</v>
      </c>
    </row>
    <row customHeight="1" ht="11.25">
      <c r="A38" s="598" t="s">
        <v>14</v>
      </c>
      <c r="B38" s="0" t="s">
        <v>3577</v>
      </c>
      <c r="C38" s="0" t="s">
        <v>3578</v>
      </c>
      <c r="D38" s="0" t="s">
        <v>3579</v>
      </c>
      <c r="E38" s="0" t="s">
        <v>3580</v>
      </c>
      <c r="F38" s="0" t="s">
        <v>3509</v>
      </c>
      <c r="G38" s="0" t="s">
        <v>1214</v>
      </c>
    </row>
    <row customHeight="1" ht="11.25">
      <c r="A39" s="598" t="s">
        <v>14</v>
      </c>
      <c r="B39" s="0" t="s">
        <v>3577</v>
      </c>
      <c r="C39" s="0" t="s">
        <v>3578</v>
      </c>
      <c r="D39" s="0" t="s">
        <v>3581</v>
      </c>
      <c r="E39" s="0" t="s">
        <v>3582</v>
      </c>
      <c r="F39" s="0" t="s">
        <v>3509</v>
      </c>
      <c r="G39" s="0" t="s">
        <v>1220</v>
      </c>
    </row>
    <row customHeight="1" ht="11.25">
      <c r="A40" s="598" t="s">
        <v>14</v>
      </c>
      <c r="B40" s="0" t="s">
        <v>3577</v>
      </c>
      <c r="C40" s="0" t="s">
        <v>3578</v>
      </c>
      <c r="D40" s="0" t="s">
        <v>3583</v>
      </c>
      <c r="E40" s="0" t="s">
        <v>3584</v>
      </c>
      <c r="F40" s="0" t="s">
        <v>3509</v>
      </c>
      <c r="G40" s="0" t="s">
        <v>1226</v>
      </c>
    </row>
    <row customHeight="1" ht="11.25">
      <c r="A41" s="598" t="s">
        <v>14</v>
      </c>
      <c r="B41" s="0" t="s">
        <v>3577</v>
      </c>
      <c r="C41" s="0" t="s">
        <v>3578</v>
      </c>
      <c r="D41" s="0" t="s">
        <v>3585</v>
      </c>
      <c r="E41" s="0" t="s">
        <v>3586</v>
      </c>
      <c r="F41" s="0" t="s">
        <v>3509</v>
      </c>
      <c r="G41" s="0" t="s">
        <v>1232</v>
      </c>
    </row>
    <row customHeight="1" ht="11.25">
      <c r="A42" s="598" t="s">
        <v>14</v>
      </c>
      <c r="B42" s="0" t="s">
        <v>3577</v>
      </c>
      <c r="C42" s="0" t="s">
        <v>3578</v>
      </c>
      <c r="D42" s="0" t="s">
        <v>3587</v>
      </c>
      <c r="E42" s="0" t="s">
        <v>3588</v>
      </c>
      <c r="F42" s="0" t="s">
        <v>3509</v>
      </c>
      <c r="G42" s="0" t="s">
        <v>1237</v>
      </c>
    </row>
    <row customHeight="1" ht="11.25">
      <c r="A43" s="598" t="s">
        <v>14</v>
      </c>
      <c r="B43" s="0" t="s">
        <v>3577</v>
      </c>
      <c r="C43" s="0" t="s">
        <v>3578</v>
      </c>
      <c r="D43" s="0" t="s">
        <v>3589</v>
      </c>
      <c r="E43" s="0" t="s">
        <v>3590</v>
      </c>
      <c r="F43" s="0" t="s">
        <v>3509</v>
      </c>
      <c r="G43" s="0" t="s">
        <v>1244</v>
      </c>
    </row>
    <row customHeight="1" ht="11.25">
      <c r="A44" s="598" t="s">
        <v>14</v>
      </c>
      <c r="B44" s="0" t="s">
        <v>3577</v>
      </c>
      <c r="C44" s="0" t="s">
        <v>3578</v>
      </c>
      <c r="D44" s="0" t="s">
        <v>3591</v>
      </c>
      <c r="E44" s="0" t="s">
        <v>3592</v>
      </c>
      <c r="F44" s="0" t="s">
        <v>3509</v>
      </c>
      <c r="G44" s="0" t="s">
        <v>1253</v>
      </c>
    </row>
    <row customHeight="1" ht="11.25">
      <c r="A45" s="598" t="s">
        <v>14</v>
      </c>
      <c r="B45" s="0" t="s">
        <v>3577</v>
      </c>
      <c r="C45" s="0" t="s">
        <v>3578</v>
      </c>
      <c r="D45" s="0" t="s">
        <v>3593</v>
      </c>
      <c r="E45" s="0" t="s">
        <v>3594</v>
      </c>
      <c r="F45" s="0" t="s">
        <v>3509</v>
      </c>
      <c r="G45" s="0" t="s">
        <v>1259</v>
      </c>
    </row>
    <row customHeight="1" ht="11.25">
      <c r="A46" s="598" t="s">
        <v>14</v>
      </c>
      <c r="B46" s="0" t="s">
        <v>3577</v>
      </c>
      <c r="C46" s="0" t="s">
        <v>3578</v>
      </c>
      <c r="D46" s="0" t="s">
        <v>3595</v>
      </c>
      <c r="E46" s="0" t="s">
        <v>3596</v>
      </c>
      <c r="F46" s="0" t="s">
        <v>3509</v>
      </c>
      <c r="G46" s="0" t="s">
        <v>539</v>
      </c>
    </row>
    <row customHeight="1" ht="11.25">
      <c r="A47" s="598" t="s">
        <v>14</v>
      </c>
      <c r="B47" s="0" t="s">
        <v>3597</v>
      </c>
      <c r="C47" s="0" t="s">
        <v>3598</v>
      </c>
      <c r="D47" s="0" t="s">
        <v>3597</v>
      </c>
      <c r="E47" s="0" t="s">
        <v>3598</v>
      </c>
      <c r="F47" s="0" t="s">
        <v>3506</v>
      </c>
      <c r="G47" s="0" t="s">
        <v>1268</v>
      </c>
    </row>
    <row customHeight="1" ht="11.25">
      <c r="A48" s="598" t="s">
        <v>14</v>
      </c>
      <c r="B48" s="0" t="s">
        <v>3597</v>
      </c>
      <c r="C48" s="0" t="s">
        <v>3598</v>
      </c>
      <c r="D48" s="0" t="s">
        <v>3599</v>
      </c>
      <c r="E48" s="0" t="s">
        <v>3600</v>
      </c>
      <c r="F48" s="0" t="s">
        <v>3509</v>
      </c>
      <c r="G48" s="0" t="s">
        <v>782</v>
      </c>
    </row>
    <row customHeight="1" ht="11.25">
      <c r="A49" s="598" t="s">
        <v>14</v>
      </c>
      <c r="B49" s="0" t="s">
        <v>3597</v>
      </c>
      <c r="C49" s="0" t="s">
        <v>3598</v>
      </c>
      <c r="D49" s="0" t="s">
        <v>3601</v>
      </c>
      <c r="E49" s="0" t="s">
        <v>3602</v>
      </c>
      <c r="F49" s="0" t="s">
        <v>3509</v>
      </c>
      <c r="G49" s="0" t="s">
        <v>1277</v>
      </c>
    </row>
    <row customHeight="1" ht="11.25">
      <c r="A50" s="598" t="s">
        <v>14</v>
      </c>
      <c r="B50" s="0" t="s">
        <v>3597</v>
      </c>
      <c r="C50" s="0" t="s">
        <v>3598</v>
      </c>
      <c r="D50" s="0" t="s">
        <v>3603</v>
      </c>
      <c r="E50" s="0" t="s">
        <v>3604</v>
      </c>
      <c r="F50" s="0" t="s">
        <v>3509</v>
      </c>
      <c r="G50" s="0" t="s">
        <v>1281</v>
      </c>
    </row>
    <row customHeight="1" ht="11.25">
      <c r="A51" s="598" t="s">
        <v>14</v>
      </c>
      <c r="B51" s="0" t="s">
        <v>3597</v>
      </c>
      <c r="C51" s="0" t="s">
        <v>3598</v>
      </c>
      <c r="D51" s="0" t="s">
        <v>3605</v>
      </c>
      <c r="E51" s="0" t="s">
        <v>3606</v>
      </c>
      <c r="F51" s="0" t="s">
        <v>3509</v>
      </c>
      <c r="G51" s="0" t="s">
        <v>1285</v>
      </c>
    </row>
    <row customHeight="1" ht="11.25">
      <c r="A52" s="598" t="s">
        <v>14</v>
      </c>
      <c r="B52" s="0" t="s">
        <v>3597</v>
      </c>
      <c r="C52" s="0" t="s">
        <v>3598</v>
      </c>
      <c r="D52" s="0" t="s">
        <v>3607</v>
      </c>
      <c r="E52" s="0" t="s">
        <v>3608</v>
      </c>
      <c r="F52" s="0" t="s">
        <v>3509</v>
      </c>
      <c r="G52" s="0" t="s">
        <v>1289</v>
      </c>
    </row>
    <row customHeight="1" ht="11.25">
      <c r="A53" s="598" t="s">
        <v>14</v>
      </c>
      <c r="B53" s="0" t="s">
        <v>3597</v>
      </c>
      <c r="C53" s="0" t="s">
        <v>3598</v>
      </c>
      <c r="D53" s="0" t="s">
        <v>3609</v>
      </c>
      <c r="E53" s="0" t="s">
        <v>3610</v>
      </c>
      <c r="F53" s="0" t="s">
        <v>3509</v>
      </c>
      <c r="G53" s="0" t="s">
        <v>1291</v>
      </c>
    </row>
    <row customHeight="1" ht="11.25">
      <c r="A54" s="598" t="s">
        <v>14</v>
      </c>
      <c r="B54" s="0" t="s">
        <v>3597</v>
      </c>
      <c r="C54" s="0" t="s">
        <v>3598</v>
      </c>
      <c r="D54" s="0" t="s">
        <v>3611</v>
      </c>
      <c r="E54" s="0" t="s">
        <v>3612</v>
      </c>
      <c r="F54" s="0" t="s">
        <v>3509</v>
      </c>
      <c r="G54" s="0" t="s">
        <v>1294</v>
      </c>
    </row>
    <row customHeight="1" ht="11.25">
      <c r="A55" s="598" t="s">
        <v>14</v>
      </c>
      <c r="B55" s="0" t="s">
        <v>3597</v>
      </c>
      <c r="C55" s="0" t="s">
        <v>3598</v>
      </c>
      <c r="D55" s="0" t="s">
        <v>3613</v>
      </c>
      <c r="E55" s="0" t="s">
        <v>3614</v>
      </c>
      <c r="F55" s="0" t="s">
        <v>3509</v>
      </c>
      <c r="G55" s="0" t="s">
        <v>1298</v>
      </c>
    </row>
    <row customHeight="1" ht="11.25">
      <c r="A56" s="598" t="s">
        <v>14</v>
      </c>
      <c r="B56" s="0" t="s">
        <v>3597</v>
      </c>
      <c r="C56" s="0" t="s">
        <v>3598</v>
      </c>
      <c r="D56" s="0" t="s">
        <v>3615</v>
      </c>
      <c r="E56" s="0" t="s">
        <v>3616</v>
      </c>
      <c r="F56" s="0" t="s">
        <v>3509</v>
      </c>
      <c r="G56" s="0" t="s">
        <v>1301</v>
      </c>
    </row>
    <row customHeight="1" ht="11.25">
      <c r="A57" s="598" t="s">
        <v>14</v>
      </c>
      <c r="B57" s="0" t="s">
        <v>3597</v>
      </c>
      <c r="C57" s="0" t="s">
        <v>3598</v>
      </c>
      <c r="D57" s="0" t="s">
        <v>3617</v>
      </c>
      <c r="E57" s="0" t="s">
        <v>3618</v>
      </c>
      <c r="F57" s="0" t="s">
        <v>3509</v>
      </c>
      <c r="G57" s="0" t="s">
        <v>1304</v>
      </c>
    </row>
    <row customHeight="1" ht="11.25">
      <c r="A58" s="598" t="s">
        <v>14</v>
      </c>
      <c r="B58" s="0" t="s">
        <v>3597</v>
      </c>
      <c r="C58" s="0" t="s">
        <v>3598</v>
      </c>
      <c r="D58" s="0" t="s">
        <v>3619</v>
      </c>
      <c r="E58" s="0" t="s">
        <v>3620</v>
      </c>
      <c r="F58" s="0" t="s">
        <v>3509</v>
      </c>
      <c r="G58" s="0" t="s">
        <v>1307</v>
      </c>
    </row>
    <row customHeight="1" ht="11.25">
      <c r="A59" s="598" t="s">
        <v>14</v>
      </c>
      <c r="B59" s="0" t="s">
        <v>3597</v>
      </c>
      <c r="C59" s="0" t="s">
        <v>3598</v>
      </c>
      <c r="D59" s="0" t="s">
        <v>3621</v>
      </c>
      <c r="E59" s="0" t="s">
        <v>3622</v>
      </c>
      <c r="F59" s="0" t="s">
        <v>3509</v>
      </c>
      <c r="G59" s="0" t="s">
        <v>1311</v>
      </c>
    </row>
    <row customHeight="1" ht="11.25">
      <c r="A60" s="598" t="s">
        <v>14</v>
      </c>
      <c r="B60" s="0" t="s">
        <v>3597</v>
      </c>
      <c r="C60" s="0" t="s">
        <v>3598</v>
      </c>
      <c r="D60" s="0" t="s">
        <v>3623</v>
      </c>
      <c r="E60" s="0" t="s">
        <v>3624</v>
      </c>
      <c r="F60" s="0" t="s">
        <v>3509</v>
      </c>
      <c r="G60" s="0" t="s">
        <v>1314</v>
      </c>
    </row>
    <row customHeight="1" ht="11.25">
      <c r="A61" s="598" t="s">
        <v>14</v>
      </c>
      <c r="B61" s="0" t="s">
        <v>3625</v>
      </c>
      <c r="C61" s="0" t="s">
        <v>3626</v>
      </c>
      <c r="D61" s="0" t="s">
        <v>3625</v>
      </c>
      <c r="E61" s="0" t="s">
        <v>3626</v>
      </c>
      <c r="F61" s="0" t="s">
        <v>3506</v>
      </c>
      <c r="G61" s="0" t="s">
        <v>3627</v>
      </c>
    </row>
    <row customHeight="1" ht="11.25">
      <c r="A62" s="598" t="s">
        <v>14</v>
      </c>
      <c r="B62" s="0" t="s">
        <v>3625</v>
      </c>
      <c r="C62" s="0" t="s">
        <v>3626</v>
      </c>
      <c r="D62" s="0" t="s">
        <v>3628</v>
      </c>
      <c r="E62" s="0" t="s">
        <v>3629</v>
      </c>
      <c r="F62" s="0" t="s">
        <v>3522</v>
      </c>
      <c r="G62" s="0" t="s">
        <v>3630</v>
      </c>
    </row>
    <row customHeight="1" ht="11.25">
      <c r="A63" s="598" t="s">
        <v>14</v>
      </c>
      <c r="B63" s="0" t="s">
        <v>3625</v>
      </c>
      <c r="C63" s="0" t="s">
        <v>3626</v>
      </c>
      <c r="D63" s="0" t="s">
        <v>3631</v>
      </c>
      <c r="E63" s="0" t="s">
        <v>3632</v>
      </c>
      <c r="F63" s="0" t="s">
        <v>3522</v>
      </c>
      <c r="G63" s="0" t="s">
        <v>3633</v>
      </c>
    </row>
    <row customHeight="1" ht="11.25">
      <c r="A64" s="598" t="s">
        <v>14</v>
      </c>
      <c r="B64" s="0" t="s">
        <v>3625</v>
      </c>
      <c r="C64" s="0" t="s">
        <v>3626</v>
      </c>
      <c r="D64" s="0" t="s">
        <v>3634</v>
      </c>
      <c r="E64" s="0" t="s">
        <v>3635</v>
      </c>
      <c r="F64" s="0" t="s">
        <v>3522</v>
      </c>
      <c r="G64" s="0" t="s">
        <v>3636</v>
      </c>
    </row>
    <row customHeight="1" ht="11.25">
      <c r="A65" s="598" t="s">
        <v>14</v>
      </c>
      <c r="B65" s="0" t="s">
        <v>3625</v>
      </c>
      <c r="C65" s="0" t="s">
        <v>3626</v>
      </c>
      <c r="D65" s="0" t="s">
        <v>3637</v>
      </c>
      <c r="E65" s="0" t="s">
        <v>3638</v>
      </c>
      <c r="F65" s="0" t="s">
        <v>3509</v>
      </c>
      <c r="G65" s="0" t="s">
        <v>3639</v>
      </c>
    </row>
    <row customHeight="1" ht="11.25">
      <c r="A66" s="598" t="s">
        <v>14</v>
      </c>
      <c r="B66" s="0" t="s">
        <v>3625</v>
      </c>
      <c r="C66" s="0" t="s">
        <v>3626</v>
      </c>
      <c r="D66" s="0" t="s">
        <v>3640</v>
      </c>
      <c r="E66" s="0" t="s">
        <v>3641</v>
      </c>
      <c r="F66" s="0" t="s">
        <v>3509</v>
      </c>
      <c r="G66" s="0" t="s">
        <v>3642</v>
      </c>
    </row>
    <row customHeight="1" ht="11.25">
      <c r="A67" s="598" t="s">
        <v>14</v>
      </c>
      <c r="B67" s="0" t="s">
        <v>3625</v>
      </c>
      <c r="C67" s="0" t="s">
        <v>3626</v>
      </c>
      <c r="D67" s="0" t="s">
        <v>3643</v>
      </c>
      <c r="E67" s="0" t="s">
        <v>3644</v>
      </c>
      <c r="F67" s="0" t="s">
        <v>3509</v>
      </c>
      <c r="G67" s="0" t="s">
        <v>540</v>
      </c>
    </row>
    <row customHeight="1" ht="11.25">
      <c r="A68" s="598" t="s">
        <v>14</v>
      </c>
      <c r="B68" s="0" t="s">
        <v>3625</v>
      </c>
      <c r="C68" s="0" t="s">
        <v>3626</v>
      </c>
      <c r="D68" s="0" t="s">
        <v>3645</v>
      </c>
      <c r="E68" s="0" t="s">
        <v>3646</v>
      </c>
      <c r="F68" s="0" t="s">
        <v>3509</v>
      </c>
      <c r="G68" s="0" t="s">
        <v>3647</v>
      </c>
    </row>
    <row customHeight="1" ht="11.25">
      <c r="A69" s="598" t="s">
        <v>14</v>
      </c>
      <c r="B69" s="0" t="s">
        <v>3625</v>
      </c>
      <c r="C69" s="0" t="s">
        <v>3626</v>
      </c>
      <c r="D69" s="0" t="s">
        <v>3648</v>
      </c>
      <c r="E69" s="0" t="s">
        <v>3649</v>
      </c>
      <c r="F69" s="0" t="s">
        <v>3509</v>
      </c>
      <c r="G69" s="0" t="s">
        <v>783</v>
      </c>
    </row>
    <row customHeight="1" ht="11.25">
      <c r="A70" s="598" t="s">
        <v>14</v>
      </c>
      <c r="B70" s="0" t="s">
        <v>3625</v>
      </c>
      <c r="C70" s="0" t="s">
        <v>3626</v>
      </c>
      <c r="D70" s="0" t="s">
        <v>3650</v>
      </c>
      <c r="E70" s="0" t="s">
        <v>3651</v>
      </c>
      <c r="F70" s="0" t="s">
        <v>3509</v>
      </c>
      <c r="G70" s="0" t="s">
        <v>3652</v>
      </c>
    </row>
    <row customHeight="1" ht="11.25">
      <c r="A71" s="598" t="s">
        <v>14</v>
      </c>
      <c r="B71" s="0" t="s">
        <v>3625</v>
      </c>
      <c r="C71" s="0" t="s">
        <v>3626</v>
      </c>
      <c r="D71" s="0" t="s">
        <v>3653</v>
      </c>
      <c r="E71" s="0" t="s">
        <v>3654</v>
      </c>
      <c r="F71" s="0" t="s">
        <v>3509</v>
      </c>
      <c r="G71" s="0" t="s">
        <v>3655</v>
      </c>
    </row>
    <row customHeight="1" ht="11.25">
      <c r="A72" s="598" t="s">
        <v>14</v>
      </c>
      <c r="B72" s="0" t="s">
        <v>3625</v>
      </c>
      <c r="C72" s="0" t="s">
        <v>3626</v>
      </c>
      <c r="D72" s="0" t="s">
        <v>3656</v>
      </c>
      <c r="E72" s="0" t="s">
        <v>3657</v>
      </c>
      <c r="F72" s="0" t="s">
        <v>3509</v>
      </c>
      <c r="G72" s="0" t="s">
        <v>3658</v>
      </c>
    </row>
    <row customHeight="1" ht="11.25">
      <c r="A73" s="598" t="s">
        <v>14</v>
      </c>
      <c r="B73" s="0" t="s">
        <v>3625</v>
      </c>
      <c r="C73" s="0" t="s">
        <v>3626</v>
      </c>
      <c r="D73" s="0" t="s">
        <v>3659</v>
      </c>
      <c r="E73" s="0" t="s">
        <v>3660</v>
      </c>
      <c r="F73" s="0" t="s">
        <v>3509</v>
      </c>
      <c r="G73" s="0" t="s">
        <v>3661</v>
      </c>
    </row>
    <row customHeight="1" ht="11.25">
      <c r="A74" s="598" t="s">
        <v>14</v>
      </c>
      <c r="B74" s="0" t="s">
        <v>3625</v>
      </c>
      <c r="C74" s="0" t="s">
        <v>3626</v>
      </c>
      <c r="D74" s="0" t="s">
        <v>3662</v>
      </c>
      <c r="E74" s="0" t="s">
        <v>3663</v>
      </c>
      <c r="F74" s="0" t="s">
        <v>3509</v>
      </c>
      <c r="G74" s="0" t="s">
        <v>3664</v>
      </c>
    </row>
    <row customHeight="1" ht="11.25">
      <c r="A75" s="598" t="s">
        <v>14</v>
      </c>
      <c r="B75" s="0" t="s">
        <v>3625</v>
      </c>
      <c r="C75" s="0" t="s">
        <v>3626</v>
      </c>
      <c r="D75" s="0" t="s">
        <v>3665</v>
      </c>
      <c r="E75" s="0" t="s">
        <v>3666</v>
      </c>
      <c r="F75" s="0" t="s">
        <v>3509</v>
      </c>
      <c r="G75" s="0" t="s">
        <v>3667</v>
      </c>
    </row>
    <row customHeight="1" ht="11.25">
      <c r="A76" s="598" t="s">
        <v>14</v>
      </c>
      <c r="B76" s="0" t="s">
        <v>3625</v>
      </c>
      <c r="C76" s="0" t="s">
        <v>3626</v>
      </c>
      <c r="D76" s="0" t="s">
        <v>3668</v>
      </c>
      <c r="E76" s="0" t="s">
        <v>3669</v>
      </c>
      <c r="F76" s="0" t="s">
        <v>3509</v>
      </c>
      <c r="G76" s="0" t="s">
        <v>3670</v>
      </c>
    </row>
    <row customHeight="1" ht="11.25">
      <c r="A77" s="598" t="s">
        <v>14</v>
      </c>
      <c r="B77" s="0" t="s">
        <v>3671</v>
      </c>
      <c r="C77" s="0" t="s">
        <v>3672</v>
      </c>
      <c r="D77" s="0" t="s">
        <v>3671</v>
      </c>
      <c r="E77" s="0" t="s">
        <v>3672</v>
      </c>
      <c r="F77" s="0" t="s">
        <v>3506</v>
      </c>
      <c r="G77" s="0" t="s">
        <v>3673</v>
      </c>
    </row>
    <row customHeight="1" ht="11.25">
      <c r="A78" s="598" t="s">
        <v>14</v>
      </c>
      <c r="B78" s="0" t="s">
        <v>3671</v>
      </c>
      <c r="C78" s="0" t="s">
        <v>3672</v>
      </c>
      <c r="D78" s="0" t="s">
        <v>3674</v>
      </c>
      <c r="E78" s="0" t="s">
        <v>3675</v>
      </c>
      <c r="F78" s="0" t="s">
        <v>3509</v>
      </c>
      <c r="G78" s="0" t="s">
        <v>3676</v>
      </c>
    </row>
    <row customHeight="1" ht="11.25">
      <c r="A79" s="598" t="s">
        <v>14</v>
      </c>
      <c r="B79" s="0" t="s">
        <v>3671</v>
      </c>
      <c r="C79" s="0" t="s">
        <v>3672</v>
      </c>
      <c r="D79" s="0" t="s">
        <v>3677</v>
      </c>
      <c r="E79" s="0" t="s">
        <v>3678</v>
      </c>
      <c r="F79" s="0" t="s">
        <v>3509</v>
      </c>
      <c r="G79" s="0" t="s">
        <v>3679</v>
      </c>
    </row>
    <row customHeight="1" ht="11.25">
      <c r="A80" s="598" t="s">
        <v>14</v>
      </c>
      <c r="B80" s="0" t="s">
        <v>3671</v>
      </c>
      <c r="C80" s="0" t="s">
        <v>3672</v>
      </c>
      <c r="D80" s="0" t="s">
        <v>3680</v>
      </c>
      <c r="E80" s="0" t="s">
        <v>3681</v>
      </c>
      <c r="F80" s="0" t="s">
        <v>3509</v>
      </c>
      <c r="G80" s="0" t="s">
        <v>3682</v>
      </c>
    </row>
    <row customHeight="1" ht="11.25">
      <c r="A81" s="598" t="s">
        <v>14</v>
      </c>
      <c r="B81" s="0" t="s">
        <v>3671</v>
      </c>
      <c r="C81" s="0" t="s">
        <v>3672</v>
      </c>
      <c r="D81" s="0" t="s">
        <v>3683</v>
      </c>
      <c r="E81" s="0" t="s">
        <v>3684</v>
      </c>
      <c r="F81" s="0" t="s">
        <v>3509</v>
      </c>
      <c r="G81" s="0" t="s">
        <v>3685</v>
      </c>
    </row>
    <row customHeight="1" ht="11.25">
      <c r="A82" s="598" t="s">
        <v>14</v>
      </c>
      <c r="B82" s="0" t="s">
        <v>3671</v>
      </c>
      <c r="C82" s="0" t="s">
        <v>3672</v>
      </c>
      <c r="D82" s="0" t="s">
        <v>3686</v>
      </c>
      <c r="E82" s="0" t="s">
        <v>3687</v>
      </c>
      <c r="F82" s="0" t="s">
        <v>3509</v>
      </c>
      <c r="G82" s="0" t="s">
        <v>3688</v>
      </c>
    </row>
    <row customHeight="1" ht="11.25">
      <c r="A83" s="598" t="s">
        <v>14</v>
      </c>
      <c r="B83" s="0" t="s">
        <v>3671</v>
      </c>
      <c r="C83" s="0" t="s">
        <v>3672</v>
      </c>
      <c r="D83" s="0" t="s">
        <v>3689</v>
      </c>
      <c r="E83" s="0" t="s">
        <v>3690</v>
      </c>
      <c r="F83" s="0" t="s">
        <v>3509</v>
      </c>
      <c r="G83" s="0" t="s">
        <v>3691</v>
      </c>
    </row>
    <row customHeight="1" ht="11.25">
      <c r="A84" s="598" t="s">
        <v>14</v>
      </c>
      <c r="B84" s="0" t="s">
        <v>3671</v>
      </c>
      <c r="C84" s="0" t="s">
        <v>3672</v>
      </c>
      <c r="D84" s="0" t="s">
        <v>3692</v>
      </c>
      <c r="E84" s="0" t="s">
        <v>3693</v>
      </c>
      <c r="F84" s="0" t="s">
        <v>3509</v>
      </c>
      <c r="G84" s="0" t="s">
        <v>3694</v>
      </c>
    </row>
    <row customHeight="1" ht="11.25">
      <c r="A85" s="598" t="s">
        <v>14</v>
      </c>
      <c r="B85" s="0" t="s">
        <v>3695</v>
      </c>
      <c r="C85" s="0" t="s">
        <v>3696</v>
      </c>
      <c r="D85" s="0" t="s">
        <v>3695</v>
      </c>
      <c r="E85" s="0" t="s">
        <v>3696</v>
      </c>
      <c r="F85" s="0" t="s">
        <v>3506</v>
      </c>
      <c r="G85" s="0" t="s">
        <v>3697</v>
      </c>
    </row>
    <row customHeight="1" ht="11.25">
      <c r="A86" s="598" t="s">
        <v>14</v>
      </c>
      <c r="B86" s="0" t="s">
        <v>3695</v>
      </c>
      <c r="C86" s="0" t="s">
        <v>3696</v>
      </c>
      <c r="D86" s="0" t="s">
        <v>3698</v>
      </c>
      <c r="E86" s="0" t="s">
        <v>3699</v>
      </c>
      <c r="F86" s="0" t="s">
        <v>3509</v>
      </c>
      <c r="G86" s="0" t="s">
        <v>3700</v>
      </c>
    </row>
    <row customHeight="1" ht="11.25">
      <c r="A87" s="598" t="s">
        <v>14</v>
      </c>
      <c r="B87" s="0" t="s">
        <v>3695</v>
      </c>
      <c r="C87" s="0" t="s">
        <v>3696</v>
      </c>
      <c r="D87" s="0" t="s">
        <v>3701</v>
      </c>
      <c r="E87" s="0" t="s">
        <v>3702</v>
      </c>
      <c r="F87" s="0" t="s">
        <v>3509</v>
      </c>
      <c r="G87" s="0" t="s">
        <v>3703</v>
      </c>
    </row>
    <row customHeight="1" ht="11.25">
      <c r="A88" s="598" t="s">
        <v>14</v>
      </c>
      <c r="B88" s="0" t="s">
        <v>3695</v>
      </c>
      <c r="C88" s="0" t="s">
        <v>3696</v>
      </c>
      <c r="D88" s="0" t="s">
        <v>3704</v>
      </c>
      <c r="E88" s="0" t="s">
        <v>3705</v>
      </c>
      <c r="F88" s="0" t="s">
        <v>3509</v>
      </c>
      <c r="G88" s="0" t="s">
        <v>3706</v>
      </c>
    </row>
    <row customHeight="1" ht="11.25">
      <c r="A89" s="598" t="s">
        <v>14</v>
      </c>
      <c r="B89" s="0" t="s">
        <v>3695</v>
      </c>
      <c r="C89" s="0" t="s">
        <v>3696</v>
      </c>
      <c r="D89" s="0" t="s">
        <v>3707</v>
      </c>
      <c r="E89" s="0" t="s">
        <v>3708</v>
      </c>
      <c r="F89" s="0" t="s">
        <v>3509</v>
      </c>
      <c r="G89" s="0" t="s">
        <v>3709</v>
      </c>
    </row>
    <row customHeight="1" ht="11.25">
      <c r="A90" s="598" t="s">
        <v>14</v>
      </c>
      <c r="B90" s="0" t="s">
        <v>3695</v>
      </c>
      <c r="C90" s="0" t="s">
        <v>3696</v>
      </c>
      <c r="D90" s="0" t="s">
        <v>3710</v>
      </c>
      <c r="E90" s="0" t="s">
        <v>3711</v>
      </c>
      <c r="F90" s="0" t="s">
        <v>3509</v>
      </c>
      <c r="G90" s="0" t="s">
        <v>3712</v>
      </c>
    </row>
    <row customHeight="1" ht="11.25">
      <c r="A91" s="598" t="s">
        <v>14</v>
      </c>
      <c r="B91" s="0" t="s">
        <v>3695</v>
      </c>
      <c r="C91" s="0" t="s">
        <v>3696</v>
      </c>
      <c r="D91" s="0" t="s">
        <v>3713</v>
      </c>
      <c r="E91" s="0" t="s">
        <v>3714</v>
      </c>
      <c r="F91" s="0" t="s">
        <v>3509</v>
      </c>
      <c r="G91" s="0" t="s">
        <v>3715</v>
      </c>
    </row>
    <row customHeight="1" ht="11.25">
      <c r="A92" s="598" t="s">
        <v>14</v>
      </c>
      <c r="B92" s="0" t="s">
        <v>3695</v>
      </c>
      <c r="C92" s="0" t="s">
        <v>3696</v>
      </c>
      <c r="D92" s="0" t="s">
        <v>3716</v>
      </c>
      <c r="E92" s="0" t="s">
        <v>3717</v>
      </c>
      <c r="F92" s="0" t="s">
        <v>3509</v>
      </c>
      <c r="G92" s="0" t="s">
        <v>3718</v>
      </c>
    </row>
    <row customHeight="1" ht="11.25">
      <c r="A93" s="598" t="s">
        <v>14</v>
      </c>
      <c r="B93" s="0" t="s">
        <v>3695</v>
      </c>
      <c r="C93" s="0" t="s">
        <v>3696</v>
      </c>
      <c r="D93" s="0" t="s">
        <v>3719</v>
      </c>
      <c r="E93" s="0" t="s">
        <v>3720</v>
      </c>
      <c r="F93" s="0" t="s">
        <v>3509</v>
      </c>
      <c r="G93" s="0" t="s">
        <v>3721</v>
      </c>
    </row>
    <row customHeight="1" ht="11.25">
      <c r="A94" s="598" t="s">
        <v>14</v>
      </c>
      <c r="B94" s="0" t="s">
        <v>3695</v>
      </c>
      <c r="C94" s="0" t="s">
        <v>3696</v>
      </c>
      <c r="D94" s="0" t="s">
        <v>3722</v>
      </c>
      <c r="E94" s="0" t="s">
        <v>3723</v>
      </c>
      <c r="F94" s="0" t="s">
        <v>3509</v>
      </c>
      <c r="G94" s="0" t="s">
        <v>3724</v>
      </c>
    </row>
    <row customHeight="1" ht="11.25">
      <c r="A95" s="598" t="s">
        <v>14</v>
      </c>
      <c r="B95" s="0" t="s">
        <v>3725</v>
      </c>
      <c r="C95" s="0" t="s">
        <v>3726</v>
      </c>
      <c r="D95" s="0" t="s">
        <v>3725</v>
      </c>
      <c r="E95" s="0" t="s">
        <v>3726</v>
      </c>
      <c r="F95" s="0" t="s">
        <v>3506</v>
      </c>
      <c r="G95" s="0" t="s">
        <v>3727</v>
      </c>
    </row>
    <row customHeight="1" ht="11.25">
      <c r="A96" s="598" t="s">
        <v>14</v>
      </c>
      <c r="B96" s="0" t="s">
        <v>3725</v>
      </c>
      <c r="C96" s="0" t="s">
        <v>3726</v>
      </c>
      <c r="D96" s="0" t="s">
        <v>3728</v>
      </c>
      <c r="E96" s="0" t="s">
        <v>3729</v>
      </c>
      <c r="F96" s="0" t="s">
        <v>3509</v>
      </c>
      <c r="G96" s="0" t="s">
        <v>3730</v>
      </c>
    </row>
    <row customHeight="1" ht="11.25">
      <c r="A97" s="598" t="s">
        <v>14</v>
      </c>
      <c r="B97" s="0" t="s">
        <v>3725</v>
      </c>
      <c r="C97" s="0" t="s">
        <v>3726</v>
      </c>
      <c r="D97" s="0" t="s">
        <v>3731</v>
      </c>
      <c r="E97" s="0" t="s">
        <v>3732</v>
      </c>
      <c r="F97" s="0" t="s">
        <v>3509</v>
      </c>
      <c r="G97" s="0" t="s">
        <v>3733</v>
      </c>
    </row>
    <row customHeight="1" ht="11.25">
      <c r="A98" s="598" t="s">
        <v>14</v>
      </c>
      <c r="B98" s="0" t="s">
        <v>3725</v>
      </c>
      <c r="C98" s="0" t="s">
        <v>3726</v>
      </c>
      <c r="D98" s="0" t="s">
        <v>3734</v>
      </c>
      <c r="E98" s="0" t="s">
        <v>3735</v>
      </c>
      <c r="F98" s="0" t="s">
        <v>3509</v>
      </c>
      <c r="G98" s="0" t="s">
        <v>3736</v>
      </c>
    </row>
    <row customHeight="1" ht="11.25">
      <c r="A99" s="598" t="s">
        <v>14</v>
      </c>
      <c r="B99" s="0" t="s">
        <v>3725</v>
      </c>
      <c r="C99" s="0" t="s">
        <v>3726</v>
      </c>
      <c r="D99" s="0" t="s">
        <v>3737</v>
      </c>
      <c r="E99" s="0" t="s">
        <v>3738</v>
      </c>
      <c r="F99" s="0" t="s">
        <v>3509</v>
      </c>
      <c r="G99" s="0" t="s">
        <v>3739</v>
      </c>
    </row>
    <row customHeight="1" ht="11.25">
      <c r="A100" s="598" t="s">
        <v>14</v>
      </c>
      <c r="B100" s="0" t="s">
        <v>3725</v>
      </c>
      <c r="C100" s="0" t="s">
        <v>3726</v>
      </c>
      <c r="D100" s="0" t="s">
        <v>3740</v>
      </c>
      <c r="E100" s="0" t="s">
        <v>3741</v>
      </c>
      <c r="F100" s="0" t="s">
        <v>3509</v>
      </c>
      <c r="G100" s="0" t="s">
        <v>3742</v>
      </c>
    </row>
    <row customHeight="1" ht="11.25">
      <c r="A101" s="598" t="s">
        <v>14</v>
      </c>
      <c r="B101" s="0" t="s">
        <v>3725</v>
      </c>
      <c r="C101" s="0" t="s">
        <v>3726</v>
      </c>
      <c r="D101" s="0" t="s">
        <v>3743</v>
      </c>
      <c r="E101" s="0" t="s">
        <v>3744</v>
      </c>
      <c r="F101" s="0" t="s">
        <v>3509</v>
      </c>
      <c r="G101" s="0" t="s">
        <v>3745</v>
      </c>
    </row>
    <row customHeight="1" ht="11.25">
      <c r="A102" s="598" t="s">
        <v>14</v>
      </c>
      <c r="B102" s="0" t="s">
        <v>3746</v>
      </c>
      <c r="C102" s="0" t="s">
        <v>3747</v>
      </c>
      <c r="D102" s="0" t="s">
        <v>3746</v>
      </c>
      <c r="E102" s="0" t="s">
        <v>3747</v>
      </c>
      <c r="F102" s="0" t="s">
        <v>3506</v>
      </c>
      <c r="G102" s="0" t="s">
        <v>3748</v>
      </c>
    </row>
    <row customHeight="1" ht="11.25">
      <c r="A103" s="598" t="s">
        <v>14</v>
      </c>
      <c r="B103" s="0" t="s">
        <v>3746</v>
      </c>
      <c r="C103" s="0" t="s">
        <v>3747</v>
      </c>
      <c r="D103" s="0" t="s">
        <v>3749</v>
      </c>
      <c r="E103" s="0" t="s">
        <v>3750</v>
      </c>
      <c r="F103" s="0" t="s">
        <v>3751</v>
      </c>
      <c r="G103" s="0" t="s">
        <v>3752</v>
      </c>
    </row>
    <row customHeight="1" ht="11.25">
      <c r="A104" s="598" t="s">
        <v>14</v>
      </c>
      <c r="B104" s="0" t="s">
        <v>3746</v>
      </c>
      <c r="C104" s="0" t="s">
        <v>3747</v>
      </c>
      <c r="D104" s="0" t="s">
        <v>3561</v>
      </c>
      <c r="E104" s="0" t="s">
        <v>3753</v>
      </c>
      <c r="F104" s="0" t="s">
        <v>3509</v>
      </c>
      <c r="G104" s="0" t="s">
        <v>3754</v>
      </c>
    </row>
    <row customHeight="1" ht="11.25">
      <c r="A105" s="598" t="s">
        <v>14</v>
      </c>
      <c r="B105" s="0" t="s">
        <v>3746</v>
      </c>
      <c r="C105" s="0" t="s">
        <v>3747</v>
      </c>
      <c r="D105" s="0" t="s">
        <v>3755</v>
      </c>
      <c r="E105" s="0" t="s">
        <v>3756</v>
      </c>
      <c r="F105" s="0" t="s">
        <v>3509</v>
      </c>
      <c r="G105" s="0" t="s">
        <v>3757</v>
      </c>
    </row>
    <row customHeight="1" ht="11.25">
      <c r="A106" s="598" t="s">
        <v>14</v>
      </c>
      <c r="B106" s="0" t="s">
        <v>3746</v>
      </c>
      <c r="C106" s="0" t="s">
        <v>3747</v>
      </c>
      <c r="D106" s="0" t="s">
        <v>3758</v>
      </c>
      <c r="E106" s="0" t="s">
        <v>3759</v>
      </c>
      <c r="F106" s="0" t="s">
        <v>3509</v>
      </c>
      <c r="G106" s="0" t="s">
        <v>3760</v>
      </c>
    </row>
    <row customHeight="1" ht="11.25">
      <c r="A107" s="598" t="s">
        <v>14</v>
      </c>
      <c r="B107" s="0" t="s">
        <v>3746</v>
      </c>
      <c r="C107" s="0" t="s">
        <v>3747</v>
      </c>
      <c r="D107" s="0" t="s">
        <v>3761</v>
      </c>
      <c r="E107" s="0" t="s">
        <v>3762</v>
      </c>
      <c r="F107" s="0" t="s">
        <v>3509</v>
      </c>
      <c r="G107" s="0" t="s">
        <v>3763</v>
      </c>
    </row>
    <row customHeight="1" ht="11.25">
      <c r="A108" s="598" t="s">
        <v>14</v>
      </c>
      <c r="B108" s="0" t="s">
        <v>3746</v>
      </c>
      <c r="C108" s="0" t="s">
        <v>3747</v>
      </c>
      <c r="D108" s="0" t="s">
        <v>3764</v>
      </c>
      <c r="E108" s="0" t="s">
        <v>3765</v>
      </c>
      <c r="F108" s="0" t="s">
        <v>3509</v>
      </c>
      <c r="G108" s="0" t="s">
        <v>3766</v>
      </c>
    </row>
    <row customHeight="1" ht="11.25">
      <c r="A109" s="598" t="s">
        <v>14</v>
      </c>
      <c r="B109" s="0" t="s">
        <v>3746</v>
      </c>
      <c r="C109" s="0" t="s">
        <v>3747</v>
      </c>
      <c r="D109" s="0" t="s">
        <v>3767</v>
      </c>
      <c r="E109" s="0" t="s">
        <v>3768</v>
      </c>
      <c r="F109" s="0" t="s">
        <v>3509</v>
      </c>
      <c r="G109" s="0" t="s">
        <v>3769</v>
      </c>
    </row>
    <row customHeight="1" ht="11.25">
      <c r="A110" s="598" t="s">
        <v>14</v>
      </c>
      <c r="B110" s="0" t="s">
        <v>3746</v>
      </c>
      <c r="C110" s="0" t="s">
        <v>3747</v>
      </c>
      <c r="D110" s="0" t="s">
        <v>3770</v>
      </c>
      <c r="E110" s="0" t="s">
        <v>3771</v>
      </c>
      <c r="F110" s="0" t="s">
        <v>3509</v>
      </c>
      <c r="G110" s="0" t="s">
        <v>3772</v>
      </c>
    </row>
    <row customHeight="1" ht="11.25">
      <c r="A111" s="598" t="s">
        <v>14</v>
      </c>
      <c r="B111" s="0" t="s">
        <v>3746</v>
      </c>
      <c r="C111" s="0" t="s">
        <v>3747</v>
      </c>
      <c r="D111" s="0" t="s">
        <v>3773</v>
      </c>
      <c r="E111" s="0" t="s">
        <v>3774</v>
      </c>
      <c r="F111" s="0" t="s">
        <v>3509</v>
      </c>
      <c r="G111" s="0" t="s">
        <v>3775</v>
      </c>
    </row>
    <row customHeight="1" ht="11.25">
      <c r="A112" s="598" t="s">
        <v>14</v>
      </c>
      <c r="B112" s="0" t="s">
        <v>3746</v>
      </c>
      <c r="C112" s="0" t="s">
        <v>3747</v>
      </c>
      <c r="D112" s="0" t="s">
        <v>3776</v>
      </c>
      <c r="E112" s="0" t="s">
        <v>3777</v>
      </c>
      <c r="F112" s="0" t="s">
        <v>3509</v>
      </c>
      <c r="G112" s="0" t="s">
        <v>1811</v>
      </c>
    </row>
    <row customHeight="1" ht="11.25">
      <c r="A113" s="598" t="s">
        <v>14</v>
      </c>
      <c r="B113" s="0" t="s">
        <v>3746</v>
      </c>
      <c r="C113" s="0" t="s">
        <v>3747</v>
      </c>
      <c r="D113" s="0" t="s">
        <v>3617</v>
      </c>
      <c r="E113" s="0" t="s">
        <v>3778</v>
      </c>
      <c r="F113" s="0" t="s">
        <v>3509</v>
      </c>
      <c r="G113" s="0" t="s">
        <v>3779</v>
      </c>
    </row>
    <row customHeight="1" ht="11.25">
      <c r="A114" s="598" t="s">
        <v>14</v>
      </c>
      <c r="B114" s="0" t="s">
        <v>3746</v>
      </c>
      <c r="C114" s="0" t="s">
        <v>3747</v>
      </c>
      <c r="D114" s="0" t="s">
        <v>3780</v>
      </c>
      <c r="E114" s="0" t="s">
        <v>3781</v>
      </c>
      <c r="F114" s="0" t="s">
        <v>3509</v>
      </c>
      <c r="G114" s="0" t="s">
        <v>3782</v>
      </c>
    </row>
    <row customHeight="1" ht="11.25">
      <c r="A115" s="598" t="s">
        <v>14</v>
      </c>
      <c r="B115" s="0" t="s">
        <v>3746</v>
      </c>
      <c r="C115" s="0" t="s">
        <v>3747</v>
      </c>
      <c r="D115" s="0" t="s">
        <v>3783</v>
      </c>
      <c r="E115" s="0" t="s">
        <v>3784</v>
      </c>
      <c r="F115" s="0" t="s">
        <v>3509</v>
      </c>
      <c r="G115" s="0" t="s">
        <v>3785</v>
      </c>
    </row>
    <row customHeight="1" ht="11.25">
      <c r="A116" s="598" t="s">
        <v>14</v>
      </c>
      <c r="B116" s="0" t="s">
        <v>3746</v>
      </c>
      <c r="C116" s="0" t="s">
        <v>3747</v>
      </c>
      <c r="D116" s="0" t="s">
        <v>3786</v>
      </c>
      <c r="E116" s="0" t="s">
        <v>3787</v>
      </c>
      <c r="F116" s="0" t="s">
        <v>3509</v>
      </c>
      <c r="G116" s="0" t="s">
        <v>3788</v>
      </c>
    </row>
    <row customHeight="1" ht="11.25">
      <c r="A117" s="598" t="s">
        <v>14</v>
      </c>
      <c r="B117" s="0" t="s">
        <v>3789</v>
      </c>
      <c r="C117" s="0" t="s">
        <v>3790</v>
      </c>
      <c r="D117" s="0" t="s">
        <v>3789</v>
      </c>
      <c r="E117" s="0" t="s">
        <v>3790</v>
      </c>
      <c r="F117" s="0" t="s">
        <v>3506</v>
      </c>
      <c r="G117" s="0" t="s">
        <v>3791</v>
      </c>
    </row>
    <row customHeight="1" ht="11.25">
      <c r="A118" s="598" t="s">
        <v>14</v>
      </c>
      <c r="B118" s="0" t="s">
        <v>3789</v>
      </c>
      <c r="C118" s="0" t="s">
        <v>3790</v>
      </c>
      <c r="D118" s="0" t="s">
        <v>3792</v>
      </c>
      <c r="E118" s="0" t="s">
        <v>3793</v>
      </c>
      <c r="F118" s="0" t="s">
        <v>3509</v>
      </c>
      <c r="G118" s="0" t="s">
        <v>3794</v>
      </c>
    </row>
    <row customHeight="1" ht="11.25">
      <c r="A119" s="598" t="s">
        <v>14</v>
      </c>
      <c r="B119" s="0" t="s">
        <v>3789</v>
      </c>
      <c r="C119" s="0" t="s">
        <v>3790</v>
      </c>
      <c r="D119" s="0" t="s">
        <v>3795</v>
      </c>
      <c r="E119" s="0" t="s">
        <v>3796</v>
      </c>
      <c r="F119" s="0" t="s">
        <v>3509</v>
      </c>
      <c r="G119" s="0" t="s">
        <v>3797</v>
      </c>
    </row>
    <row customHeight="1" ht="11.25">
      <c r="A120" s="598" t="s">
        <v>14</v>
      </c>
      <c r="B120" s="0" t="s">
        <v>3789</v>
      </c>
      <c r="C120" s="0" t="s">
        <v>3790</v>
      </c>
      <c r="D120" s="0" t="s">
        <v>3798</v>
      </c>
      <c r="E120" s="0" t="s">
        <v>3799</v>
      </c>
      <c r="F120" s="0" t="s">
        <v>3509</v>
      </c>
      <c r="G120" s="0" t="s">
        <v>3800</v>
      </c>
    </row>
    <row customHeight="1" ht="11.25">
      <c r="A121" s="598" t="s">
        <v>14</v>
      </c>
      <c r="B121" s="0" t="s">
        <v>3789</v>
      </c>
      <c r="C121" s="0" t="s">
        <v>3790</v>
      </c>
      <c r="D121" s="0" t="s">
        <v>3801</v>
      </c>
      <c r="E121" s="0" t="s">
        <v>3802</v>
      </c>
      <c r="F121" s="0" t="s">
        <v>3509</v>
      </c>
      <c r="G121" s="0" t="s">
        <v>3803</v>
      </c>
    </row>
    <row customHeight="1" ht="11.25">
      <c r="A122" s="598" t="s">
        <v>14</v>
      </c>
      <c r="B122" s="0" t="s">
        <v>3789</v>
      </c>
      <c r="C122" s="0" t="s">
        <v>3790</v>
      </c>
      <c r="D122" s="0" t="s">
        <v>3804</v>
      </c>
      <c r="E122" s="0" t="s">
        <v>3805</v>
      </c>
      <c r="F122" s="0" t="s">
        <v>3509</v>
      </c>
      <c r="G122" s="0" t="s">
        <v>3806</v>
      </c>
    </row>
    <row customHeight="1" ht="11.25">
      <c r="A123" s="598" t="s">
        <v>14</v>
      </c>
      <c r="B123" s="0" t="s">
        <v>3789</v>
      </c>
      <c r="C123" s="0" t="s">
        <v>3790</v>
      </c>
      <c r="D123" s="0" t="s">
        <v>3807</v>
      </c>
      <c r="E123" s="0" t="s">
        <v>3808</v>
      </c>
      <c r="F123" s="0" t="s">
        <v>3509</v>
      </c>
      <c r="G123" s="0" t="s">
        <v>3809</v>
      </c>
    </row>
    <row customHeight="1" ht="11.25">
      <c r="A124" s="598" t="s">
        <v>14</v>
      </c>
      <c r="B124" s="0" t="s">
        <v>3789</v>
      </c>
      <c r="C124" s="0" t="s">
        <v>3790</v>
      </c>
      <c r="D124" s="0" t="s">
        <v>3810</v>
      </c>
      <c r="E124" s="0" t="s">
        <v>3811</v>
      </c>
      <c r="F124" s="0" t="s">
        <v>3509</v>
      </c>
      <c r="G124" s="0" t="s">
        <v>3812</v>
      </c>
    </row>
    <row customHeight="1" ht="11.25">
      <c r="A125" s="598" t="s">
        <v>14</v>
      </c>
      <c r="B125" s="0" t="s">
        <v>3789</v>
      </c>
      <c r="C125" s="0" t="s">
        <v>3790</v>
      </c>
      <c r="D125" s="0" t="s">
        <v>3813</v>
      </c>
      <c r="E125" s="0" t="s">
        <v>3814</v>
      </c>
      <c r="F125" s="0" t="s">
        <v>3509</v>
      </c>
      <c r="G125" s="0" t="s">
        <v>3815</v>
      </c>
    </row>
    <row customHeight="1" ht="11.25">
      <c r="A126" s="598" t="s">
        <v>14</v>
      </c>
      <c r="B126" s="0" t="s">
        <v>3789</v>
      </c>
      <c r="C126" s="0" t="s">
        <v>3790</v>
      </c>
      <c r="D126" s="0" t="s">
        <v>3816</v>
      </c>
      <c r="E126" s="0" t="s">
        <v>3817</v>
      </c>
      <c r="F126" s="0" t="s">
        <v>3509</v>
      </c>
      <c r="G126" s="0" t="s">
        <v>3818</v>
      </c>
    </row>
    <row customHeight="1" ht="11.25">
      <c r="A127" s="598" t="s">
        <v>14</v>
      </c>
      <c r="B127" s="0" t="s">
        <v>3789</v>
      </c>
      <c r="C127" s="0" t="s">
        <v>3790</v>
      </c>
      <c r="D127" s="0" t="s">
        <v>3819</v>
      </c>
      <c r="E127" s="0" t="s">
        <v>3820</v>
      </c>
      <c r="F127" s="0" t="s">
        <v>3509</v>
      </c>
      <c r="G127" s="0" t="s">
        <v>3821</v>
      </c>
    </row>
    <row customHeight="1" ht="11.25">
      <c r="A128" s="598" t="s">
        <v>14</v>
      </c>
      <c r="B128" s="0" t="s">
        <v>3789</v>
      </c>
      <c r="C128" s="0" t="s">
        <v>3790</v>
      </c>
      <c r="D128" s="0" t="s">
        <v>3822</v>
      </c>
      <c r="E128" s="0" t="s">
        <v>3823</v>
      </c>
      <c r="F128" s="0" t="s">
        <v>3509</v>
      </c>
      <c r="G128" s="0" t="s">
        <v>3824</v>
      </c>
    </row>
    <row customHeight="1" ht="11.25">
      <c r="A129" s="598" t="s">
        <v>14</v>
      </c>
      <c r="B129" s="0" t="s">
        <v>3789</v>
      </c>
      <c r="C129" s="0" t="s">
        <v>3790</v>
      </c>
      <c r="D129" s="0" t="s">
        <v>3825</v>
      </c>
      <c r="E129" s="0" t="s">
        <v>3826</v>
      </c>
      <c r="F129" s="0" t="s">
        <v>3509</v>
      </c>
      <c r="G129" s="0" t="s">
        <v>3827</v>
      </c>
    </row>
    <row customHeight="1" ht="11.25">
      <c r="A130" s="598" t="s">
        <v>14</v>
      </c>
      <c r="B130" s="0" t="s">
        <v>3828</v>
      </c>
      <c r="C130" s="0" t="s">
        <v>3829</v>
      </c>
      <c r="D130" s="0" t="s">
        <v>3828</v>
      </c>
      <c r="E130" s="0" t="s">
        <v>3829</v>
      </c>
      <c r="F130" s="0" t="s">
        <v>3506</v>
      </c>
      <c r="G130" s="0" t="s">
        <v>3830</v>
      </c>
    </row>
    <row customHeight="1" ht="11.25">
      <c r="A131" s="598" t="s">
        <v>14</v>
      </c>
      <c r="B131" s="0" t="s">
        <v>3828</v>
      </c>
      <c r="C131" s="0" t="s">
        <v>3829</v>
      </c>
      <c r="D131" s="0" t="s">
        <v>3831</v>
      </c>
      <c r="E131" s="0" t="s">
        <v>3832</v>
      </c>
      <c r="F131" s="0" t="s">
        <v>3509</v>
      </c>
      <c r="G131" s="0" t="s">
        <v>3833</v>
      </c>
    </row>
    <row customHeight="1" ht="11.25">
      <c r="A132" s="598" t="s">
        <v>14</v>
      </c>
      <c r="B132" s="0" t="s">
        <v>3828</v>
      </c>
      <c r="C132" s="0" t="s">
        <v>3829</v>
      </c>
      <c r="D132" s="0" t="s">
        <v>3834</v>
      </c>
      <c r="E132" s="0" t="s">
        <v>3835</v>
      </c>
      <c r="F132" s="0" t="s">
        <v>3509</v>
      </c>
      <c r="G132" s="0" t="s">
        <v>3836</v>
      </c>
    </row>
    <row customHeight="1" ht="11.25">
      <c r="A133" s="598" t="s">
        <v>14</v>
      </c>
      <c r="B133" s="0" t="s">
        <v>3828</v>
      </c>
      <c r="C133" s="0" t="s">
        <v>3829</v>
      </c>
      <c r="D133" s="0" t="s">
        <v>3837</v>
      </c>
      <c r="E133" s="0" t="s">
        <v>3838</v>
      </c>
      <c r="F133" s="0" t="s">
        <v>3509</v>
      </c>
      <c r="G133" s="0" t="s">
        <v>3839</v>
      </c>
    </row>
    <row customHeight="1" ht="11.25">
      <c r="A134" s="598" t="s">
        <v>14</v>
      </c>
      <c r="B134" s="0" t="s">
        <v>3828</v>
      </c>
      <c r="C134" s="0" t="s">
        <v>3829</v>
      </c>
      <c r="D134" s="0" t="s">
        <v>3840</v>
      </c>
      <c r="E134" s="0" t="s">
        <v>3841</v>
      </c>
      <c r="F134" s="0" t="s">
        <v>3509</v>
      </c>
      <c r="G134" s="0" t="s">
        <v>3842</v>
      </c>
    </row>
    <row customHeight="1" ht="11.25">
      <c r="A135" s="598" t="s">
        <v>14</v>
      </c>
      <c r="B135" s="0" t="s">
        <v>3828</v>
      </c>
      <c r="C135" s="0" t="s">
        <v>3829</v>
      </c>
      <c r="D135" s="0" t="s">
        <v>3843</v>
      </c>
      <c r="E135" s="0" t="s">
        <v>3844</v>
      </c>
      <c r="F135" s="0" t="s">
        <v>3509</v>
      </c>
      <c r="G135" s="0" t="s">
        <v>3845</v>
      </c>
    </row>
    <row customHeight="1" ht="11.25">
      <c r="A136" s="598" t="s">
        <v>14</v>
      </c>
      <c r="B136" s="0" t="s">
        <v>3828</v>
      </c>
      <c r="C136" s="0" t="s">
        <v>3829</v>
      </c>
      <c r="D136" s="0" t="s">
        <v>3846</v>
      </c>
      <c r="E136" s="0" t="s">
        <v>3847</v>
      </c>
      <c r="F136" s="0" t="s">
        <v>3509</v>
      </c>
      <c r="G136" s="0" t="s">
        <v>3848</v>
      </c>
    </row>
    <row customHeight="1" ht="11.25">
      <c r="A137" s="598" t="s">
        <v>14</v>
      </c>
      <c r="B137" s="0" t="s">
        <v>3828</v>
      </c>
      <c r="C137" s="0" t="s">
        <v>3829</v>
      </c>
      <c r="D137" s="0" t="s">
        <v>3849</v>
      </c>
      <c r="E137" s="0" t="s">
        <v>3850</v>
      </c>
      <c r="F137" s="0" t="s">
        <v>3509</v>
      </c>
      <c r="G137" s="0" t="s">
        <v>3851</v>
      </c>
    </row>
    <row customHeight="1" ht="11.25">
      <c r="A138" s="598" t="s">
        <v>14</v>
      </c>
      <c r="B138" s="0" t="s">
        <v>3828</v>
      </c>
      <c r="C138" s="0" t="s">
        <v>3829</v>
      </c>
      <c r="D138" s="0" t="s">
        <v>3852</v>
      </c>
      <c r="E138" s="0" t="s">
        <v>3853</v>
      </c>
      <c r="F138" s="0" t="s">
        <v>3509</v>
      </c>
      <c r="G138" s="0" t="s">
        <v>3854</v>
      </c>
    </row>
    <row customHeight="1" ht="11.25">
      <c r="A139" s="598" t="s">
        <v>14</v>
      </c>
      <c r="B139" s="0" t="s">
        <v>3828</v>
      </c>
      <c r="C139" s="0" t="s">
        <v>3829</v>
      </c>
      <c r="D139" s="0" t="s">
        <v>3855</v>
      </c>
      <c r="E139" s="0" t="s">
        <v>3856</v>
      </c>
      <c r="F139" s="0" t="s">
        <v>3509</v>
      </c>
      <c r="G139" s="0" t="s">
        <v>3857</v>
      </c>
    </row>
    <row customHeight="1" ht="11.25">
      <c r="A140" s="598" t="s">
        <v>14</v>
      </c>
      <c r="B140" s="0" t="s">
        <v>3828</v>
      </c>
      <c r="C140" s="0" t="s">
        <v>3829</v>
      </c>
      <c r="D140" s="0" t="s">
        <v>3858</v>
      </c>
      <c r="E140" s="0" t="s">
        <v>3859</v>
      </c>
      <c r="F140" s="0" t="s">
        <v>3509</v>
      </c>
      <c r="G140" s="0" t="s">
        <v>3860</v>
      </c>
    </row>
    <row customHeight="1" ht="11.25">
      <c r="A141" s="598" t="s">
        <v>14</v>
      </c>
      <c r="B141" s="0" t="s">
        <v>3828</v>
      </c>
      <c r="C141" s="0" t="s">
        <v>3829</v>
      </c>
      <c r="D141" s="0" t="s">
        <v>3861</v>
      </c>
      <c r="E141" s="0" t="s">
        <v>3862</v>
      </c>
      <c r="F141" s="0" t="s">
        <v>3509</v>
      </c>
      <c r="G141" s="0" t="s">
        <v>3863</v>
      </c>
    </row>
    <row customHeight="1" ht="11.25">
      <c r="A142" s="598" t="s">
        <v>14</v>
      </c>
      <c r="B142" s="0" t="s">
        <v>3864</v>
      </c>
      <c r="C142" s="0" t="s">
        <v>3865</v>
      </c>
      <c r="D142" s="0" t="s">
        <v>3864</v>
      </c>
      <c r="E142" s="0" t="s">
        <v>3865</v>
      </c>
      <c r="F142" s="0" t="s">
        <v>3506</v>
      </c>
      <c r="G142" s="0" t="s">
        <v>3866</v>
      </c>
    </row>
    <row customHeight="1" ht="11.25">
      <c r="A143" s="598" t="s">
        <v>14</v>
      </c>
      <c r="B143" s="0" t="s">
        <v>3864</v>
      </c>
      <c r="C143" s="0" t="s">
        <v>3865</v>
      </c>
      <c r="D143" s="0" t="s">
        <v>3867</v>
      </c>
      <c r="E143" s="0" t="s">
        <v>3868</v>
      </c>
      <c r="F143" s="0" t="s">
        <v>3509</v>
      </c>
      <c r="G143" s="0" t="s">
        <v>3869</v>
      </c>
    </row>
    <row customHeight="1" ht="11.25">
      <c r="A144" s="598" t="s">
        <v>14</v>
      </c>
      <c r="B144" s="0" t="s">
        <v>3864</v>
      </c>
      <c r="C144" s="0" t="s">
        <v>3865</v>
      </c>
      <c r="D144" s="0" t="s">
        <v>3870</v>
      </c>
      <c r="E144" s="0" t="s">
        <v>3871</v>
      </c>
      <c r="F144" s="0" t="s">
        <v>3509</v>
      </c>
      <c r="G144" s="0" t="s">
        <v>3872</v>
      </c>
    </row>
    <row customHeight="1" ht="11.25">
      <c r="A145" s="598" t="s">
        <v>14</v>
      </c>
      <c r="B145" s="0" t="s">
        <v>3864</v>
      </c>
      <c r="C145" s="0" t="s">
        <v>3865</v>
      </c>
      <c r="D145" s="0" t="s">
        <v>3873</v>
      </c>
      <c r="E145" s="0" t="s">
        <v>3874</v>
      </c>
      <c r="F145" s="0" t="s">
        <v>3509</v>
      </c>
      <c r="G145" s="0" t="s">
        <v>3875</v>
      </c>
    </row>
    <row customHeight="1" ht="11.25">
      <c r="A146" s="598" t="s">
        <v>14</v>
      </c>
      <c r="B146" s="0" t="s">
        <v>3864</v>
      </c>
      <c r="C146" s="0" t="s">
        <v>3865</v>
      </c>
      <c r="D146" s="0" t="s">
        <v>3876</v>
      </c>
      <c r="E146" s="0" t="s">
        <v>3877</v>
      </c>
      <c r="F146" s="0" t="s">
        <v>3509</v>
      </c>
      <c r="G146" s="0" t="s">
        <v>3878</v>
      </c>
    </row>
    <row customHeight="1" ht="11.25">
      <c r="A147" s="598" t="s">
        <v>14</v>
      </c>
      <c r="B147" s="0" t="s">
        <v>3864</v>
      </c>
      <c r="C147" s="0" t="s">
        <v>3865</v>
      </c>
      <c r="D147" s="0" t="s">
        <v>3879</v>
      </c>
      <c r="E147" s="0" t="s">
        <v>3880</v>
      </c>
      <c r="F147" s="0" t="s">
        <v>3509</v>
      </c>
      <c r="G147" s="0" t="s">
        <v>3881</v>
      </c>
    </row>
    <row customHeight="1" ht="11.25">
      <c r="A148" s="598" t="s">
        <v>14</v>
      </c>
      <c r="B148" s="0" t="s">
        <v>3864</v>
      </c>
      <c r="C148" s="0" t="s">
        <v>3865</v>
      </c>
      <c r="D148" s="0" t="s">
        <v>3882</v>
      </c>
      <c r="E148" s="0" t="s">
        <v>3883</v>
      </c>
      <c r="F148" s="0" t="s">
        <v>3509</v>
      </c>
      <c r="G148" s="0" t="s">
        <v>3884</v>
      </c>
    </row>
    <row customHeight="1" ht="11.25">
      <c r="A149" s="598" t="s">
        <v>14</v>
      </c>
      <c r="B149" s="0" t="s">
        <v>3864</v>
      </c>
      <c r="C149" s="0" t="s">
        <v>3865</v>
      </c>
      <c r="D149" s="0" t="s">
        <v>3885</v>
      </c>
      <c r="E149" s="0" t="s">
        <v>3886</v>
      </c>
      <c r="F149" s="0" t="s">
        <v>3509</v>
      </c>
      <c r="G149" s="0" t="s">
        <v>3887</v>
      </c>
    </row>
    <row customHeight="1" ht="11.25">
      <c r="A150" s="598" t="s">
        <v>14</v>
      </c>
      <c r="B150" s="0" t="s">
        <v>3864</v>
      </c>
      <c r="C150" s="0" t="s">
        <v>3865</v>
      </c>
      <c r="D150" s="0" t="s">
        <v>3888</v>
      </c>
      <c r="E150" s="0" t="s">
        <v>3889</v>
      </c>
      <c r="F150" s="0" t="s">
        <v>3509</v>
      </c>
      <c r="G150" s="0" t="s">
        <v>3890</v>
      </c>
    </row>
    <row customHeight="1" ht="11.25">
      <c r="A151" s="598" t="s">
        <v>14</v>
      </c>
      <c r="B151" s="0" t="s">
        <v>3864</v>
      </c>
      <c r="C151" s="0" t="s">
        <v>3865</v>
      </c>
      <c r="D151" s="0" t="s">
        <v>3891</v>
      </c>
      <c r="E151" s="0" t="s">
        <v>3892</v>
      </c>
      <c r="F151" s="0" t="s">
        <v>3509</v>
      </c>
      <c r="G151" s="0" t="s">
        <v>3893</v>
      </c>
    </row>
    <row customHeight="1" ht="11.25">
      <c r="A152" s="598" t="s">
        <v>14</v>
      </c>
      <c r="B152" s="0" t="s">
        <v>3864</v>
      </c>
      <c r="C152" s="0" t="s">
        <v>3865</v>
      </c>
      <c r="D152" s="0" t="s">
        <v>3894</v>
      </c>
      <c r="E152" s="0" t="s">
        <v>3895</v>
      </c>
      <c r="F152" s="0" t="s">
        <v>3509</v>
      </c>
      <c r="G152" s="0" t="s">
        <v>3896</v>
      </c>
    </row>
    <row customHeight="1" ht="11.25">
      <c r="A153" s="598" t="s">
        <v>14</v>
      </c>
      <c r="B153" s="0" t="s">
        <v>3864</v>
      </c>
      <c r="C153" s="0" t="s">
        <v>3865</v>
      </c>
      <c r="D153" s="0" t="s">
        <v>3897</v>
      </c>
      <c r="E153" s="0" t="s">
        <v>3898</v>
      </c>
      <c r="F153" s="0" t="s">
        <v>3509</v>
      </c>
      <c r="G153" s="0" t="s">
        <v>3899</v>
      </c>
    </row>
    <row customHeight="1" ht="11.25">
      <c r="A154" s="598" t="s">
        <v>14</v>
      </c>
      <c r="B154" s="0" t="s">
        <v>3864</v>
      </c>
      <c r="C154" s="0" t="s">
        <v>3865</v>
      </c>
      <c r="D154" s="0" t="s">
        <v>3900</v>
      </c>
      <c r="E154" s="0" t="s">
        <v>3901</v>
      </c>
      <c r="F154" s="0" t="s">
        <v>3509</v>
      </c>
      <c r="G154" s="0" t="s">
        <v>3902</v>
      </c>
    </row>
    <row customHeight="1" ht="11.25">
      <c r="A155" s="598" t="s">
        <v>14</v>
      </c>
      <c r="B155" s="0" t="s">
        <v>3864</v>
      </c>
      <c r="C155" s="0" t="s">
        <v>3865</v>
      </c>
      <c r="D155" s="0" t="s">
        <v>3903</v>
      </c>
      <c r="E155" s="0" t="s">
        <v>3904</v>
      </c>
      <c r="F155" s="0" t="s">
        <v>3509</v>
      </c>
      <c r="G155" s="0" t="s">
        <v>3905</v>
      </c>
    </row>
    <row customHeight="1" ht="11.25">
      <c r="A156" s="598" t="s">
        <v>14</v>
      </c>
      <c r="B156" s="0" t="s">
        <v>3906</v>
      </c>
      <c r="C156" s="0" t="s">
        <v>3907</v>
      </c>
      <c r="D156" s="0" t="s">
        <v>3906</v>
      </c>
      <c r="E156" s="0" t="s">
        <v>3907</v>
      </c>
      <c r="F156" s="0" t="s">
        <v>3506</v>
      </c>
      <c r="G156" s="0" t="s">
        <v>3908</v>
      </c>
    </row>
    <row customHeight="1" ht="11.25">
      <c r="A157" s="598" t="s">
        <v>14</v>
      </c>
      <c r="B157" s="0" t="s">
        <v>3906</v>
      </c>
      <c r="C157" s="0" t="s">
        <v>3907</v>
      </c>
      <c r="D157" s="0" t="s">
        <v>3909</v>
      </c>
      <c r="E157" s="0" t="s">
        <v>3910</v>
      </c>
      <c r="F157" s="0" t="s">
        <v>3509</v>
      </c>
      <c r="G157" s="0" t="s">
        <v>3911</v>
      </c>
    </row>
    <row customHeight="1" ht="11.25">
      <c r="A158" s="598" t="s">
        <v>14</v>
      </c>
      <c r="B158" s="0" t="s">
        <v>3906</v>
      </c>
      <c r="C158" s="0" t="s">
        <v>3907</v>
      </c>
      <c r="D158" s="0" t="s">
        <v>3912</v>
      </c>
      <c r="E158" s="0" t="s">
        <v>3913</v>
      </c>
      <c r="F158" s="0" t="s">
        <v>3509</v>
      </c>
      <c r="G158" s="0" t="s">
        <v>3914</v>
      </c>
    </row>
    <row customHeight="1" ht="11.25">
      <c r="A159" s="598" t="s">
        <v>14</v>
      </c>
      <c r="B159" s="0" t="s">
        <v>3906</v>
      </c>
      <c r="C159" s="0" t="s">
        <v>3907</v>
      </c>
      <c r="D159" s="0" t="s">
        <v>3915</v>
      </c>
      <c r="E159" s="0" t="s">
        <v>3916</v>
      </c>
      <c r="F159" s="0" t="s">
        <v>3509</v>
      </c>
      <c r="G159" s="0" t="s">
        <v>3917</v>
      </c>
    </row>
    <row customHeight="1" ht="11.25">
      <c r="A160" s="598" t="s">
        <v>14</v>
      </c>
      <c r="B160" s="0" t="s">
        <v>3906</v>
      </c>
      <c r="C160" s="0" t="s">
        <v>3907</v>
      </c>
      <c r="D160" s="0" t="s">
        <v>3918</v>
      </c>
      <c r="E160" s="0" t="s">
        <v>3919</v>
      </c>
      <c r="F160" s="0" t="s">
        <v>3509</v>
      </c>
      <c r="G160" s="0" t="s">
        <v>3920</v>
      </c>
    </row>
    <row customHeight="1" ht="11.25">
      <c r="A161" s="598" t="s">
        <v>14</v>
      </c>
      <c r="B161" s="0" t="s">
        <v>3906</v>
      </c>
      <c r="C161" s="0" t="s">
        <v>3907</v>
      </c>
      <c r="D161" s="0" t="s">
        <v>3921</v>
      </c>
      <c r="E161" s="0" t="s">
        <v>3922</v>
      </c>
      <c r="F161" s="0" t="s">
        <v>3509</v>
      </c>
      <c r="G161" s="0" t="s">
        <v>3923</v>
      </c>
    </row>
    <row customHeight="1" ht="11.25">
      <c r="A162" s="598" t="s">
        <v>14</v>
      </c>
      <c r="B162" s="0" t="s">
        <v>3906</v>
      </c>
      <c r="C162" s="0" t="s">
        <v>3907</v>
      </c>
      <c r="D162" s="0" t="s">
        <v>3924</v>
      </c>
      <c r="E162" s="0" t="s">
        <v>3925</v>
      </c>
      <c r="F162" s="0" t="s">
        <v>3509</v>
      </c>
      <c r="G162" s="0" t="s">
        <v>3926</v>
      </c>
    </row>
    <row customHeight="1" ht="11.25">
      <c r="A163" s="598" t="s">
        <v>14</v>
      </c>
      <c r="B163" s="0" t="s">
        <v>3906</v>
      </c>
      <c r="C163" s="0" t="s">
        <v>3907</v>
      </c>
      <c r="D163" s="0" t="s">
        <v>3927</v>
      </c>
      <c r="E163" s="0" t="s">
        <v>3928</v>
      </c>
      <c r="F163" s="0" t="s">
        <v>3509</v>
      </c>
      <c r="G163" s="0" t="s">
        <v>3929</v>
      </c>
    </row>
    <row customHeight="1" ht="11.25">
      <c r="A164" s="598" t="s">
        <v>14</v>
      </c>
      <c r="B164" s="0" t="s">
        <v>3906</v>
      </c>
      <c r="C164" s="0" t="s">
        <v>3907</v>
      </c>
      <c r="D164" s="0" t="s">
        <v>3930</v>
      </c>
      <c r="E164" s="0" t="s">
        <v>3931</v>
      </c>
      <c r="F164" s="0" t="s">
        <v>3509</v>
      </c>
      <c r="G164" s="0" t="s">
        <v>3932</v>
      </c>
    </row>
    <row customHeight="1" ht="11.25">
      <c r="A165" s="598" t="s">
        <v>14</v>
      </c>
      <c r="B165" s="0" t="s">
        <v>3906</v>
      </c>
      <c r="C165" s="0" t="s">
        <v>3907</v>
      </c>
      <c r="D165" s="0" t="s">
        <v>3933</v>
      </c>
      <c r="E165" s="0" t="s">
        <v>3934</v>
      </c>
      <c r="F165" s="0" t="s">
        <v>3509</v>
      </c>
      <c r="G165" s="0" t="s">
        <v>3935</v>
      </c>
    </row>
    <row customHeight="1" ht="11.25">
      <c r="A166" s="598" t="s">
        <v>14</v>
      </c>
      <c r="B166" s="0" t="s">
        <v>3906</v>
      </c>
      <c r="C166" s="0" t="s">
        <v>3907</v>
      </c>
      <c r="D166" s="0" t="s">
        <v>3936</v>
      </c>
      <c r="E166" s="0" t="s">
        <v>3937</v>
      </c>
      <c r="F166" s="0" t="s">
        <v>3509</v>
      </c>
      <c r="G166" s="0" t="s">
        <v>3938</v>
      </c>
    </row>
    <row customHeight="1" ht="11.25">
      <c r="A167" s="598" t="s">
        <v>14</v>
      </c>
      <c r="B167" s="0" t="s">
        <v>3906</v>
      </c>
      <c r="C167" s="0" t="s">
        <v>3907</v>
      </c>
      <c r="D167" s="0" t="s">
        <v>3939</v>
      </c>
      <c r="E167" s="0" t="s">
        <v>3940</v>
      </c>
      <c r="F167" s="0" t="s">
        <v>3509</v>
      </c>
      <c r="G167" s="0" t="s">
        <v>3941</v>
      </c>
    </row>
    <row customHeight="1" ht="11.25">
      <c r="A168" s="598" t="s">
        <v>14</v>
      </c>
      <c r="B168" s="0" t="s">
        <v>3906</v>
      </c>
      <c r="C168" s="0" t="s">
        <v>3907</v>
      </c>
      <c r="D168" s="0" t="s">
        <v>3942</v>
      </c>
      <c r="E168" s="0" t="s">
        <v>3943</v>
      </c>
      <c r="F168" s="0" t="s">
        <v>3509</v>
      </c>
      <c r="G168" s="0" t="s">
        <v>3944</v>
      </c>
    </row>
    <row customHeight="1" ht="11.25">
      <c r="A169" s="598" t="s">
        <v>14</v>
      </c>
      <c r="B169" s="0" t="s">
        <v>3945</v>
      </c>
      <c r="C169" s="0" t="s">
        <v>3946</v>
      </c>
      <c r="D169" s="0" t="s">
        <v>3945</v>
      </c>
      <c r="E169" s="0" t="s">
        <v>3946</v>
      </c>
      <c r="F169" s="0" t="s">
        <v>3506</v>
      </c>
      <c r="G169" s="0" t="s">
        <v>3947</v>
      </c>
    </row>
    <row customHeight="1" ht="11.25">
      <c r="A170" s="598" t="s">
        <v>14</v>
      </c>
      <c r="B170" s="0" t="s">
        <v>3945</v>
      </c>
      <c r="C170" s="0" t="s">
        <v>3946</v>
      </c>
      <c r="D170" s="0" t="s">
        <v>3948</v>
      </c>
      <c r="E170" s="0" t="s">
        <v>3949</v>
      </c>
      <c r="F170" s="0" t="s">
        <v>3522</v>
      </c>
      <c r="G170" s="0" t="s">
        <v>3950</v>
      </c>
    </row>
    <row customHeight="1" ht="11.25">
      <c r="A171" s="598" t="s">
        <v>14</v>
      </c>
      <c r="B171" s="0" t="s">
        <v>3945</v>
      </c>
      <c r="C171" s="0" t="s">
        <v>3946</v>
      </c>
      <c r="D171" s="0" t="s">
        <v>3951</v>
      </c>
      <c r="E171" s="0" t="s">
        <v>3952</v>
      </c>
      <c r="F171" s="0" t="s">
        <v>3522</v>
      </c>
      <c r="G171" s="0" t="s">
        <v>3953</v>
      </c>
    </row>
    <row customHeight="1" ht="11.25">
      <c r="A172" s="598" t="s">
        <v>14</v>
      </c>
      <c r="B172" s="0" t="s">
        <v>3945</v>
      </c>
      <c r="C172" s="0" t="s">
        <v>3946</v>
      </c>
      <c r="D172" s="0" t="s">
        <v>3954</v>
      </c>
      <c r="E172" s="0" t="s">
        <v>3955</v>
      </c>
      <c r="F172" s="0" t="s">
        <v>3522</v>
      </c>
      <c r="G172" s="0" t="s">
        <v>3956</v>
      </c>
    </row>
    <row customHeight="1" ht="11.25">
      <c r="A173" s="598" t="s">
        <v>14</v>
      </c>
      <c r="B173" s="0" t="s">
        <v>3945</v>
      </c>
      <c r="C173" s="0" t="s">
        <v>3946</v>
      </c>
      <c r="D173" s="0" t="s">
        <v>3957</v>
      </c>
      <c r="E173" s="0" t="s">
        <v>3958</v>
      </c>
      <c r="F173" s="0" t="s">
        <v>3509</v>
      </c>
      <c r="G173" s="0" t="s">
        <v>3959</v>
      </c>
    </row>
    <row customHeight="1" ht="11.25">
      <c r="A174" s="598" t="s">
        <v>14</v>
      </c>
      <c r="B174" s="0" t="s">
        <v>3945</v>
      </c>
      <c r="C174" s="0" t="s">
        <v>3946</v>
      </c>
      <c r="D174" s="0" t="s">
        <v>3960</v>
      </c>
      <c r="E174" s="0" t="s">
        <v>3961</v>
      </c>
      <c r="F174" s="0" t="s">
        <v>3509</v>
      </c>
      <c r="G174" s="0" t="s">
        <v>3962</v>
      </c>
    </row>
    <row customHeight="1" ht="11.25">
      <c r="A175" s="598" t="s">
        <v>14</v>
      </c>
      <c r="B175" s="0" t="s">
        <v>3945</v>
      </c>
      <c r="C175" s="0" t="s">
        <v>3946</v>
      </c>
      <c r="D175" s="0" t="s">
        <v>3963</v>
      </c>
      <c r="E175" s="0" t="s">
        <v>3964</v>
      </c>
      <c r="F175" s="0" t="s">
        <v>3509</v>
      </c>
      <c r="G175" s="0" t="s">
        <v>3965</v>
      </c>
    </row>
    <row customHeight="1" ht="11.25">
      <c r="A176" s="598" t="s">
        <v>14</v>
      </c>
      <c r="B176" s="0" t="s">
        <v>3945</v>
      </c>
      <c r="C176" s="0" t="s">
        <v>3946</v>
      </c>
      <c r="D176" s="0" t="s">
        <v>3966</v>
      </c>
      <c r="E176" s="0" t="s">
        <v>3967</v>
      </c>
      <c r="F176" s="0" t="s">
        <v>3509</v>
      </c>
      <c r="G176" s="0" t="s">
        <v>3968</v>
      </c>
    </row>
    <row customHeight="1" ht="11.25">
      <c r="A177" s="598" t="s">
        <v>14</v>
      </c>
      <c r="B177" s="0" t="s">
        <v>3945</v>
      </c>
      <c r="C177" s="0" t="s">
        <v>3946</v>
      </c>
      <c r="D177" s="0" t="s">
        <v>3969</v>
      </c>
      <c r="E177" s="0" t="s">
        <v>3970</v>
      </c>
      <c r="F177" s="0" t="s">
        <v>3509</v>
      </c>
      <c r="G177" s="0" t="s">
        <v>3971</v>
      </c>
    </row>
    <row customHeight="1" ht="11.25">
      <c r="A178" s="598" t="s">
        <v>14</v>
      </c>
      <c r="B178" s="0" t="s">
        <v>3945</v>
      </c>
      <c r="C178" s="0" t="s">
        <v>3946</v>
      </c>
      <c r="D178" s="0" t="s">
        <v>3972</v>
      </c>
      <c r="E178" s="0" t="s">
        <v>3973</v>
      </c>
      <c r="F178" s="0" t="s">
        <v>3509</v>
      </c>
      <c r="G178" s="0" t="s">
        <v>3974</v>
      </c>
    </row>
    <row customHeight="1" ht="11.25">
      <c r="A179" s="598" t="s">
        <v>14</v>
      </c>
      <c r="B179" s="0" t="s">
        <v>3945</v>
      </c>
      <c r="C179" s="0" t="s">
        <v>3946</v>
      </c>
      <c r="D179" s="0" t="s">
        <v>3975</v>
      </c>
      <c r="E179" s="0" t="s">
        <v>3976</v>
      </c>
      <c r="F179" s="0" t="s">
        <v>3509</v>
      </c>
      <c r="G179" s="0" t="s">
        <v>3977</v>
      </c>
    </row>
    <row customHeight="1" ht="11.25">
      <c r="A180" s="598" t="s">
        <v>14</v>
      </c>
      <c r="B180" s="0" t="s">
        <v>3945</v>
      </c>
      <c r="C180" s="0" t="s">
        <v>3946</v>
      </c>
      <c r="D180" s="0" t="s">
        <v>3978</v>
      </c>
      <c r="E180" s="0" t="s">
        <v>3979</v>
      </c>
      <c r="F180" s="0" t="s">
        <v>3509</v>
      </c>
      <c r="G180" s="0" t="s">
        <v>3980</v>
      </c>
    </row>
    <row customHeight="1" ht="11.25">
      <c r="A181" s="598" t="s">
        <v>14</v>
      </c>
      <c r="B181" s="0" t="s">
        <v>3945</v>
      </c>
      <c r="C181" s="0" t="s">
        <v>3946</v>
      </c>
      <c r="D181" s="0" t="s">
        <v>3981</v>
      </c>
      <c r="E181" s="0" t="s">
        <v>3982</v>
      </c>
      <c r="F181" s="0" t="s">
        <v>3509</v>
      </c>
      <c r="G181" s="0" t="s">
        <v>3983</v>
      </c>
    </row>
    <row customHeight="1" ht="11.25">
      <c r="A182" s="598" t="s">
        <v>14</v>
      </c>
      <c r="B182" s="0" t="s">
        <v>3945</v>
      </c>
      <c r="C182" s="0" t="s">
        <v>3946</v>
      </c>
      <c r="D182" s="0" t="s">
        <v>3984</v>
      </c>
      <c r="E182" s="0" t="s">
        <v>3985</v>
      </c>
      <c r="F182" s="0" t="s">
        <v>3509</v>
      </c>
      <c r="G182" s="0" t="s">
        <v>3986</v>
      </c>
    </row>
    <row customHeight="1" ht="11.25">
      <c r="A183" s="598" t="s">
        <v>14</v>
      </c>
      <c r="B183" s="0" t="s">
        <v>3987</v>
      </c>
      <c r="C183" s="0" t="s">
        <v>3988</v>
      </c>
      <c r="D183" s="0" t="s">
        <v>3987</v>
      </c>
      <c r="E183" s="0" t="s">
        <v>3988</v>
      </c>
      <c r="F183" s="0" t="s">
        <v>3506</v>
      </c>
      <c r="G183" s="0" t="s">
        <v>3989</v>
      </c>
    </row>
    <row customHeight="1" ht="11.25">
      <c r="A184" s="598" t="s">
        <v>14</v>
      </c>
      <c r="B184" s="0" t="s">
        <v>3987</v>
      </c>
      <c r="C184" s="0" t="s">
        <v>3988</v>
      </c>
      <c r="D184" s="0" t="s">
        <v>3990</v>
      </c>
      <c r="E184" s="0" t="s">
        <v>3991</v>
      </c>
      <c r="F184" s="0" t="s">
        <v>3992</v>
      </c>
      <c r="G184" s="0" t="s">
        <v>3993</v>
      </c>
    </row>
    <row customHeight="1" ht="11.25">
      <c r="A185" s="598" t="s">
        <v>14</v>
      </c>
      <c r="B185" s="0" t="s">
        <v>3987</v>
      </c>
      <c r="C185" s="0" t="s">
        <v>3988</v>
      </c>
      <c r="D185" s="0" t="s">
        <v>3994</v>
      </c>
      <c r="E185" s="0" t="s">
        <v>3995</v>
      </c>
      <c r="F185" s="0" t="s">
        <v>3509</v>
      </c>
      <c r="G185" s="0" t="s">
        <v>3996</v>
      </c>
    </row>
    <row customHeight="1" ht="11.25">
      <c r="A186" s="598" t="s">
        <v>14</v>
      </c>
      <c r="B186" s="0" t="s">
        <v>3987</v>
      </c>
      <c r="C186" s="0" t="s">
        <v>3988</v>
      </c>
      <c r="D186" s="0" t="s">
        <v>3798</v>
      </c>
      <c r="E186" s="0" t="s">
        <v>3997</v>
      </c>
      <c r="F186" s="0" t="s">
        <v>3509</v>
      </c>
      <c r="G186" s="0" t="s">
        <v>3998</v>
      </c>
    </row>
    <row customHeight="1" ht="11.25">
      <c r="A187" s="598" t="s">
        <v>14</v>
      </c>
      <c r="B187" s="0" t="s">
        <v>3987</v>
      </c>
      <c r="C187" s="0" t="s">
        <v>3988</v>
      </c>
      <c r="D187" s="0" t="s">
        <v>3999</v>
      </c>
      <c r="E187" s="0" t="s">
        <v>4000</v>
      </c>
      <c r="F187" s="0" t="s">
        <v>3509</v>
      </c>
      <c r="G187" s="0" t="s">
        <v>4001</v>
      </c>
    </row>
    <row customHeight="1" ht="11.25">
      <c r="A188" s="598" t="s">
        <v>14</v>
      </c>
      <c r="B188" s="0" t="s">
        <v>3987</v>
      </c>
      <c r="C188" s="0" t="s">
        <v>3988</v>
      </c>
      <c r="D188" s="0" t="s">
        <v>4002</v>
      </c>
      <c r="E188" s="0" t="s">
        <v>4003</v>
      </c>
      <c r="F188" s="0" t="s">
        <v>3509</v>
      </c>
      <c r="G188" s="0" t="s">
        <v>4004</v>
      </c>
    </row>
    <row customHeight="1" ht="11.25">
      <c r="A189" s="598" t="s">
        <v>14</v>
      </c>
      <c r="B189" s="0" t="s">
        <v>3987</v>
      </c>
      <c r="C189" s="0" t="s">
        <v>3988</v>
      </c>
      <c r="D189" s="0" t="s">
        <v>4005</v>
      </c>
      <c r="E189" s="0" t="s">
        <v>4006</v>
      </c>
      <c r="F189" s="0" t="s">
        <v>3509</v>
      </c>
      <c r="G189" s="0" t="s">
        <v>4007</v>
      </c>
    </row>
    <row customHeight="1" ht="11.25">
      <c r="A190" s="598" t="s">
        <v>14</v>
      </c>
      <c r="B190" s="0" t="s">
        <v>3987</v>
      </c>
      <c r="C190" s="0" t="s">
        <v>3988</v>
      </c>
      <c r="D190" s="0" t="s">
        <v>4008</v>
      </c>
      <c r="E190" s="0" t="s">
        <v>4009</v>
      </c>
      <c r="F190" s="0" t="s">
        <v>3509</v>
      </c>
      <c r="G190" s="0" t="s">
        <v>4010</v>
      </c>
    </row>
    <row customHeight="1" ht="11.25">
      <c r="A191" s="598" t="s">
        <v>14</v>
      </c>
      <c r="B191" s="0" t="s">
        <v>3987</v>
      </c>
      <c r="C191" s="0" t="s">
        <v>3988</v>
      </c>
      <c r="D191" s="0" t="s">
        <v>4011</v>
      </c>
      <c r="E191" s="0" t="s">
        <v>4012</v>
      </c>
      <c r="F191" s="0" t="s">
        <v>3509</v>
      </c>
      <c r="G191" s="0" t="s">
        <v>4013</v>
      </c>
    </row>
    <row customHeight="1" ht="11.25">
      <c r="A192" s="598" t="s">
        <v>14</v>
      </c>
      <c r="B192" s="0" t="s">
        <v>3987</v>
      </c>
      <c r="C192" s="0" t="s">
        <v>3988</v>
      </c>
      <c r="D192" s="0" t="s">
        <v>4014</v>
      </c>
      <c r="E192" s="0" t="s">
        <v>4015</v>
      </c>
      <c r="F192" s="0" t="s">
        <v>3509</v>
      </c>
      <c r="G192" s="0" t="s">
        <v>4016</v>
      </c>
    </row>
    <row customHeight="1" ht="11.25">
      <c r="A193" s="598" t="s">
        <v>14</v>
      </c>
      <c r="B193" s="0" t="s">
        <v>4017</v>
      </c>
      <c r="C193" s="0" t="s">
        <v>4018</v>
      </c>
      <c r="D193" s="0" t="s">
        <v>4017</v>
      </c>
      <c r="E193" s="0" t="s">
        <v>4018</v>
      </c>
      <c r="F193" s="0" t="s">
        <v>3506</v>
      </c>
      <c r="G193" s="0" t="s">
        <v>4019</v>
      </c>
    </row>
    <row customHeight="1" ht="11.25">
      <c r="A194" s="598" t="s">
        <v>14</v>
      </c>
      <c r="B194" s="0" t="s">
        <v>4017</v>
      </c>
      <c r="C194" s="0" t="s">
        <v>4018</v>
      </c>
      <c r="D194" s="0" t="s">
        <v>4020</v>
      </c>
      <c r="E194" s="0" t="s">
        <v>4021</v>
      </c>
      <c r="F194" s="0" t="s">
        <v>3509</v>
      </c>
      <c r="G194" s="0" t="s">
        <v>4022</v>
      </c>
    </row>
    <row customHeight="1" ht="11.25">
      <c r="A195" s="598" t="s">
        <v>14</v>
      </c>
      <c r="B195" s="0" t="s">
        <v>4017</v>
      </c>
      <c r="C195" s="0" t="s">
        <v>4018</v>
      </c>
      <c r="D195" s="0" t="s">
        <v>4023</v>
      </c>
      <c r="E195" s="0" t="s">
        <v>4024</v>
      </c>
      <c r="F195" s="0" t="s">
        <v>3509</v>
      </c>
      <c r="G195" s="0" t="s">
        <v>4025</v>
      </c>
    </row>
    <row customHeight="1" ht="11.25">
      <c r="A196" s="598" t="s">
        <v>14</v>
      </c>
      <c r="B196" s="0" t="s">
        <v>4017</v>
      </c>
      <c r="C196" s="0" t="s">
        <v>4018</v>
      </c>
      <c r="D196" s="0" t="s">
        <v>4026</v>
      </c>
      <c r="E196" s="0" t="s">
        <v>4027</v>
      </c>
      <c r="F196" s="0" t="s">
        <v>3509</v>
      </c>
      <c r="G196" s="0" t="s">
        <v>4028</v>
      </c>
    </row>
    <row customHeight="1" ht="11.25">
      <c r="A197" s="598" t="s">
        <v>14</v>
      </c>
      <c r="B197" s="0" t="s">
        <v>4017</v>
      </c>
      <c r="C197" s="0" t="s">
        <v>4018</v>
      </c>
      <c r="D197" s="0" t="s">
        <v>4029</v>
      </c>
      <c r="E197" s="0" t="s">
        <v>4030</v>
      </c>
      <c r="F197" s="0" t="s">
        <v>3509</v>
      </c>
      <c r="G197" s="0" t="s">
        <v>4031</v>
      </c>
    </row>
    <row customHeight="1" ht="11.25">
      <c r="A198" s="598" t="s">
        <v>14</v>
      </c>
      <c r="B198" s="0" t="s">
        <v>4017</v>
      </c>
      <c r="C198" s="0" t="s">
        <v>4018</v>
      </c>
      <c r="D198" s="0" t="s">
        <v>4032</v>
      </c>
      <c r="E198" s="0" t="s">
        <v>4033</v>
      </c>
      <c r="F198" s="0" t="s">
        <v>3509</v>
      </c>
      <c r="G198" s="0" t="s">
        <v>4034</v>
      </c>
    </row>
    <row customHeight="1" ht="11.25">
      <c r="A199" s="598" t="s">
        <v>14</v>
      </c>
      <c r="B199" s="0" t="s">
        <v>4017</v>
      </c>
      <c r="C199" s="0" t="s">
        <v>4018</v>
      </c>
      <c r="D199" s="0" t="s">
        <v>4035</v>
      </c>
      <c r="E199" s="0" t="s">
        <v>4036</v>
      </c>
      <c r="F199" s="0" t="s">
        <v>3509</v>
      </c>
      <c r="G199" s="0" t="s">
        <v>4037</v>
      </c>
    </row>
    <row customHeight="1" ht="11.25">
      <c r="A200" s="598" t="s">
        <v>14</v>
      </c>
      <c r="B200" s="0" t="s">
        <v>4017</v>
      </c>
      <c r="C200" s="0" t="s">
        <v>4018</v>
      </c>
      <c r="D200" s="0" t="s">
        <v>4038</v>
      </c>
      <c r="E200" s="0" t="s">
        <v>4039</v>
      </c>
      <c r="F200" s="0" t="s">
        <v>3509</v>
      </c>
      <c r="G200" s="0" t="s">
        <v>4040</v>
      </c>
    </row>
    <row customHeight="1" ht="11.25">
      <c r="A201" s="598" t="s">
        <v>14</v>
      </c>
      <c r="B201" s="0" t="s">
        <v>4017</v>
      </c>
      <c r="C201" s="0" t="s">
        <v>4018</v>
      </c>
      <c r="D201" s="0" t="s">
        <v>4041</v>
      </c>
      <c r="E201" s="0" t="s">
        <v>4042</v>
      </c>
      <c r="F201" s="0" t="s">
        <v>3509</v>
      </c>
      <c r="G201" s="0" t="s">
        <v>4043</v>
      </c>
    </row>
    <row customHeight="1" ht="11.25">
      <c r="A202" s="598" t="s">
        <v>14</v>
      </c>
      <c r="B202" s="0" t="s">
        <v>4044</v>
      </c>
      <c r="C202" s="0" t="s">
        <v>4045</v>
      </c>
      <c r="D202" s="0" t="s">
        <v>4044</v>
      </c>
      <c r="E202" s="0" t="s">
        <v>4045</v>
      </c>
      <c r="F202" s="0" t="s">
        <v>3506</v>
      </c>
      <c r="G202" s="0" t="s">
        <v>4046</v>
      </c>
    </row>
    <row customHeight="1" ht="11.25">
      <c r="A203" s="598" t="s">
        <v>14</v>
      </c>
      <c r="B203" s="0" t="s">
        <v>4044</v>
      </c>
      <c r="C203" s="0" t="s">
        <v>4045</v>
      </c>
      <c r="D203" s="0" t="s">
        <v>4047</v>
      </c>
      <c r="E203" s="0" t="s">
        <v>4048</v>
      </c>
      <c r="F203" s="0" t="s">
        <v>3509</v>
      </c>
      <c r="G203" s="0" t="s">
        <v>4049</v>
      </c>
    </row>
    <row customHeight="1" ht="11.25">
      <c r="A204" s="598" t="s">
        <v>14</v>
      </c>
      <c r="B204" s="0" t="s">
        <v>4044</v>
      </c>
      <c r="C204" s="0" t="s">
        <v>4045</v>
      </c>
      <c r="D204" s="0" t="s">
        <v>4050</v>
      </c>
      <c r="E204" s="0" t="s">
        <v>4051</v>
      </c>
      <c r="F204" s="0" t="s">
        <v>3509</v>
      </c>
      <c r="G204" s="0" t="s">
        <v>4052</v>
      </c>
    </row>
    <row customHeight="1" ht="11.25">
      <c r="A205" s="598" t="s">
        <v>14</v>
      </c>
      <c r="B205" s="0" t="s">
        <v>4044</v>
      </c>
      <c r="C205" s="0" t="s">
        <v>4045</v>
      </c>
      <c r="D205" s="0" t="s">
        <v>4053</v>
      </c>
      <c r="E205" s="0" t="s">
        <v>4054</v>
      </c>
      <c r="F205" s="0" t="s">
        <v>3509</v>
      </c>
      <c r="G205" s="0" t="s">
        <v>4055</v>
      </c>
    </row>
    <row customHeight="1" ht="11.25">
      <c r="A206" s="598" t="s">
        <v>14</v>
      </c>
      <c r="B206" s="0" t="s">
        <v>4044</v>
      </c>
      <c r="C206" s="0" t="s">
        <v>4045</v>
      </c>
      <c r="D206" s="0" t="s">
        <v>4056</v>
      </c>
      <c r="E206" s="0" t="s">
        <v>4057</v>
      </c>
      <c r="F206" s="0" t="s">
        <v>3509</v>
      </c>
      <c r="G206" s="0" t="s">
        <v>4058</v>
      </c>
    </row>
    <row customHeight="1" ht="11.25">
      <c r="A207" s="598" t="s">
        <v>14</v>
      </c>
      <c r="B207" s="0" t="s">
        <v>4044</v>
      </c>
      <c r="C207" s="0" t="s">
        <v>4045</v>
      </c>
      <c r="D207" s="0" t="s">
        <v>4059</v>
      </c>
      <c r="E207" s="0" t="s">
        <v>4060</v>
      </c>
      <c r="F207" s="0" t="s">
        <v>3509</v>
      </c>
      <c r="G207" s="0" t="s">
        <v>4061</v>
      </c>
    </row>
    <row customHeight="1" ht="11.25">
      <c r="A208" s="598" t="s">
        <v>14</v>
      </c>
      <c r="B208" s="0" t="s">
        <v>4044</v>
      </c>
      <c r="C208" s="0" t="s">
        <v>4045</v>
      </c>
      <c r="D208" s="0" t="s">
        <v>4062</v>
      </c>
      <c r="E208" s="0" t="s">
        <v>4063</v>
      </c>
      <c r="F208" s="0" t="s">
        <v>3509</v>
      </c>
      <c r="G208" s="0" t="s">
        <v>4064</v>
      </c>
    </row>
    <row customHeight="1" ht="11.25">
      <c r="A209" s="598" t="s">
        <v>14</v>
      </c>
      <c r="B209" s="0" t="s">
        <v>4044</v>
      </c>
      <c r="C209" s="0" t="s">
        <v>4045</v>
      </c>
      <c r="D209" s="0" t="s">
        <v>4065</v>
      </c>
      <c r="E209" s="0" t="s">
        <v>4066</v>
      </c>
      <c r="F209" s="0" t="s">
        <v>3509</v>
      </c>
      <c r="G209" s="0" t="s">
        <v>4067</v>
      </c>
    </row>
    <row customHeight="1" ht="11.25">
      <c r="A210" s="598" t="s">
        <v>14</v>
      </c>
      <c r="B210" s="0" t="s">
        <v>4044</v>
      </c>
      <c r="C210" s="0" t="s">
        <v>4045</v>
      </c>
      <c r="D210" s="0" t="s">
        <v>4068</v>
      </c>
      <c r="E210" s="0" t="s">
        <v>4069</v>
      </c>
      <c r="F210" s="0" t="s">
        <v>3509</v>
      </c>
      <c r="G210" s="0" t="s">
        <v>4070</v>
      </c>
    </row>
    <row customHeight="1" ht="11.25">
      <c r="A211" s="598" t="s">
        <v>14</v>
      </c>
      <c r="B211" s="0" t="s">
        <v>4044</v>
      </c>
      <c r="C211" s="0" t="s">
        <v>4045</v>
      </c>
      <c r="D211" s="0" t="s">
        <v>4071</v>
      </c>
      <c r="E211" s="0" t="s">
        <v>4072</v>
      </c>
      <c r="F211" s="0" t="s">
        <v>3509</v>
      </c>
      <c r="G211" s="0" t="s">
        <v>4073</v>
      </c>
    </row>
    <row customHeight="1" ht="11.25">
      <c r="A212" s="598" t="s">
        <v>14</v>
      </c>
      <c r="B212" s="0" t="s">
        <v>4044</v>
      </c>
      <c r="C212" s="0" t="s">
        <v>4045</v>
      </c>
      <c r="D212" s="0" t="s">
        <v>4074</v>
      </c>
      <c r="E212" s="0" t="s">
        <v>4075</v>
      </c>
      <c r="F212" s="0" t="s">
        <v>3509</v>
      </c>
      <c r="G212" s="0" t="s">
        <v>4076</v>
      </c>
    </row>
    <row customHeight="1" ht="11.25">
      <c r="A213" s="598" t="s">
        <v>14</v>
      </c>
      <c r="B213" s="0" t="s">
        <v>4044</v>
      </c>
      <c r="C213" s="0" t="s">
        <v>4045</v>
      </c>
      <c r="D213" s="0" t="s">
        <v>4077</v>
      </c>
      <c r="E213" s="0" t="s">
        <v>4078</v>
      </c>
      <c r="F213" s="0" t="s">
        <v>3509</v>
      </c>
      <c r="G213" s="0" t="s">
        <v>4079</v>
      </c>
    </row>
    <row customHeight="1" ht="11.25">
      <c r="A214" s="598" t="s">
        <v>14</v>
      </c>
      <c r="B214" s="0" t="s">
        <v>4044</v>
      </c>
      <c r="C214" s="0" t="s">
        <v>4045</v>
      </c>
      <c r="D214" s="0" t="s">
        <v>4080</v>
      </c>
      <c r="E214" s="0" t="s">
        <v>4081</v>
      </c>
      <c r="F214" s="0" t="s">
        <v>3509</v>
      </c>
      <c r="G214" s="0" t="s">
        <v>4082</v>
      </c>
    </row>
    <row customHeight="1" ht="11.25">
      <c r="A215" s="598" t="s">
        <v>14</v>
      </c>
      <c r="B215" s="0" t="s">
        <v>4044</v>
      </c>
      <c r="C215" s="0" t="s">
        <v>4045</v>
      </c>
      <c r="D215" s="0" t="s">
        <v>4083</v>
      </c>
      <c r="E215" s="0" t="s">
        <v>4084</v>
      </c>
      <c r="F215" s="0" t="s">
        <v>3509</v>
      </c>
      <c r="G215" s="0" t="s">
        <v>4085</v>
      </c>
    </row>
    <row customHeight="1" ht="11.25">
      <c r="A216" s="598" t="s">
        <v>14</v>
      </c>
      <c r="B216" s="0" t="s">
        <v>4044</v>
      </c>
      <c r="C216" s="0" t="s">
        <v>4045</v>
      </c>
      <c r="D216" s="0" t="s">
        <v>4086</v>
      </c>
      <c r="E216" s="0" t="s">
        <v>4087</v>
      </c>
      <c r="F216" s="0" t="s">
        <v>3509</v>
      </c>
      <c r="G216" s="0" t="s">
        <v>4088</v>
      </c>
    </row>
    <row customHeight="1" ht="11.25">
      <c r="A217" s="598" t="s">
        <v>14</v>
      </c>
      <c r="B217" s="0" t="s">
        <v>4044</v>
      </c>
      <c r="C217" s="0" t="s">
        <v>4045</v>
      </c>
      <c r="D217" s="0" t="s">
        <v>4089</v>
      </c>
      <c r="E217" s="0" t="s">
        <v>4090</v>
      </c>
      <c r="F217" s="0" t="s">
        <v>3509</v>
      </c>
      <c r="G217" s="0" t="s">
        <v>4091</v>
      </c>
    </row>
    <row customHeight="1" ht="11.25">
      <c r="A218" s="598" t="s">
        <v>14</v>
      </c>
      <c r="B218" s="0" t="s">
        <v>4092</v>
      </c>
      <c r="C218" s="0" t="s">
        <v>4093</v>
      </c>
      <c r="D218" s="0" t="s">
        <v>4092</v>
      </c>
      <c r="E218" s="0" t="s">
        <v>4093</v>
      </c>
      <c r="F218" s="0" t="s">
        <v>3506</v>
      </c>
      <c r="G218" s="0" t="s">
        <v>4094</v>
      </c>
    </row>
    <row customHeight="1" ht="11.25">
      <c r="A219" s="598" t="s">
        <v>14</v>
      </c>
      <c r="B219" s="0" t="s">
        <v>4092</v>
      </c>
      <c r="C219" s="0" t="s">
        <v>4093</v>
      </c>
      <c r="D219" s="0" t="s">
        <v>4095</v>
      </c>
      <c r="E219" s="0" t="s">
        <v>4096</v>
      </c>
      <c r="F219" s="0" t="s">
        <v>3509</v>
      </c>
      <c r="G219" s="0" t="s">
        <v>4097</v>
      </c>
    </row>
    <row customHeight="1" ht="11.25">
      <c r="A220" s="598" t="s">
        <v>14</v>
      </c>
      <c r="B220" s="0" t="s">
        <v>4092</v>
      </c>
      <c r="C220" s="0" t="s">
        <v>4093</v>
      </c>
      <c r="D220" s="0" t="s">
        <v>4098</v>
      </c>
      <c r="E220" s="0" t="s">
        <v>4099</v>
      </c>
      <c r="F220" s="0" t="s">
        <v>3509</v>
      </c>
      <c r="G220" s="0" t="s">
        <v>4100</v>
      </c>
    </row>
    <row customHeight="1" ht="11.25">
      <c r="A221" s="598" t="s">
        <v>14</v>
      </c>
      <c r="B221" s="0" t="s">
        <v>4092</v>
      </c>
      <c r="C221" s="0" t="s">
        <v>4093</v>
      </c>
      <c r="D221" s="0" t="s">
        <v>4101</v>
      </c>
      <c r="E221" s="0" t="s">
        <v>4102</v>
      </c>
      <c r="F221" s="0" t="s">
        <v>3509</v>
      </c>
      <c r="G221" s="0" t="s">
        <v>4103</v>
      </c>
    </row>
    <row customHeight="1" ht="11.25">
      <c r="A222" s="598" t="s">
        <v>14</v>
      </c>
      <c r="B222" s="0" t="s">
        <v>4092</v>
      </c>
      <c r="C222" s="0" t="s">
        <v>4093</v>
      </c>
      <c r="D222" s="0" t="s">
        <v>4104</v>
      </c>
      <c r="E222" s="0" t="s">
        <v>4105</v>
      </c>
      <c r="F222" s="0" t="s">
        <v>3509</v>
      </c>
      <c r="G222" s="0" t="s">
        <v>4106</v>
      </c>
    </row>
    <row customHeight="1" ht="11.25">
      <c r="A223" s="598" t="s">
        <v>14</v>
      </c>
      <c r="B223" s="0" t="s">
        <v>4092</v>
      </c>
      <c r="C223" s="0" t="s">
        <v>4093</v>
      </c>
      <c r="D223" s="0" t="s">
        <v>4107</v>
      </c>
      <c r="E223" s="0" t="s">
        <v>4108</v>
      </c>
      <c r="F223" s="0" t="s">
        <v>3509</v>
      </c>
      <c r="G223" s="0" t="s">
        <v>4109</v>
      </c>
    </row>
    <row customHeight="1" ht="11.25">
      <c r="A224" s="598" t="s">
        <v>14</v>
      </c>
      <c r="B224" s="0" t="s">
        <v>4092</v>
      </c>
      <c r="C224" s="0" t="s">
        <v>4093</v>
      </c>
      <c r="D224" s="0" t="s">
        <v>4110</v>
      </c>
      <c r="E224" s="0" t="s">
        <v>4111</v>
      </c>
      <c r="F224" s="0" t="s">
        <v>3509</v>
      </c>
      <c r="G224" s="0" t="s">
        <v>4112</v>
      </c>
    </row>
    <row customHeight="1" ht="11.25">
      <c r="A225" s="598" t="s">
        <v>14</v>
      </c>
      <c r="B225" s="0" t="s">
        <v>4092</v>
      </c>
      <c r="C225" s="0" t="s">
        <v>4093</v>
      </c>
      <c r="D225" s="0" t="s">
        <v>4113</v>
      </c>
      <c r="E225" s="0" t="s">
        <v>4114</v>
      </c>
      <c r="F225" s="0" t="s">
        <v>3509</v>
      </c>
      <c r="G225" s="0" t="s">
        <v>4115</v>
      </c>
    </row>
    <row customHeight="1" ht="11.25">
      <c r="A226" s="598" t="s">
        <v>14</v>
      </c>
      <c r="B226" s="0" t="s">
        <v>4116</v>
      </c>
      <c r="C226" s="0" t="s">
        <v>4117</v>
      </c>
      <c r="D226" s="0" t="s">
        <v>4116</v>
      </c>
      <c r="E226" s="0" t="s">
        <v>4117</v>
      </c>
      <c r="F226" s="0" t="s">
        <v>3506</v>
      </c>
      <c r="G226" s="0" t="s">
        <v>4118</v>
      </c>
    </row>
    <row customHeight="1" ht="11.25">
      <c r="A227" s="598" t="s">
        <v>14</v>
      </c>
      <c r="B227" s="0" t="s">
        <v>4116</v>
      </c>
      <c r="C227" s="0" t="s">
        <v>4117</v>
      </c>
      <c r="D227" s="0" t="s">
        <v>4119</v>
      </c>
      <c r="E227" s="0" t="s">
        <v>4120</v>
      </c>
      <c r="F227" s="0" t="s">
        <v>3522</v>
      </c>
      <c r="G227" s="0" t="s">
        <v>4121</v>
      </c>
    </row>
    <row customHeight="1" ht="11.25">
      <c r="A228" s="598" t="s">
        <v>14</v>
      </c>
      <c r="B228" s="0" t="s">
        <v>4116</v>
      </c>
      <c r="C228" s="0" t="s">
        <v>4117</v>
      </c>
      <c r="D228" s="0" t="s">
        <v>4122</v>
      </c>
      <c r="E228" s="0" t="s">
        <v>4123</v>
      </c>
      <c r="F228" s="0" t="s">
        <v>3509</v>
      </c>
      <c r="G228" s="0" t="s">
        <v>4124</v>
      </c>
    </row>
    <row customHeight="1" ht="11.25">
      <c r="A229" s="598" t="s">
        <v>14</v>
      </c>
      <c r="B229" s="0" t="s">
        <v>4116</v>
      </c>
      <c r="C229" s="0" t="s">
        <v>4117</v>
      </c>
      <c r="D229" s="0" t="s">
        <v>4125</v>
      </c>
      <c r="E229" s="0" t="s">
        <v>4126</v>
      </c>
      <c r="F229" s="0" t="s">
        <v>3509</v>
      </c>
      <c r="G229" s="0" t="s">
        <v>4127</v>
      </c>
    </row>
    <row customHeight="1" ht="11.25">
      <c r="A230" s="598" t="s">
        <v>14</v>
      </c>
      <c r="B230" s="0" t="s">
        <v>4116</v>
      </c>
      <c r="C230" s="0" t="s">
        <v>4117</v>
      </c>
      <c r="D230" s="0" t="s">
        <v>4128</v>
      </c>
      <c r="E230" s="0" t="s">
        <v>4129</v>
      </c>
      <c r="F230" s="0" t="s">
        <v>3509</v>
      </c>
      <c r="G230" s="0" t="s">
        <v>4130</v>
      </c>
    </row>
    <row customHeight="1" ht="11.25">
      <c r="A231" s="598" t="s">
        <v>14</v>
      </c>
      <c r="B231" s="0" t="s">
        <v>4116</v>
      </c>
      <c r="C231" s="0" t="s">
        <v>4117</v>
      </c>
      <c r="D231" s="0" t="s">
        <v>4131</v>
      </c>
      <c r="E231" s="0" t="s">
        <v>4132</v>
      </c>
      <c r="F231" s="0" t="s">
        <v>3509</v>
      </c>
      <c r="G231" s="0" t="s">
        <v>4133</v>
      </c>
    </row>
    <row customHeight="1" ht="11.25">
      <c r="A232" s="598" t="s">
        <v>14</v>
      </c>
      <c r="B232" s="0" t="s">
        <v>4116</v>
      </c>
      <c r="C232" s="0" t="s">
        <v>4117</v>
      </c>
      <c r="D232" s="0" t="s">
        <v>4134</v>
      </c>
      <c r="E232" s="0" t="s">
        <v>4135</v>
      </c>
      <c r="F232" s="0" t="s">
        <v>3509</v>
      </c>
      <c r="G232" s="0" t="s">
        <v>4136</v>
      </c>
    </row>
    <row customHeight="1" ht="11.25">
      <c r="A233" s="598" t="s">
        <v>14</v>
      </c>
      <c r="B233" s="0" t="s">
        <v>4116</v>
      </c>
      <c r="C233" s="0" t="s">
        <v>4117</v>
      </c>
      <c r="D233" s="0" t="s">
        <v>4137</v>
      </c>
      <c r="E233" s="0" t="s">
        <v>4138</v>
      </c>
      <c r="F233" s="0" t="s">
        <v>3509</v>
      </c>
      <c r="G233" s="0" t="s">
        <v>4139</v>
      </c>
    </row>
    <row customHeight="1" ht="11.25">
      <c r="A234" s="598" t="s">
        <v>14</v>
      </c>
      <c r="B234" s="0" t="s">
        <v>4116</v>
      </c>
      <c r="C234" s="0" t="s">
        <v>4117</v>
      </c>
      <c r="D234" s="0" t="s">
        <v>4140</v>
      </c>
      <c r="E234" s="0" t="s">
        <v>4141</v>
      </c>
      <c r="F234" s="0" t="s">
        <v>3509</v>
      </c>
      <c r="G234" s="0" t="s">
        <v>4142</v>
      </c>
    </row>
    <row customHeight="1" ht="11.25">
      <c r="A235" s="598" t="s">
        <v>14</v>
      </c>
      <c r="B235" s="0" t="s">
        <v>4116</v>
      </c>
      <c r="C235" s="0" t="s">
        <v>4117</v>
      </c>
      <c r="D235" s="0" t="s">
        <v>4143</v>
      </c>
      <c r="E235" s="0" t="s">
        <v>4144</v>
      </c>
      <c r="F235" s="0" t="s">
        <v>3509</v>
      </c>
      <c r="G235" s="0" t="s">
        <v>4145</v>
      </c>
    </row>
    <row customHeight="1" ht="11.25">
      <c r="A236" s="598" t="s">
        <v>14</v>
      </c>
      <c r="B236" s="0" t="s">
        <v>4116</v>
      </c>
      <c r="C236" s="0" t="s">
        <v>4117</v>
      </c>
      <c r="D236" s="0" t="s">
        <v>4146</v>
      </c>
      <c r="E236" s="0" t="s">
        <v>4147</v>
      </c>
      <c r="F236" s="0" t="s">
        <v>3509</v>
      </c>
      <c r="G236" s="0" t="s">
        <v>4148</v>
      </c>
    </row>
    <row customHeight="1" ht="11.25">
      <c r="A237" s="598" t="s">
        <v>14</v>
      </c>
      <c r="B237" s="0" t="s">
        <v>4116</v>
      </c>
      <c r="C237" s="0" t="s">
        <v>4117</v>
      </c>
      <c r="D237" s="0" t="s">
        <v>4149</v>
      </c>
      <c r="E237" s="0" t="s">
        <v>4150</v>
      </c>
      <c r="F237" s="0" t="s">
        <v>3509</v>
      </c>
      <c r="G237" s="0" t="s">
        <v>4151</v>
      </c>
    </row>
    <row customHeight="1" ht="11.25">
      <c r="A238" s="598" t="s">
        <v>14</v>
      </c>
      <c r="B238" s="0" t="s">
        <v>4116</v>
      </c>
      <c r="C238" s="0" t="s">
        <v>4117</v>
      </c>
      <c r="D238" s="0" t="s">
        <v>4152</v>
      </c>
      <c r="E238" s="0" t="s">
        <v>4153</v>
      </c>
      <c r="F238" s="0" t="s">
        <v>3509</v>
      </c>
      <c r="G238" s="0" t="s">
        <v>4154</v>
      </c>
    </row>
    <row customHeight="1" ht="11.25">
      <c r="A239" s="598" t="s">
        <v>14</v>
      </c>
      <c r="B239" s="0" t="s">
        <v>4116</v>
      </c>
      <c r="C239" s="0" t="s">
        <v>4117</v>
      </c>
      <c r="D239" s="0" t="s">
        <v>4155</v>
      </c>
      <c r="E239" s="0" t="s">
        <v>4156</v>
      </c>
      <c r="F239" s="0" t="s">
        <v>3509</v>
      </c>
      <c r="G239" s="0" t="s">
        <v>4157</v>
      </c>
    </row>
    <row customHeight="1" ht="11.25">
      <c r="A240" s="598" t="s">
        <v>14</v>
      </c>
      <c r="B240" s="0" t="s">
        <v>4116</v>
      </c>
      <c r="C240" s="0" t="s">
        <v>4117</v>
      </c>
      <c r="D240" s="0" t="s">
        <v>4158</v>
      </c>
      <c r="E240" s="0" t="s">
        <v>4159</v>
      </c>
      <c r="F240" s="0" t="s">
        <v>3509</v>
      </c>
      <c r="G240" s="0" t="s">
        <v>4160</v>
      </c>
    </row>
    <row customHeight="1" ht="11.25">
      <c r="A241" s="598" t="s">
        <v>14</v>
      </c>
      <c r="B241" s="0" t="s">
        <v>4116</v>
      </c>
      <c r="C241" s="0" t="s">
        <v>4117</v>
      </c>
      <c r="D241" s="0" t="s">
        <v>4161</v>
      </c>
      <c r="E241" s="0" t="s">
        <v>4162</v>
      </c>
      <c r="F241" s="0" t="s">
        <v>3509</v>
      </c>
      <c r="G241" s="0" t="s">
        <v>4163</v>
      </c>
    </row>
    <row customHeight="1" ht="11.25">
      <c r="A242" s="598" t="s">
        <v>14</v>
      </c>
      <c r="B242" s="0" t="s">
        <v>4116</v>
      </c>
      <c r="C242" s="0" t="s">
        <v>4117</v>
      </c>
      <c r="D242" s="0" t="s">
        <v>4164</v>
      </c>
      <c r="E242" s="0" t="s">
        <v>4165</v>
      </c>
      <c r="F242" s="0" t="s">
        <v>3509</v>
      </c>
      <c r="G242" s="0" t="s">
        <v>4166</v>
      </c>
    </row>
    <row customHeight="1" ht="11.25">
      <c r="A243" s="598" t="s">
        <v>14</v>
      </c>
      <c r="B243" s="0" t="s">
        <v>4116</v>
      </c>
      <c r="C243" s="0" t="s">
        <v>4117</v>
      </c>
      <c r="D243" s="0" t="s">
        <v>3786</v>
      </c>
      <c r="E243" s="0" t="s">
        <v>4167</v>
      </c>
      <c r="F243" s="0" t="s">
        <v>3509</v>
      </c>
      <c r="G243" s="0" t="s">
        <v>4168</v>
      </c>
    </row>
    <row customHeight="1" ht="11.25">
      <c r="A244" s="598" t="s">
        <v>14</v>
      </c>
      <c r="B244" s="0" t="s">
        <v>4169</v>
      </c>
      <c r="C244" s="0" t="s">
        <v>4170</v>
      </c>
      <c r="D244" s="0" t="s">
        <v>4169</v>
      </c>
      <c r="E244" s="0" t="s">
        <v>4170</v>
      </c>
      <c r="F244" s="0" t="s">
        <v>3506</v>
      </c>
      <c r="G244" s="0" t="s">
        <v>4171</v>
      </c>
    </row>
    <row customHeight="1" ht="11.25">
      <c r="A245" s="598" t="s">
        <v>14</v>
      </c>
      <c r="B245" s="0" t="s">
        <v>4169</v>
      </c>
      <c r="C245" s="0" t="s">
        <v>4170</v>
      </c>
      <c r="D245" s="0" t="s">
        <v>3561</v>
      </c>
      <c r="E245" s="0" t="s">
        <v>4172</v>
      </c>
      <c r="F245" s="0" t="s">
        <v>3509</v>
      </c>
      <c r="G245" s="0" t="s">
        <v>4173</v>
      </c>
    </row>
    <row customHeight="1" ht="11.25">
      <c r="A246" s="598" t="s">
        <v>14</v>
      </c>
      <c r="B246" s="0" t="s">
        <v>4169</v>
      </c>
      <c r="C246" s="0" t="s">
        <v>4170</v>
      </c>
      <c r="D246" s="0" t="s">
        <v>4174</v>
      </c>
      <c r="E246" s="0" t="s">
        <v>4175</v>
      </c>
      <c r="F246" s="0" t="s">
        <v>3509</v>
      </c>
      <c r="G246" s="0" t="s">
        <v>4176</v>
      </c>
    </row>
    <row customHeight="1" ht="11.25">
      <c r="A247" s="598" t="s">
        <v>14</v>
      </c>
      <c r="B247" s="0" t="s">
        <v>4169</v>
      </c>
      <c r="C247" s="0" t="s">
        <v>4170</v>
      </c>
      <c r="D247" s="0" t="s">
        <v>4177</v>
      </c>
      <c r="E247" s="0" t="s">
        <v>4178</v>
      </c>
      <c r="F247" s="0" t="s">
        <v>3509</v>
      </c>
      <c r="G247" s="0" t="s">
        <v>4179</v>
      </c>
    </row>
    <row customHeight="1" ht="11.25">
      <c r="A248" s="598" t="s">
        <v>14</v>
      </c>
      <c r="B248" s="0" t="s">
        <v>4169</v>
      </c>
      <c r="C248" s="0" t="s">
        <v>4170</v>
      </c>
      <c r="D248" s="0" t="s">
        <v>3525</v>
      </c>
      <c r="E248" s="0" t="s">
        <v>4180</v>
      </c>
      <c r="F248" s="0" t="s">
        <v>3509</v>
      </c>
      <c r="G248" s="0" t="s">
        <v>4181</v>
      </c>
    </row>
    <row customHeight="1" ht="11.25">
      <c r="A249" s="598" t="s">
        <v>14</v>
      </c>
      <c r="B249" s="0" t="s">
        <v>4169</v>
      </c>
      <c r="C249" s="0" t="s">
        <v>4170</v>
      </c>
      <c r="D249" s="0" t="s">
        <v>4182</v>
      </c>
      <c r="E249" s="0" t="s">
        <v>4183</v>
      </c>
      <c r="F249" s="0" t="s">
        <v>3509</v>
      </c>
      <c r="G249" s="0" t="s">
        <v>4184</v>
      </c>
    </row>
    <row customHeight="1" ht="11.25">
      <c r="A250" s="598" t="s">
        <v>14</v>
      </c>
      <c r="B250" s="0" t="s">
        <v>4169</v>
      </c>
      <c r="C250" s="0" t="s">
        <v>4170</v>
      </c>
      <c r="D250" s="0" t="s">
        <v>4185</v>
      </c>
      <c r="E250" s="0" t="s">
        <v>4186</v>
      </c>
      <c r="F250" s="0" t="s">
        <v>3509</v>
      </c>
      <c r="G250" s="0" t="s">
        <v>4187</v>
      </c>
    </row>
    <row customHeight="1" ht="11.25">
      <c r="A251" s="598" t="s">
        <v>14</v>
      </c>
      <c r="B251" s="0" t="s">
        <v>4169</v>
      </c>
      <c r="C251" s="0" t="s">
        <v>4170</v>
      </c>
      <c r="D251" s="0" t="s">
        <v>4188</v>
      </c>
      <c r="E251" s="0" t="s">
        <v>4189</v>
      </c>
      <c r="F251" s="0" t="s">
        <v>3509</v>
      </c>
      <c r="G251" s="0" t="s">
        <v>4190</v>
      </c>
    </row>
    <row customHeight="1" ht="11.25">
      <c r="A252" s="598" t="s">
        <v>14</v>
      </c>
      <c r="B252" s="0" t="s">
        <v>4169</v>
      </c>
      <c r="C252" s="0" t="s">
        <v>4170</v>
      </c>
      <c r="D252" s="0" t="s">
        <v>4191</v>
      </c>
      <c r="E252" s="0" t="s">
        <v>4192</v>
      </c>
      <c r="F252" s="0" t="s">
        <v>3509</v>
      </c>
      <c r="G252" s="0" t="s">
        <v>4193</v>
      </c>
    </row>
    <row customHeight="1" ht="11.25">
      <c r="A253" s="598" t="s">
        <v>14</v>
      </c>
      <c r="B253" s="0" t="s">
        <v>4169</v>
      </c>
      <c r="C253" s="0" t="s">
        <v>4170</v>
      </c>
      <c r="D253" s="0" t="s">
        <v>4194</v>
      </c>
      <c r="E253" s="0" t="s">
        <v>4195</v>
      </c>
      <c r="F253" s="0" t="s">
        <v>3509</v>
      </c>
      <c r="G253" s="0" t="s">
        <v>4196</v>
      </c>
    </row>
    <row customHeight="1" ht="11.25">
      <c r="A254" s="598" t="s">
        <v>14</v>
      </c>
      <c r="B254" s="0" t="s">
        <v>4169</v>
      </c>
      <c r="C254" s="0" t="s">
        <v>4170</v>
      </c>
      <c r="D254" s="0" t="s">
        <v>4197</v>
      </c>
      <c r="E254" s="0" t="s">
        <v>4198</v>
      </c>
      <c r="F254" s="0" t="s">
        <v>3509</v>
      </c>
      <c r="G254" s="0" t="s">
        <v>4199</v>
      </c>
    </row>
    <row customHeight="1" ht="11.25">
      <c r="A255" s="598" t="s">
        <v>14</v>
      </c>
      <c r="B255" s="0" t="s">
        <v>4169</v>
      </c>
      <c r="C255" s="0" t="s">
        <v>4170</v>
      </c>
      <c r="D255" s="0" t="s">
        <v>4200</v>
      </c>
      <c r="E255" s="0" t="s">
        <v>4201</v>
      </c>
      <c r="F255" s="0" t="s">
        <v>3509</v>
      </c>
      <c r="G255" s="0" t="s">
        <v>4202</v>
      </c>
    </row>
    <row customHeight="1" ht="11.25">
      <c r="A256" s="598" t="s">
        <v>14</v>
      </c>
      <c r="B256" s="0" t="s">
        <v>4169</v>
      </c>
      <c r="C256" s="0" t="s">
        <v>4170</v>
      </c>
      <c r="D256" s="0" t="s">
        <v>4203</v>
      </c>
      <c r="E256" s="0" t="s">
        <v>4204</v>
      </c>
      <c r="F256" s="0" t="s">
        <v>3509</v>
      </c>
      <c r="G256" s="0" t="s">
        <v>4205</v>
      </c>
    </row>
    <row customHeight="1" ht="11.25">
      <c r="A257" s="598" t="s">
        <v>14</v>
      </c>
      <c r="B257" s="0" t="s">
        <v>4169</v>
      </c>
      <c r="C257" s="0" t="s">
        <v>4170</v>
      </c>
      <c r="D257" s="0" t="s">
        <v>4206</v>
      </c>
      <c r="E257" s="0" t="s">
        <v>4207</v>
      </c>
      <c r="F257" s="0" t="s">
        <v>3509</v>
      </c>
      <c r="G257" s="0" t="s">
        <v>4208</v>
      </c>
    </row>
    <row customHeight="1" ht="11.25">
      <c r="A258" s="598" t="s">
        <v>14</v>
      </c>
      <c r="B258" s="0" t="s">
        <v>4169</v>
      </c>
      <c r="C258" s="0" t="s">
        <v>4170</v>
      </c>
      <c r="D258" s="0" t="s">
        <v>4209</v>
      </c>
      <c r="E258" s="0" t="s">
        <v>4210</v>
      </c>
      <c r="F258" s="0" t="s">
        <v>3509</v>
      </c>
      <c r="G258" s="0" t="s">
        <v>4211</v>
      </c>
    </row>
    <row customHeight="1" ht="11.25">
      <c r="A259" s="598" t="s">
        <v>14</v>
      </c>
      <c r="B259" s="0" t="s">
        <v>4169</v>
      </c>
      <c r="C259" s="0" t="s">
        <v>4170</v>
      </c>
      <c r="D259" s="0" t="s">
        <v>4212</v>
      </c>
      <c r="E259" s="0" t="s">
        <v>4213</v>
      </c>
      <c r="F259" s="0" t="s">
        <v>3509</v>
      </c>
      <c r="G259" s="0" t="s">
        <v>4214</v>
      </c>
    </row>
    <row customHeight="1" ht="11.25">
      <c r="A260" s="598" t="s">
        <v>14</v>
      </c>
      <c r="B260" s="0" t="s">
        <v>4169</v>
      </c>
      <c r="C260" s="0" t="s">
        <v>4170</v>
      </c>
      <c r="D260" s="0" t="s">
        <v>4215</v>
      </c>
      <c r="E260" s="0" t="s">
        <v>4216</v>
      </c>
      <c r="F260" s="0" t="s">
        <v>3509</v>
      </c>
      <c r="G260" s="0" t="s">
        <v>4217</v>
      </c>
    </row>
    <row customHeight="1" ht="11.25">
      <c r="A261" s="598" t="s">
        <v>14</v>
      </c>
      <c r="B261" s="0" t="s">
        <v>4169</v>
      </c>
      <c r="C261" s="0" t="s">
        <v>4170</v>
      </c>
      <c r="D261" s="0" t="s">
        <v>4218</v>
      </c>
      <c r="E261" s="0" t="s">
        <v>4219</v>
      </c>
      <c r="F261" s="0" t="s">
        <v>3509</v>
      </c>
      <c r="G261" s="0" t="s">
        <v>4220</v>
      </c>
    </row>
    <row customHeight="1" ht="11.25">
      <c r="A262" s="598" t="s">
        <v>14</v>
      </c>
      <c r="B262" s="0" t="s">
        <v>4169</v>
      </c>
      <c r="C262" s="0" t="s">
        <v>4170</v>
      </c>
      <c r="D262" s="0" t="s">
        <v>4221</v>
      </c>
      <c r="E262" s="0" t="s">
        <v>4222</v>
      </c>
      <c r="F262" s="0" t="s">
        <v>3509</v>
      </c>
      <c r="G262" s="0" t="s">
        <v>4223</v>
      </c>
    </row>
    <row customHeight="1" ht="11.25">
      <c r="A263" s="598" t="s">
        <v>14</v>
      </c>
      <c r="B263" s="0" t="s">
        <v>4169</v>
      </c>
      <c r="C263" s="0" t="s">
        <v>4170</v>
      </c>
      <c r="D263" s="0" t="s">
        <v>4224</v>
      </c>
      <c r="E263" s="0" t="s">
        <v>4225</v>
      </c>
      <c r="F263" s="0" t="s">
        <v>3509</v>
      </c>
      <c r="G263" s="0" t="s">
        <v>4226</v>
      </c>
    </row>
    <row customHeight="1" ht="11.25">
      <c r="A264" s="598" t="s">
        <v>14</v>
      </c>
      <c r="B264" s="0" t="s">
        <v>4169</v>
      </c>
      <c r="C264" s="0" t="s">
        <v>4170</v>
      </c>
      <c r="D264" s="0" t="s">
        <v>4227</v>
      </c>
      <c r="E264" s="0" t="s">
        <v>4228</v>
      </c>
      <c r="F264" s="0" t="s">
        <v>3509</v>
      </c>
      <c r="G264" s="0" t="s">
        <v>4229</v>
      </c>
    </row>
    <row customHeight="1" ht="11.25">
      <c r="A265" s="598" t="s">
        <v>14</v>
      </c>
      <c r="B265" s="0" t="s">
        <v>4169</v>
      </c>
      <c r="C265" s="0" t="s">
        <v>4170</v>
      </c>
      <c r="D265" s="0" t="s">
        <v>4230</v>
      </c>
      <c r="E265" s="0" t="s">
        <v>4231</v>
      </c>
      <c r="F265" s="0" t="s">
        <v>3509</v>
      </c>
      <c r="G265" s="0" t="s">
        <v>4232</v>
      </c>
    </row>
    <row customHeight="1" ht="11.25">
      <c r="A266" s="598" t="s">
        <v>14</v>
      </c>
      <c r="B266" s="0" t="s">
        <v>4169</v>
      </c>
      <c r="C266" s="0" t="s">
        <v>4170</v>
      </c>
      <c r="D266" s="0" t="s">
        <v>4233</v>
      </c>
      <c r="E266" s="0" t="s">
        <v>4234</v>
      </c>
      <c r="F266" s="0" t="s">
        <v>3509</v>
      </c>
      <c r="G266" s="0" t="s">
        <v>4235</v>
      </c>
    </row>
    <row customHeight="1" ht="11.25">
      <c r="A267" s="598" t="s">
        <v>14</v>
      </c>
      <c r="B267" s="0" t="s">
        <v>4169</v>
      </c>
      <c r="C267" s="0" t="s">
        <v>4170</v>
      </c>
      <c r="D267" s="0" t="s">
        <v>4236</v>
      </c>
      <c r="E267" s="0" t="s">
        <v>4237</v>
      </c>
      <c r="F267" s="0" t="s">
        <v>3509</v>
      </c>
      <c r="G267" s="0" t="s">
        <v>4238</v>
      </c>
    </row>
    <row customHeight="1" ht="11.25">
      <c r="A268" s="598" t="s">
        <v>14</v>
      </c>
      <c r="B268" s="0" t="s">
        <v>4169</v>
      </c>
      <c r="C268" s="0" t="s">
        <v>4170</v>
      </c>
      <c r="D268" s="0" t="s">
        <v>4239</v>
      </c>
      <c r="E268" s="0" t="s">
        <v>4240</v>
      </c>
      <c r="F268" s="0" t="s">
        <v>3509</v>
      </c>
      <c r="G268" s="0" t="s">
        <v>4241</v>
      </c>
    </row>
    <row customHeight="1" ht="11.25">
      <c r="A269" s="598" t="s">
        <v>14</v>
      </c>
      <c r="B269" s="0" t="s">
        <v>4242</v>
      </c>
      <c r="C269" s="0" t="s">
        <v>4243</v>
      </c>
      <c r="D269" s="0" t="s">
        <v>4242</v>
      </c>
      <c r="E269" s="0" t="s">
        <v>4243</v>
      </c>
      <c r="F269" s="0" t="s">
        <v>3506</v>
      </c>
      <c r="G269" s="0" t="s">
        <v>4244</v>
      </c>
    </row>
    <row customHeight="1" ht="11.25">
      <c r="A270" s="598" t="s">
        <v>14</v>
      </c>
      <c r="B270" s="0" t="s">
        <v>4242</v>
      </c>
      <c r="C270" s="0" t="s">
        <v>4243</v>
      </c>
      <c r="D270" s="0" t="s">
        <v>4245</v>
      </c>
      <c r="E270" s="0" t="s">
        <v>4246</v>
      </c>
      <c r="F270" s="0" t="s">
        <v>3522</v>
      </c>
      <c r="G270" s="0" t="s">
        <v>4247</v>
      </c>
    </row>
    <row customHeight="1" ht="11.25">
      <c r="A271" s="598" t="s">
        <v>14</v>
      </c>
      <c r="B271" s="0" t="s">
        <v>4242</v>
      </c>
      <c r="C271" s="0" t="s">
        <v>4243</v>
      </c>
      <c r="D271" s="0" t="s">
        <v>4248</v>
      </c>
      <c r="E271" s="0" t="s">
        <v>4249</v>
      </c>
      <c r="F271" s="0" t="s">
        <v>3522</v>
      </c>
      <c r="G271" s="0" t="s">
        <v>4250</v>
      </c>
    </row>
    <row customHeight="1" ht="11.25">
      <c r="A272" s="598" t="s">
        <v>14</v>
      </c>
      <c r="B272" s="0" t="s">
        <v>4242</v>
      </c>
      <c r="C272" s="0" t="s">
        <v>4243</v>
      </c>
      <c r="D272" s="0" t="s">
        <v>4251</v>
      </c>
      <c r="E272" s="0" t="s">
        <v>4252</v>
      </c>
      <c r="F272" s="0" t="s">
        <v>3509</v>
      </c>
      <c r="G272" s="0" t="s">
        <v>4253</v>
      </c>
    </row>
    <row customHeight="1" ht="11.25">
      <c r="A273" s="598" t="s">
        <v>14</v>
      </c>
      <c r="B273" s="0" t="s">
        <v>4242</v>
      </c>
      <c r="C273" s="0" t="s">
        <v>4243</v>
      </c>
      <c r="D273" s="0" t="s">
        <v>4254</v>
      </c>
      <c r="E273" s="0" t="s">
        <v>4255</v>
      </c>
      <c r="F273" s="0" t="s">
        <v>3509</v>
      </c>
      <c r="G273" s="0" t="s">
        <v>4256</v>
      </c>
    </row>
    <row customHeight="1" ht="11.25">
      <c r="A274" s="598" t="s">
        <v>14</v>
      </c>
      <c r="B274" s="0" t="s">
        <v>4242</v>
      </c>
      <c r="C274" s="0" t="s">
        <v>4243</v>
      </c>
      <c r="D274" s="0" t="s">
        <v>4257</v>
      </c>
      <c r="E274" s="0" t="s">
        <v>4258</v>
      </c>
      <c r="F274" s="0" t="s">
        <v>3509</v>
      </c>
      <c r="G274" s="0" t="s">
        <v>4259</v>
      </c>
    </row>
    <row customHeight="1" ht="11.25">
      <c r="A275" s="598" t="s">
        <v>14</v>
      </c>
      <c r="B275" s="0" t="s">
        <v>4242</v>
      </c>
      <c r="C275" s="0" t="s">
        <v>4243</v>
      </c>
      <c r="D275" s="0" t="s">
        <v>4260</v>
      </c>
      <c r="E275" s="0" t="s">
        <v>4261</v>
      </c>
      <c r="F275" s="0" t="s">
        <v>3509</v>
      </c>
      <c r="G275" s="0" t="s">
        <v>4262</v>
      </c>
    </row>
    <row customHeight="1" ht="11.25">
      <c r="A276" s="598" t="s">
        <v>14</v>
      </c>
      <c r="B276" s="0" t="s">
        <v>4242</v>
      </c>
      <c r="C276" s="0" t="s">
        <v>4243</v>
      </c>
      <c r="D276" s="0" t="s">
        <v>4263</v>
      </c>
      <c r="E276" s="0" t="s">
        <v>4264</v>
      </c>
      <c r="F276" s="0" t="s">
        <v>3509</v>
      </c>
      <c r="G276" s="0" t="s">
        <v>4265</v>
      </c>
    </row>
    <row customHeight="1" ht="11.25">
      <c r="A277" s="598" t="s">
        <v>14</v>
      </c>
      <c r="B277" s="0" t="s">
        <v>4242</v>
      </c>
      <c r="C277" s="0" t="s">
        <v>4243</v>
      </c>
      <c r="D277" s="0" t="s">
        <v>4266</v>
      </c>
      <c r="E277" s="0" t="s">
        <v>4267</v>
      </c>
      <c r="F277" s="0" t="s">
        <v>3509</v>
      </c>
      <c r="G277" s="0" t="s">
        <v>4268</v>
      </c>
    </row>
    <row customHeight="1" ht="11.25">
      <c r="A278" s="598" t="s">
        <v>14</v>
      </c>
      <c r="B278" s="0" t="s">
        <v>4242</v>
      </c>
      <c r="C278" s="0" t="s">
        <v>4243</v>
      </c>
      <c r="D278" s="0" t="s">
        <v>4269</v>
      </c>
      <c r="E278" s="0" t="s">
        <v>4270</v>
      </c>
      <c r="F278" s="0" t="s">
        <v>3509</v>
      </c>
      <c r="G278" s="0" t="s">
        <v>4271</v>
      </c>
    </row>
    <row customHeight="1" ht="11.25">
      <c r="A279" s="598" t="s">
        <v>14</v>
      </c>
      <c r="B279" s="0" t="s">
        <v>4242</v>
      </c>
      <c r="C279" s="0" t="s">
        <v>4243</v>
      </c>
      <c r="D279" s="0" t="s">
        <v>4272</v>
      </c>
      <c r="E279" s="0" t="s">
        <v>4273</v>
      </c>
      <c r="F279" s="0" t="s">
        <v>3509</v>
      </c>
      <c r="G279" s="0" t="s">
        <v>4274</v>
      </c>
    </row>
    <row customHeight="1" ht="11.25">
      <c r="A280" s="598" t="s">
        <v>14</v>
      </c>
      <c r="B280" s="0" t="s">
        <v>4242</v>
      </c>
      <c r="C280" s="0" t="s">
        <v>4243</v>
      </c>
      <c r="D280" s="0" t="s">
        <v>4275</v>
      </c>
      <c r="E280" s="0" t="s">
        <v>4276</v>
      </c>
      <c r="F280" s="0" t="s">
        <v>3509</v>
      </c>
      <c r="G280" s="0" t="s">
        <v>4277</v>
      </c>
    </row>
    <row customHeight="1" ht="11.25">
      <c r="A281" s="598" t="s">
        <v>14</v>
      </c>
      <c r="B281" s="0" t="s">
        <v>4242</v>
      </c>
      <c r="C281" s="0" t="s">
        <v>4243</v>
      </c>
      <c r="D281" s="0" t="s">
        <v>4278</v>
      </c>
      <c r="E281" s="0" t="s">
        <v>4279</v>
      </c>
      <c r="F281" s="0" t="s">
        <v>3509</v>
      </c>
      <c r="G281" s="0" t="s">
        <v>4280</v>
      </c>
    </row>
    <row customHeight="1" ht="11.25">
      <c r="A282" s="598" t="s">
        <v>14</v>
      </c>
      <c r="B282" s="0" t="s">
        <v>4242</v>
      </c>
      <c r="C282" s="0" t="s">
        <v>4243</v>
      </c>
      <c r="D282" s="0" t="s">
        <v>4281</v>
      </c>
      <c r="E282" s="0" t="s">
        <v>4282</v>
      </c>
      <c r="F282" s="0" t="s">
        <v>3509</v>
      </c>
      <c r="G282" s="0" t="s">
        <v>4283</v>
      </c>
    </row>
    <row customHeight="1" ht="11.25">
      <c r="A283" s="598" t="s">
        <v>14</v>
      </c>
      <c r="B283" s="0" t="s">
        <v>4242</v>
      </c>
      <c r="C283" s="0" t="s">
        <v>4243</v>
      </c>
      <c r="D283" s="0" t="s">
        <v>4284</v>
      </c>
      <c r="E283" s="0" t="s">
        <v>4285</v>
      </c>
      <c r="F283" s="0" t="s">
        <v>3509</v>
      </c>
      <c r="G283" s="0" t="s">
        <v>4286</v>
      </c>
    </row>
    <row customHeight="1" ht="11.25">
      <c r="A284" s="598" t="s">
        <v>14</v>
      </c>
      <c r="B284" s="0" t="s">
        <v>4242</v>
      </c>
      <c r="C284" s="0" t="s">
        <v>4243</v>
      </c>
      <c r="D284" s="0" t="s">
        <v>4287</v>
      </c>
      <c r="E284" s="0" t="s">
        <v>4288</v>
      </c>
      <c r="F284" s="0" t="s">
        <v>3509</v>
      </c>
      <c r="G284" s="0" t="s">
        <v>4289</v>
      </c>
    </row>
    <row customHeight="1" ht="11.25">
      <c r="A285" s="598" t="s">
        <v>14</v>
      </c>
      <c r="B285" s="0" t="s">
        <v>4290</v>
      </c>
      <c r="C285" s="0" t="s">
        <v>4291</v>
      </c>
      <c r="D285" s="0" t="s">
        <v>4290</v>
      </c>
      <c r="E285" s="0" t="s">
        <v>4291</v>
      </c>
      <c r="F285" s="0" t="s">
        <v>3506</v>
      </c>
      <c r="G285" s="0" t="s">
        <v>4292</v>
      </c>
    </row>
    <row customHeight="1" ht="11.25">
      <c r="A286" s="598" t="s">
        <v>14</v>
      </c>
      <c r="B286" s="0" t="s">
        <v>4290</v>
      </c>
      <c r="C286" s="0" t="s">
        <v>4291</v>
      </c>
      <c r="D286" s="0" t="s">
        <v>4293</v>
      </c>
      <c r="E286" s="0" t="s">
        <v>4294</v>
      </c>
      <c r="F286" s="0" t="s">
        <v>3509</v>
      </c>
      <c r="G286" s="0" t="s">
        <v>4295</v>
      </c>
    </row>
    <row customHeight="1" ht="11.25">
      <c r="A287" s="598" t="s">
        <v>14</v>
      </c>
      <c r="B287" s="0" t="s">
        <v>4290</v>
      </c>
      <c r="C287" s="0" t="s">
        <v>4291</v>
      </c>
      <c r="D287" s="0" t="s">
        <v>4296</v>
      </c>
      <c r="E287" s="0" t="s">
        <v>4297</v>
      </c>
      <c r="F287" s="0" t="s">
        <v>3509</v>
      </c>
      <c r="G287" s="0" t="s">
        <v>4298</v>
      </c>
    </row>
    <row customHeight="1" ht="11.25">
      <c r="A288" s="598" t="s">
        <v>14</v>
      </c>
      <c r="B288" s="0" t="s">
        <v>4290</v>
      </c>
      <c r="C288" s="0" t="s">
        <v>4291</v>
      </c>
      <c r="D288" s="0" t="s">
        <v>4152</v>
      </c>
      <c r="E288" s="0" t="s">
        <v>4299</v>
      </c>
      <c r="F288" s="0" t="s">
        <v>3509</v>
      </c>
      <c r="G288" s="0" t="s">
        <v>4300</v>
      </c>
    </row>
    <row customHeight="1" ht="11.25">
      <c r="A289" s="598" t="s">
        <v>14</v>
      </c>
      <c r="B289" s="0" t="s">
        <v>4290</v>
      </c>
      <c r="C289" s="0" t="s">
        <v>4291</v>
      </c>
      <c r="D289" s="0" t="s">
        <v>4301</v>
      </c>
      <c r="E289" s="0" t="s">
        <v>4302</v>
      </c>
      <c r="F289" s="0" t="s">
        <v>3509</v>
      </c>
      <c r="G289" s="0" t="s">
        <v>4303</v>
      </c>
    </row>
    <row customHeight="1" ht="11.25">
      <c r="A290" s="598" t="s">
        <v>14</v>
      </c>
      <c r="B290" s="0" t="s">
        <v>4290</v>
      </c>
      <c r="C290" s="0" t="s">
        <v>4291</v>
      </c>
      <c r="D290" s="0" t="s">
        <v>4304</v>
      </c>
      <c r="E290" s="0" t="s">
        <v>4305</v>
      </c>
      <c r="F290" s="0" t="s">
        <v>3509</v>
      </c>
      <c r="G290" s="0" t="s">
        <v>4306</v>
      </c>
    </row>
    <row customHeight="1" ht="11.25">
      <c r="A291" s="598" t="s">
        <v>14</v>
      </c>
      <c r="B291" s="0" t="s">
        <v>4290</v>
      </c>
      <c r="C291" s="0" t="s">
        <v>4291</v>
      </c>
      <c r="D291" s="0" t="s">
        <v>4307</v>
      </c>
      <c r="E291" s="0" t="s">
        <v>4308</v>
      </c>
      <c r="F291" s="0" t="s">
        <v>3509</v>
      </c>
      <c r="G291" s="0" t="s">
        <v>4309</v>
      </c>
    </row>
    <row customHeight="1" ht="11.25">
      <c r="A292" s="598" t="s">
        <v>14</v>
      </c>
      <c r="B292" s="0" t="s">
        <v>4290</v>
      </c>
      <c r="C292" s="0" t="s">
        <v>4291</v>
      </c>
      <c r="D292" s="0" t="s">
        <v>4310</v>
      </c>
      <c r="E292" s="0" t="s">
        <v>4311</v>
      </c>
      <c r="F292" s="0" t="s">
        <v>3509</v>
      </c>
      <c r="G292" s="0" t="s">
        <v>4312</v>
      </c>
    </row>
    <row customHeight="1" ht="11.25">
      <c r="A293" s="598" t="s">
        <v>14</v>
      </c>
      <c r="B293" s="0" t="s">
        <v>4290</v>
      </c>
      <c r="C293" s="0" t="s">
        <v>4291</v>
      </c>
      <c r="D293" s="0" t="s">
        <v>4313</v>
      </c>
      <c r="E293" s="0" t="s">
        <v>4314</v>
      </c>
      <c r="F293" s="0" t="s">
        <v>3509</v>
      </c>
      <c r="G293" s="0" t="s">
        <v>4315</v>
      </c>
    </row>
    <row customHeight="1" ht="11.25">
      <c r="A294" s="598" t="s">
        <v>14</v>
      </c>
      <c r="B294" s="0" t="s">
        <v>4290</v>
      </c>
      <c r="C294" s="0" t="s">
        <v>4291</v>
      </c>
      <c r="D294" s="0" t="s">
        <v>4316</v>
      </c>
      <c r="E294" s="0" t="s">
        <v>4317</v>
      </c>
      <c r="F294" s="0" t="s">
        <v>3509</v>
      </c>
      <c r="G294" s="0" t="s">
        <v>4318</v>
      </c>
    </row>
    <row customHeight="1" ht="11.25">
      <c r="A295" s="598" t="s">
        <v>14</v>
      </c>
      <c r="B295" s="0" t="s">
        <v>4290</v>
      </c>
      <c r="C295" s="0" t="s">
        <v>4291</v>
      </c>
      <c r="D295" s="0" t="s">
        <v>4319</v>
      </c>
      <c r="E295" s="0" t="s">
        <v>4320</v>
      </c>
      <c r="F295" s="0" t="s">
        <v>3509</v>
      </c>
      <c r="G295" s="0" t="s">
        <v>4321</v>
      </c>
    </row>
    <row customHeight="1" ht="11.25">
      <c r="A296" s="598" t="s">
        <v>14</v>
      </c>
      <c r="B296" s="0" t="s">
        <v>4290</v>
      </c>
      <c r="C296" s="0" t="s">
        <v>4291</v>
      </c>
      <c r="D296" s="0" t="s">
        <v>4322</v>
      </c>
      <c r="E296" s="0" t="s">
        <v>4323</v>
      </c>
      <c r="F296" s="0" t="s">
        <v>3509</v>
      </c>
      <c r="G296" s="0" t="s">
        <v>4324</v>
      </c>
    </row>
    <row customHeight="1" ht="11.25">
      <c r="A297" s="598" t="s">
        <v>14</v>
      </c>
      <c r="B297" s="0" t="s">
        <v>4325</v>
      </c>
      <c r="C297" s="0" t="s">
        <v>4326</v>
      </c>
      <c r="D297" s="0" t="s">
        <v>4325</v>
      </c>
      <c r="E297" s="0" t="s">
        <v>4326</v>
      </c>
      <c r="F297" s="0" t="s">
        <v>3506</v>
      </c>
      <c r="G297" s="0" t="s">
        <v>4327</v>
      </c>
    </row>
    <row customHeight="1" ht="11.25">
      <c r="A298" s="598" t="s">
        <v>14</v>
      </c>
      <c r="B298" s="0" t="s">
        <v>4325</v>
      </c>
      <c r="C298" s="0" t="s">
        <v>4326</v>
      </c>
      <c r="D298" s="0" t="s">
        <v>4328</v>
      </c>
      <c r="E298" s="0" t="s">
        <v>4329</v>
      </c>
      <c r="F298" s="0" t="s">
        <v>3509</v>
      </c>
      <c r="G298" s="0" t="s">
        <v>4330</v>
      </c>
    </row>
    <row customHeight="1" ht="11.25">
      <c r="A299" s="598" t="s">
        <v>14</v>
      </c>
      <c r="B299" s="0" t="s">
        <v>4325</v>
      </c>
      <c r="C299" s="0" t="s">
        <v>4326</v>
      </c>
      <c r="D299" s="0" t="s">
        <v>4331</v>
      </c>
      <c r="E299" s="0" t="s">
        <v>4332</v>
      </c>
      <c r="F299" s="0" t="s">
        <v>3509</v>
      </c>
      <c r="G299" s="0" t="s">
        <v>4333</v>
      </c>
    </row>
    <row customHeight="1" ht="11.25">
      <c r="A300" s="598" t="s">
        <v>14</v>
      </c>
      <c r="B300" s="0" t="s">
        <v>4325</v>
      </c>
      <c r="C300" s="0" t="s">
        <v>4326</v>
      </c>
      <c r="D300" s="0" t="s">
        <v>4334</v>
      </c>
      <c r="E300" s="0" t="s">
        <v>4335</v>
      </c>
      <c r="F300" s="0" t="s">
        <v>3509</v>
      </c>
      <c r="G300" s="0" t="s">
        <v>4336</v>
      </c>
    </row>
    <row customHeight="1" ht="11.25">
      <c r="A301" s="598" t="s">
        <v>14</v>
      </c>
      <c r="B301" s="0" t="s">
        <v>4325</v>
      </c>
      <c r="C301" s="0" t="s">
        <v>4326</v>
      </c>
      <c r="D301" s="0" t="s">
        <v>4337</v>
      </c>
      <c r="E301" s="0" t="s">
        <v>4338</v>
      </c>
      <c r="F301" s="0" t="s">
        <v>3509</v>
      </c>
      <c r="G301" s="0" t="s">
        <v>4339</v>
      </c>
    </row>
    <row customHeight="1" ht="11.25">
      <c r="A302" s="598" t="s">
        <v>14</v>
      </c>
      <c r="B302" s="0" t="s">
        <v>4325</v>
      </c>
      <c r="C302" s="0" t="s">
        <v>4326</v>
      </c>
      <c r="D302" s="0" t="s">
        <v>4340</v>
      </c>
      <c r="E302" s="0" t="s">
        <v>4341</v>
      </c>
      <c r="F302" s="0" t="s">
        <v>3509</v>
      </c>
      <c r="G302" s="0" t="s">
        <v>4342</v>
      </c>
    </row>
    <row customHeight="1" ht="11.25">
      <c r="A303" s="598" t="s">
        <v>14</v>
      </c>
      <c r="B303" s="0" t="s">
        <v>4325</v>
      </c>
      <c r="C303" s="0" t="s">
        <v>4326</v>
      </c>
      <c r="D303" s="0" t="s">
        <v>4343</v>
      </c>
      <c r="E303" s="0" t="s">
        <v>4344</v>
      </c>
      <c r="F303" s="0" t="s">
        <v>3509</v>
      </c>
      <c r="G303" s="0" t="s">
        <v>4345</v>
      </c>
    </row>
    <row customHeight="1" ht="11.25">
      <c r="A304" s="598" t="s">
        <v>14</v>
      </c>
      <c r="B304" s="0" t="s">
        <v>4325</v>
      </c>
      <c r="C304" s="0" t="s">
        <v>4326</v>
      </c>
      <c r="D304" s="0" t="s">
        <v>4346</v>
      </c>
      <c r="E304" s="0" t="s">
        <v>4347</v>
      </c>
      <c r="F304" s="0" t="s">
        <v>3509</v>
      </c>
      <c r="G304" s="0" t="s">
        <v>4348</v>
      </c>
    </row>
    <row customHeight="1" ht="11.25">
      <c r="A305" s="598" t="s">
        <v>14</v>
      </c>
      <c r="B305" s="0" t="s">
        <v>4325</v>
      </c>
      <c r="C305" s="0" t="s">
        <v>4326</v>
      </c>
      <c r="D305" s="0" t="s">
        <v>4349</v>
      </c>
      <c r="E305" s="0" t="s">
        <v>4350</v>
      </c>
      <c r="F305" s="0" t="s">
        <v>3509</v>
      </c>
      <c r="G305" s="0" t="s">
        <v>4351</v>
      </c>
    </row>
    <row customHeight="1" ht="11.25">
      <c r="A306" s="598" t="s">
        <v>14</v>
      </c>
      <c r="B306" s="0" t="s">
        <v>4325</v>
      </c>
      <c r="C306" s="0" t="s">
        <v>4326</v>
      </c>
      <c r="D306" s="0" t="s">
        <v>4352</v>
      </c>
      <c r="E306" s="0" t="s">
        <v>4353</v>
      </c>
      <c r="F306" s="0" t="s">
        <v>3509</v>
      </c>
      <c r="G306" s="0" t="s">
        <v>4354</v>
      </c>
    </row>
    <row customHeight="1" ht="11.25">
      <c r="A307" s="598" t="s">
        <v>14</v>
      </c>
      <c r="B307" s="0" t="s">
        <v>4325</v>
      </c>
      <c r="C307" s="0" t="s">
        <v>4326</v>
      </c>
      <c r="D307" s="0" t="s">
        <v>4355</v>
      </c>
      <c r="E307" s="0" t="s">
        <v>4356</v>
      </c>
      <c r="F307" s="0" t="s">
        <v>3509</v>
      </c>
      <c r="G307" s="0" t="s">
        <v>4357</v>
      </c>
    </row>
    <row customHeight="1" ht="11.25">
      <c r="A308" s="598" t="s">
        <v>14</v>
      </c>
      <c r="B308" s="0" t="s">
        <v>4325</v>
      </c>
      <c r="C308" s="0" t="s">
        <v>4326</v>
      </c>
      <c r="D308" s="0" t="s">
        <v>4358</v>
      </c>
      <c r="E308" s="0" t="s">
        <v>4359</v>
      </c>
      <c r="F308" s="0" t="s">
        <v>3509</v>
      </c>
      <c r="G308" s="0" t="s">
        <v>4360</v>
      </c>
    </row>
    <row customHeight="1" ht="11.25">
      <c r="A309" s="598" t="s">
        <v>14</v>
      </c>
      <c r="B309" s="0" t="s">
        <v>4361</v>
      </c>
      <c r="C309" s="0" t="s">
        <v>4362</v>
      </c>
      <c r="D309" s="0" t="s">
        <v>4361</v>
      </c>
      <c r="E309" s="0" t="s">
        <v>4362</v>
      </c>
      <c r="F309" s="0" t="s">
        <v>3506</v>
      </c>
      <c r="G309" s="0" t="s">
        <v>4363</v>
      </c>
    </row>
    <row customHeight="1" ht="11.25">
      <c r="A310" s="598" t="s">
        <v>14</v>
      </c>
      <c r="B310" s="0" t="s">
        <v>4361</v>
      </c>
      <c r="C310" s="0" t="s">
        <v>4362</v>
      </c>
      <c r="D310" s="0" t="s">
        <v>4364</v>
      </c>
      <c r="E310" s="0" t="s">
        <v>4365</v>
      </c>
      <c r="F310" s="0" t="s">
        <v>3509</v>
      </c>
      <c r="G310" s="0" t="s">
        <v>4366</v>
      </c>
    </row>
    <row customHeight="1" ht="11.25">
      <c r="A311" s="598" t="s">
        <v>14</v>
      </c>
      <c r="B311" s="0" t="s">
        <v>4361</v>
      </c>
      <c r="C311" s="0" t="s">
        <v>4362</v>
      </c>
      <c r="D311" s="0" t="s">
        <v>3525</v>
      </c>
      <c r="E311" s="0" t="s">
        <v>4367</v>
      </c>
      <c r="F311" s="0" t="s">
        <v>3509</v>
      </c>
      <c r="G311" s="0" t="s">
        <v>4368</v>
      </c>
    </row>
    <row customHeight="1" ht="11.25">
      <c r="A312" s="598" t="s">
        <v>14</v>
      </c>
      <c r="B312" s="0" t="s">
        <v>4361</v>
      </c>
      <c r="C312" s="0" t="s">
        <v>4362</v>
      </c>
      <c r="D312" s="0" t="s">
        <v>4369</v>
      </c>
      <c r="E312" s="0" t="s">
        <v>4370</v>
      </c>
      <c r="F312" s="0" t="s">
        <v>3509</v>
      </c>
      <c r="G312" s="0" t="s">
        <v>4371</v>
      </c>
    </row>
    <row customHeight="1" ht="11.25">
      <c r="A313" s="598" t="s">
        <v>14</v>
      </c>
      <c r="B313" s="0" t="s">
        <v>4361</v>
      </c>
      <c r="C313" s="0" t="s">
        <v>4362</v>
      </c>
      <c r="D313" s="0" t="s">
        <v>4372</v>
      </c>
      <c r="E313" s="0" t="s">
        <v>4373</v>
      </c>
      <c r="F313" s="0" t="s">
        <v>3509</v>
      </c>
      <c r="G313" s="0" t="s">
        <v>4374</v>
      </c>
    </row>
    <row customHeight="1" ht="11.25">
      <c r="A314" s="598" t="s">
        <v>14</v>
      </c>
      <c r="B314" s="0" t="s">
        <v>4361</v>
      </c>
      <c r="C314" s="0" t="s">
        <v>4362</v>
      </c>
      <c r="D314" s="0" t="s">
        <v>4375</v>
      </c>
      <c r="E314" s="0" t="s">
        <v>4376</v>
      </c>
      <c r="F314" s="0" t="s">
        <v>3509</v>
      </c>
      <c r="G314" s="0" t="s">
        <v>4377</v>
      </c>
    </row>
    <row customHeight="1" ht="11.25">
      <c r="A315" s="598" t="s">
        <v>14</v>
      </c>
      <c r="B315" s="0" t="s">
        <v>4361</v>
      </c>
      <c r="C315" s="0" t="s">
        <v>4362</v>
      </c>
      <c r="D315" s="0" t="s">
        <v>4378</v>
      </c>
      <c r="E315" s="0" t="s">
        <v>4379</v>
      </c>
      <c r="F315" s="0" t="s">
        <v>3509</v>
      </c>
      <c r="G315" s="0" t="s">
        <v>4380</v>
      </c>
    </row>
    <row customHeight="1" ht="11.25">
      <c r="A316" s="598" t="s">
        <v>14</v>
      </c>
      <c r="B316" s="0" t="s">
        <v>4361</v>
      </c>
      <c r="C316" s="0" t="s">
        <v>4362</v>
      </c>
      <c r="D316" s="0" t="s">
        <v>4381</v>
      </c>
      <c r="E316" s="0" t="s">
        <v>4382</v>
      </c>
      <c r="F316" s="0" t="s">
        <v>3509</v>
      </c>
      <c r="G316" s="0" t="s">
        <v>4383</v>
      </c>
    </row>
    <row customHeight="1" ht="11.25">
      <c r="A317" s="598" t="s">
        <v>14</v>
      </c>
      <c r="B317" s="0" t="s">
        <v>4361</v>
      </c>
      <c r="C317" s="0" t="s">
        <v>4362</v>
      </c>
      <c r="D317" s="0" t="s">
        <v>4384</v>
      </c>
      <c r="E317" s="0" t="s">
        <v>4385</v>
      </c>
      <c r="F317" s="0" t="s">
        <v>3509</v>
      </c>
      <c r="G317" s="0" t="s">
        <v>4386</v>
      </c>
    </row>
    <row customHeight="1" ht="11.25">
      <c r="A318" s="598" t="s">
        <v>14</v>
      </c>
      <c r="B318" s="0" t="s">
        <v>4361</v>
      </c>
      <c r="C318" s="0" t="s">
        <v>4362</v>
      </c>
      <c r="D318" s="0" t="s">
        <v>4387</v>
      </c>
      <c r="E318" s="0" t="s">
        <v>4388</v>
      </c>
      <c r="F318" s="0" t="s">
        <v>3509</v>
      </c>
      <c r="G318" s="0" t="s">
        <v>4389</v>
      </c>
    </row>
    <row customHeight="1" ht="11.25">
      <c r="A319" s="598" t="s">
        <v>14</v>
      </c>
      <c r="B319" s="0" t="s">
        <v>4361</v>
      </c>
      <c r="C319" s="0" t="s">
        <v>4362</v>
      </c>
      <c r="D319" s="0" t="s">
        <v>4390</v>
      </c>
      <c r="E319" s="0" t="s">
        <v>4391</v>
      </c>
      <c r="F319" s="0" t="s">
        <v>3509</v>
      </c>
      <c r="G319" s="0" t="s">
        <v>4392</v>
      </c>
    </row>
    <row customHeight="1" ht="11.25">
      <c r="A320" s="598" t="s">
        <v>14</v>
      </c>
      <c r="B320" s="0" t="s">
        <v>4361</v>
      </c>
      <c r="C320" s="0" t="s">
        <v>4362</v>
      </c>
      <c r="D320" s="0" t="s">
        <v>4393</v>
      </c>
      <c r="E320" s="0" t="s">
        <v>4394</v>
      </c>
      <c r="F320" s="0" t="s">
        <v>3509</v>
      </c>
      <c r="G320" s="0" t="s">
        <v>4395</v>
      </c>
    </row>
    <row customHeight="1" ht="11.25">
      <c r="A321" s="598" t="s">
        <v>14</v>
      </c>
      <c r="B321" s="0" t="s">
        <v>4396</v>
      </c>
      <c r="C321" s="0" t="s">
        <v>4397</v>
      </c>
      <c r="D321" s="0" t="s">
        <v>4396</v>
      </c>
      <c r="E321" s="0" t="s">
        <v>4397</v>
      </c>
      <c r="F321" s="0" t="s">
        <v>3506</v>
      </c>
      <c r="G321" s="0" t="s">
        <v>4398</v>
      </c>
    </row>
    <row customHeight="1" ht="11.25">
      <c r="A322" s="598" t="s">
        <v>14</v>
      </c>
      <c r="B322" s="0" t="s">
        <v>4396</v>
      </c>
      <c r="C322" s="0" t="s">
        <v>4397</v>
      </c>
      <c r="D322" s="0" t="s">
        <v>4399</v>
      </c>
      <c r="E322" s="0" t="s">
        <v>4400</v>
      </c>
      <c r="F322" s="0" t="s">
        <v>3509</v>
      </c>
      <c r="G322" s="0" t="s">
        <v>4401</v>
      </c>
    </row>
    <row customHeight="1" ht="11.25">
      <c r="A323" s="598" t="s">
        <v>14</v>
      </c>
      <c r="B323" s="0" t="s">
        <v>4396</v>
      </c>
      <c r="C323" s="0" t="s">
        <v>4397</v>
      </c>
      <c r="D323" s="0" t="s">
        <v>4402</v>
      </c>
      <c r="E323" s="0" t="s">
        <v>4403</v>
      </c>
      <c r="F323" s="0" t="s">
        <v>3509</v>
      </c>
      <c r="G323" s="0" t="s">
        <v>4404</v>
      </c>
    </row>
    <row customHeight="1" ht="11.25">
      <c r="A324" s="598" t="s">
        <v>14</v>
      </c>
      <c r="B324" s="0" t="s">
        <v>4396</v>
      </c>
      <c r="C324" s="0" t="s">
        <v>4397</v>
      </c>
      <c r="D324" s="0" t="s">
        <v>4405</v>
      </c>
      <c r="E324" s="0" t="s">
        <v>4406</v>
      </c>
      <c r="F324" s="0" t="s">
        <v>3509</v>
      </c>
      <c r="G324" s="0" t="s">
        <v>4407</v>
      </c>
    </row>
    <row customHeight="1" ht="11.25">
      <c r="A325" s="598" t="s">
        <v>14</v>
      </c>
      <c r="B325" s="0" t="s">
        <v>4396</v>
      </c>
      <c r="C325" s="0" t="s">
        <v>4397</v>
      </c>
      <c r="D325" s="0" t="s">
        <v>4408</v>
      </c>
      <c r="E325" s="0" t="s">
        <v>4409</v>
      </c>
      <c r="F325" s="0" t="s">
        <v>3509</v>
      </c>
      <c r="G325" s="0" t="s">
        <v>4410</v>
      </c>
    </row>
    <row customHeight="1" ht="11.25">
      <c r="A326" s="598" t="s">
        <v>14</v>
      </c>
      <c r="B326" s="0" t="s">
        <v>4396</v>
      </c>
      <c r="C326" s="0" t="s">
        <v>4397</v>
      </c>
      <c r="D326" s="0" t="s">
        <v>4411</v>
      </c>
      <c r="E326" s="0" t="s">
        <v>4412</v>
      </c>
      <c r="F326" s="0" t="s">
        <v>3509</v>
      </c>
      <c r="G326" s="0" t="s">
        <v>4413</v>
      </c>
    </row>
    <row customHeight="1" ht="11.25">
      <c r="A327" s="598" t="s">
        <v>14</v>
      </c>
      <c r="B327" s="0" t="s">
        <v>4396</v>
      </c>
      <c r="C327" s="0" t="s">
        <v>4397</v>
      </c>
      <c r="D327" s="0" t="s">
        <v>4414</v>
      </c>
      <c r="E327" s="0" t="s">
        <v>4415</v>
      </c>
      <c r="F327" s="0" t="s">
        <v>3509</v>
      </c>
      <c r="G327" s="0" t="s">
        <v>4416</v>
      </c>
    </row>
    <row customHeight="1" ht="11.25">
      <c r="A328" s="598" t="s">
        <v>14</v>
      </c>
      <c r="B328" s="0" t="s">
        <v>4396</v>
      </c>
      <c r="C328" s="0" t="s">
        <v>4397</v>
      </c>
      <c r="D328" s="0" t="s">
        <v>4417</v>
      </c>
      <c r="E328" s="0" t="s">
        <v>4418</v>
      </c>
      <c r="F328" s="0" t="s">
        <v>3509</v>
      </c>
      <c r="G328" s="0" t="s">
        <v>4419</v>
      </c>
    </row>
    <row customHeight="1" ht="11.25">
      <c r="A329" s="598" t="s">
        <v>14</v>
      </c>
      <c r="B329" s="0" t="s">
        <v>4396</v>
      </c>
      <c r="C329" s="0" t="s">
        <v>4397</v>
      </c>
      <c r="D329" s="0" t="s">
        <v>4420</v>
      </c>
      <c r="E329" s="0" t="s">
        <v>4421</v>
      </c>
      <c r="F329" s="0" t="s">
        <v>3509</v>
      </c>
      <c r="G329" s="0" t="s">
        <v>4422</v>
      </c>
    </row>
    <row customHeight="1" ht="11.25">
      <c r="A330" s="598" t="s">
        <v>14</v>
      </c>
      <c r="B330" s="0" t="s">
        <v>4396</v>
      </c>
      <c r="C330" s="0" t="s">
        <v>4397</v>
      </c>
      <c r="D330" s="0" t="s">
        <v>4423</v>
      </c>
      <c r="E330" s="0" t="s">
        <v>4424</v>
      </c>
      <c r="F330" s="0" t="s">
        <v>3509</v>
      </c>
      <c r="G330" s="0" t="s">
        <v>4425</v>
      </c>
    </row>
    <row customHeight="1" ht="11.25">
      <c r="A331" s="598" t="s">
        <v>14</v>
      </c>
      <c r="B331" s="0" t="s">
        <v>4396</v>
      </c>
      <c r="C331" s="0" t="s">
        <v>4397</v>
      </c>
      <c r="D331" s="0" t="s">
        <v>4426</v>
      </c>
      <c r="E331" s="0" t="s">
        <v>4427</v>
      </c>
      <c r="F331" s="0" t="s">
        <v>3509</v>
      </c>
      <c r="G331" s="0" t="s">
        <v>4428</v>
      </c>
    </row>
    <row customHeight="1" ht="11.25">
      <c r="A332" s="598" t="s">
        <v>14</v>
      </c>
      <c r="B332" s="0" t="s">
        <v>4396</v>
      </c>
      <c r="C332" s="0" t="s">
        <v>4397</v>
      </c>
      <c r="D332" s="0" t="s">
        <v>4429</v>
      </c>
      <c r="E332" s="0" t="s">
        <v>4430</v>
      </c>
      <c r="F332" s="0" t="s">
        <v>3509</v>
      </c>
      <c r="G332" s="0" t="s">
        <v>4431</v>
      </c>
    </row>
    <row customHeight="1" ht="11.25">
      <c r="A333" s="598" t="s">
        <v>14</v>
      </c>
      <c r="B333" s="0" t="s">
        <v>4396</v>
      </c>
      <c r="C333" s="0" t="s">
        <v>4397</v>
      </c>
      <c r="D333" s="0" t="s">
        <v>4432</v>
      </c>
      <c r="E333" s="0" t="s">
        <v>4433</v>
      </c>
      <c r="F333" s="0" t="s">
        <v>3509</v>
      </c>
      <c r="G333" s="0" t="s">
        <v>4434</v>
      </c>
    </row>
    <row customHeight="1" ht="11.25">
      <c r="A334" s="598" t="s">
        <v>14</v>
      </c>
      <c r="B334" s="0" t="s">
        <v>100</v>
      </c>
      <c r="C334" s="0" t="s">
        <v>101</v>
      </c>
      <c r="D334" s="0" t="s">
        <v>100</v>
      </c>
      <c r="E334" s="0" t="s">
        <v>101</v>
      </c>
      <c r="F334" s="0" t="s">
        <v>4435</v>
      </c>
      <c r="G334" s="0" t="s">
        <v>99</v>
      </c>
    </row>
    <row customHeight="1" ht="11.25">
      <c r="A335" s="598" t="s">
        <v>14</v>
      </c>
      <c r="B335" s="0" t="s">
        <v>4436</v>
      </c>
      <c r="C335" s="0" t="s">
        <v>4437</v>
      </c>
      <c r="D335" s="0" t="s">
        <v>4436</v>
      </c>
      <c r="E335" s="0" t="s">
        <v>4437</v>
      </c>
      <c r="F335" s="0" t="s">
        <v>4435</v>
      </c>
      <c r="G335" s="0" t="s">
        <v>4438</v>
      </c>
    </row>
    <row customHeight="1" ht="11.25">
      <c r="A336" s="598" t="s">
        <v>14</v>
      </c>
      <c r="B336" s="0" t="s">
        <v>4439</v>
      </c>
      <c r="C336" s="0" t="s">
        <v>4440</v>
      </c>
      <c r="D336" s="0" t="s">
        <v>4439</v>
      </c>
      <c r="E336" s="0" t="s">
        <v>4440</v>
      </c>
      <c r="F336" s="0" t="s">
        <v>4435</v>
      </c>
      <c r="G336" s="0" t="s">
        <v>4441</v>
      </c>
    </row>
    <row customHeight="1" ht="11.25">
      <c r="A337" s="598" t="s">
        <v>14</v>
      </c>
      <c r="B337" s="0" t="s">
        <v>4442</v>
      </c>
      <c r="C337" s="0" t="s">
        <v>4443</v>
      </c>
      <c r="D337" s="0" t="s">
        <v>4442</v>
      </c>
      <c r="E337" s="0" t="s">
        <v>4443</v>
      </c>
      <c r="F337" s="0" t="s">
        <v>4435</v>
      </c>
      <c r="G337" s="0" t="s">
        <v>4444</v>
      </c>
    </row>
    <row customHeight="1" ht="11.25">
      <c r="A338" s="598" t="s">
        <v>14</v>
      </c>
      <c r="B338" s="0" t="s">
        <v>4445</v>
      </c>
      <c r="C338" s="0" t="s">
        <v>4446</v>
      </c>
      <c r="D338" s="0" t="s">
        <v>4445</v>
      </c>
      <c r="E338" s="0" t="s">
        <v>4446</v>
      </c>
      <c r="F338" s="0" t="s">
        <v>4435</v>
      </c>
      <c r="G338" s="0" t="s">
        <v>4447</v>
      </c>
    </row>
    <row customHeight="1" ht="11.25">
      <c r="A339" s="598" t="s">
        <v>14</v>
      </c>
      <c r="B339" s="0" t="s">
        <v>4448</v>
      </c>
      <c r="C339" s="0" t="s">
        <v>4449</v>
      </c>
      <c r="D339" s="0" t="s">
        <v>4448</v>
      </c>
      <c r="E339" s="0" t="s">
        <v>4449</v>
      </c>
      <c r="F339" s="0" t="s">
        <v>4435</v>
      </c>
      <c r="G339" s="0" t="s">
        <v>4450</v>
      </c>
    </row>
    <row customHeight="1" ht="11.25">
      <c r="A340" s="598" t="s">
        <v>14</v>
      </c>
      <c r="B340" s="0" t="s">
        <v>4451</v>
      </c>
      <c r="C340" s="0" t="s">
        <v>4452</v>
      </c>
      <c r="D340" s="0" t="s">
        <v>4453</v>
      </c>
      <c r="E340" s="0" t="s">
        <v>4454</v>
      </c>
      <c r="F340" s="0" t="s">
        <v>4455</v>
      </c>
      <c r="G340" s="0" t="s">
        <v>4456</v>
      </c>
    </row>
    <row customHeight="1" ht="11.25">
      <c r="A341" s="598" t="s">
        <v>14</v>
      </c>
      <c r="B341" s="0" t="s">
        <v>4451</v>
      </c>
      <c r="C341" s="0" t="s">
        <v>4452</v>
      </c>
      <c r="D341" s="0" t="s">
        <v>4457</v>
      </c>
      <c r="E341" s="0" t="s">
        <v>4458</v>
      </c>
      <c r="F341" s="0" t="s">
        <v>4455</v>
      </c>
      <c r="G341" s="0" t="s">
        <v>4459</v>
      </c>
    </row>
    <row customHeight="1" ht="11.25">
      <c r="A342" s="598" t="s">
        <v>14</v>
      </c>
      <c r="B342" s="0" t="s">
        <v>4451</v>
      </c>
      <c r="C342" s="0" t="s">
        <v>4452</v>
      </c>
      <c r="D342" s="0" t="s">
        <v>4460</v>
      </c>
      <c r="E342" s="0" t="s">
        <v>4461</v>
      </c>
      <c r="F342" s="0" t="s">
        <v>4455</v>
      </c>
      <c r="G342" s="0" t="s">
        <v>4462</v>
      </c>
    </row>
    <row customHeight="1" ht="11.25">
      <c r="A343" s="598" t="s">
        <v>14</v>
      </c>
      <c r="B343" s="0" t="s">
        <v>4451</v>
      </c>
      <c r="C343" s="0" t="s">
        <v>4452</v>
      </c>
      <c r="D343" s="0" t="s">
        <v>4463</v>
      </c>
      <c r="E343" s="0" t="s">
        <v>4464</v>
      </c>
      <c r="F343" s="0" t="s">
        <v>4455</v>
      </c>
      <c r="G343" s="0" t="s">
        <v>4465</v>
      </c>
    </row>
    <row customHeight="1" ht="11.25">
      <c r="A344" s="598" t="s">
        <v>14</v>
      </c>
      <c r="B344" s="0" t="s">
        <v>4451</v>
      </c>
      <c r="C344" s="0" t="s">
        <v>4452</v>
      </c>
      <c r="D344" s="0" t="s">
        <v>4466</v>
      </c>
      <c r="E344" s="0" t="s">
        <v>4467</v>
      </c>
      <c r="F344" s="0" t="s">
        <v>4455</v>
      </c>
      <c r="G344" s="0" t="s">
        <v>4468</v>
      </c>
    </row>
    <row customHeight="1" ht="11.25">
      <c r="A345" s="598" t="s">
        <v>14</v>
      </c>
      <c r="B345" s="0" t="s">
        <v>4451</v>
      </c>
      <c r="C345" s="0" t="s">
        <v>4452</v>
      </c>
      <c r="D345" s="0" t="s">
        <v>4469</v>
      </c>
      <c r="E345" s="0" t="s">
        <v>4470</v>
      </c>
      <c r="F345" s="0" t="s">
        <v>4455</v>
      </c>
      <c r="G345" s="0" t="s">
        <v>4471</v>
      </c>
    </row>
    <row customHeight="1" ht="11.25">
      <c r="A346" s="598" t="s">
        <v>14</v>
      </c>
      <c r="B346" s="0" t="s">
        <v>4451</v>
      </c>
      <c r="C346" s="0" t="s">
        <v>4452</v>
      </c>
      <c r="D346" s="0" t="s">
        <v>4472</v>
      </c>
      <c r="E346" s="0" t="s">
        <v>4473</v>
      </c>
      <c r="F346" s="0" t="s">
        <v>4455</v>
      </c>
      <c r="G346" s="0" t="s">
        <v>4474</v>
      </c>
    </row>
    <row customHeight="1" ht="11.25">
      <c r="A347" s="598" t="s">
        <v>14</v>
      </c>
      <c r="B347" s="0" t="s">
        <v>4451</v>
      </c>
      <c r="C347" s="0" t="s">
        <v>4452</v>
      </c>
      <c r="D347" s="0" t="s">
        <v>4475</v>
      </c>
      <c r="E347" s="0" t="s">
        <v>4476</v>
      </c>
      <c r="F347" s="0" t="s">
        <v>4455</v>
      </c>
      <c r="G347" s="0" t="s">
        <v>4477</v>
      </c>
    </row>
    <row customHeight="1" ht="11.25">
      <c r="A348" s="598" t="s">
        <v>14</v>
      </c>
      <c r="B348" s="0" t="s">
        <v>4451</v>
      </c>
      <c r="C348" s="0" t="s">
        <v>4452</v>
      </c>
      <c r="D348" s="0" t="s">
        <v>4478</v>
      </c>
      <c r="E348" s="0" t="s">
        <v>4479</v>
      </c>
      <c r="F348" s="0" t="s">
        <v>4455</v>
      </c>
      <c r="G348" s="0" t="s">
        <v>4480</v>
      </c>
    </row>
    <row customHeight="1" ht="11.25">
      <c r="A349" s="598" t="s">
        <v>14</v>
      </c>
      <c r="B349" s="0" t="s">
        <v>4451</v>
      </c>
      <c r="C349" s="0" t="s">
        <v>4452</v>
      </c>
      <c r="D349" s="0" t="s">
        <v>4451</v>
      </c>
      <c r="E349" s="0" t="s">
        <v>4452</v>
      </c>
      <c r="F349" s="0" t="s">
        <v>4481</v>
      </c>
      <c r="G349" s="0" t="s">
        <v>4482</v>
      </c>
    </row>
    <row customHeight="1" ht="11.25">
      <c r="A350" s="598" t="s">
        <v>14</v>
      </c>
      <c r="B350" s="0" t="s">
        <v>4451</v>
      </c>
      <c r="C350" s="0" t="s">
        <v>4452</v>
      </c>
      <c r="D350" s="0" t="s">
        <v>4451</v>
      </c>
      <c r="E350" s="0" t="s">
        <v>4452</v>
      </c>
      <c r="F350" s="0" t="s">
        <v>4435</v>
      </c>
      <c r="G350" s="0" t="s">
        <v>4483</v>
      </c>
    </row>
    <row customHeight="1" ht="11.25">
      <c r="A351" s="598" t="s">
        <v>14</v>
      </c>
      <c r="B351" s="0" t="s">
        <v>4484</v>
      </c>
      <c r="C351" s="0" t="s">
        <v>4485</v>
      </c>
      <c r="D351" s="0" t="s">
        <v>4484</v>
      </c>
      <c r="E351" s="0" t="s">
        <v>4485</v>
      </c>
      <c r="F351" s="0" t="s">
        <v>4435</v>
      </c>
      <c r="G351" s="0" t="s">
        <v>4486</v>
      </c>
    </row>
    <row customHeight="1" ht="11.25">
      <c r="A352" s="598" t="s">
        <v>14</v>
      </c>
      <c r="B352" s="0" t="s">
        <v>4487</v>
      </c>
      <c r="C352" s="0" t="s">
        <v>4488</v>
      </c>
      <c r="D352" s="0" t="s">
        <v>4487</v>
      </c>
      <c r="E352" s="0" t="s">
        <v>4488</v>
      </c>
      <c r="F352" s="0" t="s">
        <v>4435</v>
      </c>
      <c r="G352" s="0" t="s">
        <v>4489</v>
      </c>
    </row>
    <row customHeight="1" ht="11.25">
      <c r="A353" s="598" t="s">
        <v>14</v>
      </c>
      <c r="B353" s="0" t="s">
        <v>4490</v>
      </c>
      <c r="C353" s="0" t="s">
        <v>4491</v>
      </c>
      <c r="D353" s="0" t="s">
        <v>4490</v>
      </c>
      <c r="E353" s="0" t="s">
        <v>4491</v>
      </c>
      <c r="F353" s="0" t="s">
        <v>4435</v>
      </c>
      <c r="G353" s="0" t="s">
        <v>4492</v>
      </c>
    </row>
  </sheetData>
  <sheetProtection sort="0" autoFilter="0" insertRows="0" insertColumns="1" deleteRows="0" deleteColumns="0"/>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C463043-0103-120D-7FEA-A225EB5EB8EE}" mc:Ignorable="x14ac xr xr2 xr3">
  <sheetPr>
    <tabColor rgb="FFFFCC99"/>
  </sheetPr>
  <dimension ref="A1:D37"/>
  <sheetViews>
    <sheetView topLeftCell="A1" showGridLines="0" workbookViewId="0">
      <selection activeCell="A1" sqref="A1"/>
    </sheetView>
  </sheetViews>
  <sheetFormatPr defaultColWidth="9.140625" customHeight="1" defaultRowHeight="11.25"/>
  <cols>
    <col min="1" max="4" style="11395" width="9.140625"/>
  </cols>
  <sheetData>
    <row customHeight="1" ht="11.25">
      <c r="A1" s="1080" t="s">
        <v>4493</v>
      </c>
      <c r="B1" s="1080" t="s">
        <v>4494</v>
      </c>
      <c r="C1" s="1080" t="s">
        <v>4495</v>
      </c>
      <c r="D1" s="1080" t="s">
        <v>4496</v>
      </c>
    </row>
    <row customHeight="1" ht="11.25">
      <c r="A2" s="8277" t="s">
        <v>109</v>
      </c>
      <c r="B2" s="8277" t="s">
        <v>4497</v>
      </c>
      <c r="C2" s="8277" t="s">
        <v>4498</v>
      </c>
      <c r="D2" s="8277" t="s">
        <v>4499</v>
      </c>
    </row>
    <row customHeight="1" ht="11.25">
      <c r="A3" s="8277" t="s">
        <v>110</v>
      </c>
      <c r="B3" s="8277" t="s">
        <v>4500</v>
      </c>
      <c r="C3" s="8277" t="s">
        <v>4501</v>
      </c>
      <c r="D3" s="8277" t="s">
        <v>4499</v>
      </c>
    </row>
    <row customHeight="1" ht="11.25">
      <c r="A4" s="8277" t="s">
        <v>90</v>
      </c>
      <c r="B4" s="8277" t="s">
        <v>4502</v>
      </c>
      <c r="C4" s="8277" t="s">
        <v>4501</v>
      </c>
      <c r="D4" s="8277" t="s">
        <v>4499</v>
      </c>
    </row>
    <row customHeight="1" ht="11.25">
      <c r="A5" s="8277" t="s">
        <v>91</v>
      </c>
      <c r="B5" s="8277" t="s">
        <v>4503</v>
      </c>
      <c r="C5" s="8277" t="s">
        <v>4504</v>
      </c>
      <c r="D5" s="8277" t="s">
        <v>4505</v>
      </c>
    </row>
    <row customHeight="1" ht="11.25">
      <c r="A6" s="8277" t="s">
        <v>111</v>
      </c>
      <c r="B6" s="8277" t="s">
        <v>4506</v>
      </c>
      <c r="C6" s="8277" t="s">
        <v>4507</v>
      </c>
      <c r="D6" s="8277" t="s">
        <v>4508</v>
      </c>
    </row>
    <row customHeight="1" ht="11.25">
      <c r="A7" s="8277" t="s">
        <v>92</v>
      </c>
      <c r="B7" s="8277" t="s">
        <v>4509</v>
      </c>
      <c r="C7" s="8277" t="s">
        <v>4501</v>
      </c>
      <c r="D7" s="8277" t="s">
        <v>4499</v>
      </c>
    </row>
    <row customHeight="1" ht="11.25">
      <c r="A8" s="8277" t="s">
        <v>93</v>
      </c>
      <c r="B8" s="8277" t="s">
        <v>4510</v>
      </c>
      <c r="C8" s="8277" t="s">
        <v>4501</v>
      </c>
      <c r="D8" s="8277" t="s">
        <v>4499</v>
      </c>
    </row>
    <row customHeight="1" ht="11.25">
      <c r="A9" s="8277" t="s">
        <v>112</v>
      </c>
      <c r="B9" s="8277" t="s">
        <v>4511</v>
      </c>
      <c r="C9" s="8277" t="s">
        <v>4501</v>
      </c>
      <c r="D9" s="8277" t="s">
        <v>4508</v>
      </c>
    </row>
    <row customHeight="1" ht="11.25">
      <c r="A10" s="8277" t="s">
        <v>136</v>
      </c>
      <c r="B10" s="8277" t="s">
        <v>4512</v>
      </c>
      <c r="C10" s="8277" t="s">
        <v>4501</v>
      </c>
      <c r="D10" s="8277" t="s">
        <v>4499</v>
      </c>
    </row>
    <row customHeight="1" ht="11.25">
      <c r="A11" s="8277" t="s">
        <v>139</v>
      </c>
      <c r="B11" s="8277" t="s">
        <v>4513</v>
      </c>
      <c r="C11" s="8277" t="s">
        <v>4501</v>
      </c>
      <c r="D11" s="8277" t="s">
        <v>4499</v>
      </c>
    </row>
    <row customHeight="1" ht="11.25">
      <c r="A12" s="8277" t="s">
        <v>142</v>
      </c>
      <c r="B12" s="8277" t="s">
        <v>4514</v>
      </c>
      <c r="C12" s="8277" t="s">
        <v>4515</v>
      </c>
      <c r="D12" s="8277" t="s">
        <v>4516</v>
      </c>
    </row>
    <row customHeight="1" ht="11.25">
      <c r="A13" s="8277" t="s">
        <v>145</v>
      </c>
      <c r="B13" s="8277" t="s">
        <v>4517</v>
      </c>
      <c r="C13" s="8277" t="s">
        <v>4518</v>
      </c>
      <c r="D13" s="8277" t="s">
        <v>4519</v>
      </c>
    </row>
    <row customHeight="1" ht="11.25">
      <c r="A14" s="8277" t="s">
        <v>148</v>
      </c>
      <c r="B14" s="8277" t="s">
        <v>4520</v>
      </c>
      <c r="C14" s="8277" t="s">
        <v>4501</v>
      </c>
      <c r="D14" s="8277" t="s">
        <v>4499</v>
      </c>
    </row>
    <row customHeight="1" ht="11.25">
      <c r="A15" s="8277" t="s">
        <v>151</v>
      </c>
      <c r="B15" s="8277" t="s">
        <v>4521</v>
      </c>
      <c r="C15" s="8277" t="s">
        <v>4522</v>
      </c>
      <c r="D15" s="8277" t="s">
        <v>4523</v>
      </c>
    </row>
    <row customHeight="1" ht="11.25">
      <c r="A16" s="8277" t="s">
        <v>154</v>
      </c>
      <c r="B16" s="8277" t="s">
        <v>4524</v>
      </c>
      <c r="C16" s="8277" t="s">
        <v>4525</v>
      </c>
      <c r="D16" s="8277" t="s">
        <v>4499</v>
      </c>
    </row>
    <row customHeight="1" ht="11.25">
      <c r="A17" s="8277" t="s">
        <v>157</v>
      </c>
      <c r="B17" s="8277" t="s">
        <v>4526</v>
      </c>
      <c r="C17" s="8277" t="s">
        <v>4501</v>
      </c>
      <c r="D17" s="8277" t="s">
        <v>4527</v>
      </c>
    </row>
    <row customHeight="1" ht="11.25">
      <c r="A18" s="8277" t="s">
        <v>160</v>
      </c>
      <c r="B18" s="8277" t="s">
        <v>4528</v>
      </c>
      <c r="C18" s="8277" t="s">
        <v>4498</v>
      </c>
      <c r="D18" s="8277" t="s">
        <v>4529</v>
      </c>
    </row>
    <row customHeight="1" ht="11.25">
      <c r="A19" s="8277" t="s">
        <v>163</v>
      </c>
      <c r="B19" s="8277" t="s">
        <v>4530</v>
      </c>
      <c r="C19" s="8277" t="s">
        <v>4522</v>
      </c>
      <c r="D19" s="8277" t="s">
        <v>4499</v>
      </c>
    </row>
    <row customHeight="1" ht="11.25">
      <c r="A20" s="8277" t="s">
        <v>166</v>
      </c>
      <c r="B20" s="8277" t="s">
        <v>4531</v>
      </c>
      <c r="C20" s="8277" t="s">
        <v>4522</v>
      </c>
      <c r="D20" s="8277" t="s">
        <v>4499</v>
      </c>
    </row>
    <row customHeight="1" ht="11.25">
      <c r="A21" s="8277" t="s">
        <v>169</v>
      </c>
      <c r="B21" s="8277" t="s">
        <v>4532</v>
      </c>
      <c r="C21" s="8277" t="s">
        <v>4522</v>
      </c>
      <c r="D21" s="8277" t="s">
        <v>4499</v>
      </c>
    </row>
    <row customHeight="1" ht="11.25">
      <c r="A22" s="8277" t="s">
        <v>172</v>
      </c>
      <c r="B22" s="8277" t="s">
        <v>4533</v>
      </c>
      <c r="C22" s="8277" t="s">
        <v>4522</v>
      </c>
      <c r="D22" s="8277" t="s">
        <v>4499</v>
      </c>
    </row>
    <row customHeight="1" ht="11.25">
      <c r="A23" s="8277" t="s">
        <v>175</v>
      </c>
      <c r="B23" s="8277" t="s">
        <v>4534</v>
      </c>
      <c r="C23" s="8277" t="s">
        <v>4522</v>
      </c>
      <c r="D23" s="8277" t="s">
        <v>4499</v>
      </c>
    </row>
    <row customHeight="1" ht="11.25">
      <c r="A24" s="8277" t="s">
        <v>178</v>
      </c>
      <c r="B24" s="8277" t="s">
        <v>4535</v>
      </c>
      <c r="C24" s="8277" t="s">
        <v>4507</v>
      </c>
      <c r="D24" s="8277" t="s">
        <v>4536</v>
      </c>
    </row>
    <row customHeight="1" ht="11.25">
      <c r="A25" s="8277" t="s">
        <v>181</v>
      </c>
      <c r="B25" s="8277" t="s">
        <v>4537</v>
      </c>
      <c r="C25" s="8277" t="s">
        <v>4538</v>
      </c>
      <c r="D25" s="8277" t="s">
        <v>4529</v>
      </c>
    </row>
    <row customHeight="1" ht="11.25">
      <c r="A26" s="8277" t="s">
        <v>184</v>
      </c>
      <c r="B26" s="8277" t="s">
        <v>4539</v>
      </c>
      <c r="C26" s="8277" t="s">
        <v>4501</v>
      </c>
      <c r="D26" s="8277" t="s">
        <v>4505</v>
      </c>
    </row>
    <row customHeight="1" ht="11.25">
      <c r="A27" s="8277" t="s">
        <v>187</v>
      </c>
      <c r="B27" s="8277" t="s">
        <v>4540</v>
      </c>
      <c r="C27" s="8277" t="s">
        <v>4541</v>
      </c>
      <c r="D27" s="8277" t="s">
        <v>4536</v>
      </c>
    </row>
    <row customHeight="1" ht="11.25">
      <c r="A28" s="8277" t="s">
        <v>190</v>
      </c>
      <c r="B28" s="8277" t="s">
        <v>4542</v>
      </c>
      <c r="C28" s="8277" t="s">
        <v>4543</v>
      </c>
      <c r="D28" s="8277" t="s">
        <v>4536</v>
      </c>
    </row>
    <row customHeight="1" ht="11.25">
      <c r="A29" s="8277" t="s">
        <v>193</v>
      </c>
      <c r="B29" s="8277" t="s">
        <v>4544</v>
      </c>
      <c r="C29" s="8277" t="s">
        <v>4545</v>
      </c>
      <c r="D29" s="8277" t="s">
        <v>4499</v>
      </c>
    </row>
    <row customHeight="1" ht="11.25">
      <c r="A30" s="8277" t="s">
        <v>1180</v>
      </c>
      <c r="B30" s="8277" t="s">
        <v>4546</v>
      </c>
      <c r="C30" s="8277" t="s">
        <v>4547</v>
      </c>
      <c r="D30" s="8277" t="s">
        <v>4548</v>
      </c>
    </row>
    <row customHeight="1" ht="11.25">
      <c r="A31" s="8277" t="s">
        <v>1186</v>
      </c>
      <c r="B31" s="8277" t="s">
        <v>4549</v>
      </c>
      <c r="C31" s="8277" t="s">
        <v>4501</v>
      </c>
      <c r="D31" s="8277" t="s">
        <v>4550</v>
      </c>
    </row>
    <row customHeight="1" ht="11.25">
      <c r="A32" s="8277" t="s">
        <v>1188</v>
      </c>
      <c r="B32" s="8277" t="s">
        <v>4551</v>
      </c>
      <c r="C32" s="8277" t="s">
        <v>4501</v>
      </c>
      <c r="D32" s="8277" t="s">
        <v>4550</v>
      </c>
    </row>
    <row customHeight="1" ht="11.25">
      <c r="A33" s="8277" t="s">
        <v>1190</v>
      </c>
      <c r="B33" s="8277" t="s">
        <v>4552</v>
      </c>
      <c r="C33" s="8277" t="s">
        <v>4501</v>
      </c>
      <c r="D33" s="8277" t="s">
        <v>4550</v>
      </c>
    </row>
    <row customHeight="1" ht="11.25">
      <c r="A34" s="8277" t="s">
        <v>1192</v>
      </c>
      <c r="B34" s="8277" t="s">
        <v>4553</v>
      </c>
      <c r="C34" s="8277" t="s">
        <v>4501</v>
      </c>
      <c r="D34" s="8277" t="s">
        <v>4505</v>
      </c>
    </row>
    <row customHeight="1" ht="11.25">
      <c r="A35" s="8277" t="s">
        <v>1197</v>
      </c>
      <c r="B35" s="8277" t="s">
        <v>4554</v>
      </c>
      <c r="C35" s="8277" t="s">
        <v>4501</v>
      </c>
      <c r="D35" s="8277" t="s">
        <v>4508</v>
      </c>
    </row>
    <row customHeight="1" ht="11.25">
      <c r="A36" s="8277" t="s">
        <v>1202</v>
      </c>
      <c r="B36" s="8277" t="s">
        <v>4555</v>
      </c>
      <c r="C36" s="8277" t="s">
        <v>4545</v>
      </c>
      <c r="D36" s="8277" t="s">
        <v>4499</v>
      </c>
    </row>
    <row customHeight="1" ht="11.25">
      <c r="A37" s="8277" t="s">
        <v>1206</v>
      </c>
      <c r="B37" s="8277" t="s">
        <v>4556</v>
      </c>
      <c r="C37" s="8277" t="s">
        <v>4507</v>
      </c>
      <c r="D37" s="8277" t="s">
        <v>4557</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60598B7-0C54-F9CE-4DFA-2698CD8F7A1D}" mc:Ignorable="x14ac xr xr2 xr3">
  <sheetPr>
    <tabColor rgb="FFFFCC99"/>
  </sheetPr>
  <dimension ref="A1:A1"/>
  <sheetViews>
    <sheetView topLeftCell="A1"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15A2825-A9F2-5FB6-A92D-EB399BDBCC66}" mc:Ignorable="x14ac xr xr2 xr3">
  <sheetPr>
    <tabColor rgb="FFFFCC99"/>
  </sheetPr>
  <dimension ref="A1:B2"/>
  <sheetViews>
    <sheetView topLeftCell="A1" showGridLines="0" workbookViewId="0">
      <selection activeCell="A1" sqref="A1"/>
    </sheetView>
  </sheetViews>
  <sheetFormatPr defaultColWidth="9.140625" customHeight="1" defaultRowHeight="11.25"/>
  <cols>
    <col min="1" max="2" style="77" width="9.140625"/>
  </cols>
  <sheetData>
    <row customHeight="1" ht="11.25">
      <c r="A1" s="77" t="s">
        <v>207</v>
      </c>
      <c r="B1" s="77" t="s">
        <v>4558</v>
      </c>
    </row>
    <row customHeight="1" ht="11.25">
      <c r="A2" s="77" t="s">
        <v>98</v>
      </c>
      <c r="B2" s="77" t="s">
        <v>4559</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B9A7F85-F952-619A-590C-DC387D86DF84}" mc:Ignorable="x14ac xr xr2 xr3">
  <sheetPr>
    <tabColor rgb="FFFFCC99"/>
  </sheetPr>
  <dimension ref="A1:B11"/>
  <sheetViews>
    <sheetView topLeftCell="A1" showGridLines="0" workbookViewId="0">
      <selection activeCell="A1" sqref="A1"/>
    </sheetView>
  </sheetViews>
  <sheetFormatPr defaultColWidth="9.140625" customHeight="1" defaultRowHeight="11.25"/>
  <cols>
    <col min="1" max="1" style="11395" width="9.140625"/>
    <col min="2" max="2" style="11395" width="65.28125" customWidth="1"/>
  </cols>
  <sheetData>
    <row customHeight="1" ht="11.25">
      <c r="A1" s="1080" t="s">
        <v>4560</v>
      </c>
      <c r="B1" s="1080" t="s">
        <v>4561</v>
      </c>
    </row>
    <row customHeight="1" ht="11.25">
      <c r="A2" s="1080">
        <v>4213775</v>
      </c>
      <c r="B2" s="1080" t="s">
        <v>843</v>
      </c>
    </row>
    <row customHeight="1" ht="11.25">
      <c r="A3" s="1080">
        <v>4213784</v>
      </c>
      <c r="B3" s="1080" t="s">
        <v>878</v>
      </c>
    </row>
    <row customHeight="1" ht="11.25">
      <c r="A4" s="1080">
        <v>4213781</v>
      </c>
      <c r="B4" s="1080" t="s">
        <v>871</v>
      </c>
    </row>
    <row customHeight="1" ht="11.25">
      <c r="A5" s="1080">
        <v>4213776</v>
      </c>
      <c r="B5" s="1080" t="s">
        <v>239</v>
      </c>
    </row>
    <row customHeight="1" ht="11.25">
      <c r="A6" s="1080">
        <v>4213777</v>
      </c>
      <c r="B6" s="1080" t="s">
        <v>245</v>
      </c>
    </row>
    <row customHeight="1" ht="11.25">
      <c r="A7" s="1080">
        <v>4213778</v>
      </c>
      <c r="B7" s="1080" t="s">
        <v>251</v>
      </c>
    </row>
    <row customHeight="1" ht="11.25">
      <c r="A8" s="1080">
        <v>4213780</v>
      </c>
      <c r="B8" s="1080" t="s">
        <v>257</v>
      </c>
    </row>
    <row customHeight="1" ht="11.25">
      <c r="A9" s="1080">
        <v>4213779</v>
      </c>
      <c r="B9" s="1080" t="s">
        <v>1010</v>
      </c>
    </row>
    <row customHeight="1" ht="11.25">
      <c r="A10" s="1080">
        <v>4213783</v>
      </c>
      <c r="B10" s="1080" t="s">
        <v>1025</v>
      </c>
    </row>
    <row customHeight="1" ht="11.25">
      <c r="A11" s="1080">
        <v>4213782</v>
      </c>
      <c r="B11" s="1080" t="s">
        <v>266</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CEF687A-B6B3-9467-78CE-8D172DA5F06A}" mc:Ignorable="x14ac xr xr2 xr3">
  <sheetPr>
    <tabColor rgb="FFFFCC99"/>
  </sheetPr>
  <dimension ref="A1:B11"/>
  <sheetViews>
    <sheetView topLeftCell="A1" showGridLines="0" workbookViewId="0">
      <selection activeCell="A1" sqref="A1"/>
    </sheetView>
  </sheetViews>
  <sheetFormatPr defaultColWidth="9.140625" customHeight="1" defaultRowHeight="11.25"/>
  <cols>
    <col min="1" max="1" style="11395" width="9.140625"/>
    <col min="2" max="2" style="11395" width="65.28125" customWidth="1"/>
  </cols>
  <sheetData>
    <row customHeight="1" ht="11.25">
      <c r="A1" s="1080" t="s">
        <v>4560</v>
      </c>
      <c r="B1" s="1080" t="s">
        <v>4562</v>
      </c>
    </row>
    <row customHeight="1" ht="11.25">
      <c r="A2" s="1080" t="s">
        <v>119</v>
      </c>
      <c r="B2" s="1080" t="s">
        <v>1119</v>
      </c>
    </row>
    <row customHeight="1" ht="11.25">
      <c r="A3" s="1080" t="s">
        <v>4563</v>
      </c>
      <c r="B3" s="1080" t="s">
        <v>1128</v>
      </c>
    </row>
    <row customHeight="1" ht="11.25">
      <c r="A4" s="1080" t="s">
        <v>4564</v>
      </c>
      <c r="B4" s="1080" t="s">
        <v>1137</v>
      </c>
    </row>
    <row customHeight="1" ht="11.25">
      <c r="A5" s="1080" t="s">
        <v>4565</v>
      </c>
      <c r="B5" s="1080" t="s">
        <v>1146</v>
      </c>
    </row>
    <row customHeight="1" ht="11.25">
      <c r="A6" s="1080" t="s">
        <v>4566</v>
      </c>
      <c r="B6" s="1080" t="s">
        <v>1150</v>
      </c>
    </row>
    <row customHeight="1" ht="11.25">
      <c r="A7" s="1080" t="s">
        <v>4567</v>
      </c>
      <c r="B7" s="1080" t="s">
        <v>1156</v>
      </c>
    </row>
    <row customHeight="1" ht="11.25">
      <c r="A8" s="1080" t="s">
        <v>4568</v>
      </c>
      <c r="B8" s="1080" t="s">
        <v>1160</v>
      </c>
    </row>
    <row customHeight="1" ht="11.25">
      <c r="A9" s="1080" t="s">
        <v>4569</v>
      </c>
      <c r="B9" s="1080" t="s">
        <v>1164</v>
      </c>
    </row>
    <row customHeight="1" ht="11.25">
      <c r="A10" s="1080" t="s">
        <v>4570</v>
      </c>
      <c r="B10" s="1080" t="s">
        <v>1167</v>
      </c>
    </row>
    <row customHeight="1" ht="11.25">
      <c r="A11" s="1080" t="s">
        <v>4571</v>
      </c>
      <c r="B11" s="1080" t="s">
        <v>1173</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9F00D8E-AB07-867D-B8E9-E05347E40C95}" mc:Ignorable="x14ac xr xr2 xr3">
  <sheetPr>
    <tabColor rgb="FFFFCC99"/>
  </sheetPr>
  <dimension ref="A1:G353"/>
  <sheetViews>
    <sheetView topLeftCell="A1" showGridLines="0" workbookViewId="0">
      <selection activeCell="A1" sqref="A1"/>
    </sheetView>
  </sheetViews>
  <sheetFormatPr customHeight="1" defaultRowHeight="11.25"/>
  <sheetData>
    <row customHeight="1" ht="11.25">
      <c r="A1" s="598" t="s">
        <v>3497</v>
      </c>
      <c r="B1" s="598" t="s">
        <v>3498</v>
      </c>
      <c r="C1" s="598" t="s">
        <v>3499</v>
      </c>
      <c r="D1" s="598" t="s">
        <v>3500</v>
      </c>
      <c r="E1" s="0" t="s">
        <v>3501</v>
      </c>
      <c r="F1" s="0" t="s">
        <v>3502</v>
      </c>
      <c r="G1" s="0" t="s">
        <v>3503</v>
      </c>
    </row>
    <row customHeight="1" ht="11.25">
      <c r="A2" s="0" t="s">
        <v>14</v>
      </c>
      <c r="B2" s="0" t="s">
        <v>3504</v>
      </c>
      <c r="C2" s="0" t="s">
        <v>3505</v>
      </c>
      <c r="D2" s="0" t="s">
        <v>3504</v>
      </c>
      <c r="E2" s="0" t="s">
        <v>3505</v>
      </c>
      <c r="F2" s="0" t="s">
        <v>3506</v>
      </c>
      <c r="G2" s="0" t="s">
        <v>109</v>
      </c>
    </row>
    <row customHeight="1" ht="11.25">
      <c r="A3" s="0" t="s">
        <v>14</v>
      </c>
      <c r="B3" s="0" t="s">
        <v>3504</v>
      </c>
      <c r="C3" s="0" t="s">
        <v>3505</v>
      </c>
      <c r="D3" s="0" t="s">
        <v>3507</v>
      </c>
      <c r="E3" s="0" t="s">
        <v>3508</v>
      </c>
      <c r="F3" s="0" t="s">
        <v>3509</v>
      </c>
      <c r="G3" s="0" t="s">
        <v>110</v>
      </c>
    </row>
    <row customHeight="1" ht="11.25">
      <c r="A4" s="0" t="s">
        <v>14</v>
      </c>
      <c r="B4" s="0" t="s">
        <v>3504</v>
      </c>
      <c r="C4" s="0" t="s">
        <v>3505</v>
      </c>
      <c r="D4" s="0" t="s">
        <v>3510</v>
      </c>
      <c r="E4" s="0" t="s">
        <v>3511</v>
      </c>
      <c r="F4" s="0" t="s">
        <v>3509</v>
      </c>
      <c r="G4" s="0" t="s">
        <v>90</v>
      </c>
    </row>
    <row customHeight="1" ht="11.25">
      <c r="A5" s="0" t="s">
        <v>14</v>
      </c>
      <c r="B5" s="0" t="s">
        <v>3504</v>
      </c>
      <c r="C5" s="0" t="s">
        <v>3505</v>
      </c>
      <c r="D5" s="0" t="s">
        <v>3512</v>
      </c>
      <c r="E5" s="0" t="s">
        <v>3513</v>
      </c>
      <c r="F5" s="0" t="s">
        <v>3509</v>
      </c>
      <c r="G5" s="0" t="s">
        <v>91</v>
      </c>
    </row>
    <row customHeight="1" ht="11.25">
      <c r="A6" s="0" t="s">
        <v>14</v>
      </c>
      <c r="B6" s="0" t="s">
        <v>3504</v>
      </c>
      <c r="C6" s="0" t="s">
        <v>3505</v>
      </c>
      <c r="D6" s="0" t="s">
        <v>3514</v>
      </c>
      <c r="E6" s="0" t="s">
        <v>3515</v>
      </c>
      <c r="F6" s="0" t="s">
        <v>3509</v>
      </c>
      <c r="G6" s="0" t="s">
        <v>111</v>
      </c>
    </row>
    <row customHeight="1" ht="11.25">
      <c r="A7" s="0" t="s">
        <v>14</v>
      </c>
      <c r="B7" s="0" t="s">
        <v>3504</v>
      </c>
      <c r="C7" s="0" t="s">
        <v>3505</v>
      </c>
      <c r="D7" s="0" t="s">
        <v>3516</v>
      </c>
      <c r="E7" s="0" t="s">
        <v>3517</v>
      </c>
      <c r="F7" s="0" t="s">
        <v>3509</v>
      </c>
      <c r="G7" s="0" t="s">
        <v>92</v>
      </c>
    </row>
    <row customHeight="1" ht="11.25">
      <c r="A8" s="0" t="s">
        <v>14</v>
      </c>
      <c r="B8" s="0" t="s">
        <v>3518</v>
      </c>
      <c r="C8" s="0" t="s">
        <v>3519</v>
      </c>
      <c r="D8" s="0" t="s">
        <v>3518</v>
      </c>
      <c r="E8" s="0" t="s">
        <v>3519</v>
      </c>
      <c r="F8" s="0" t="s">
        <v>3506</v>
      </c>
      <c r="G8" s="0" t="s">
        <v>93</v>
      </c>
    </row>
    <row customHeight="1" ht="11.25">
      <c r="A9" s="0" t="s">
        <v>14</v>
      </c>
      <c r="B9" s="0" t="s">
        <v>3518</v>
      </c>
      <c r="C9" s="0" t="s">
        <v>3519</v>
      </c>
      <c r="D9" s="0" t="s">
        <v>3520</v>
      </c>
      <c r="E9" s="0" t="s">
        <v>3521</v>
      </c>
      <c r="F9" s="0" t="s">
        <v>3522</v>
      </c>
      <c r="G9" s="0" t="s">
        <v>112</v>
      </c>
    </row>
    <row customHeight="1" ht="11.25">
      <c r="A10" s="0" t="s">
        <v>14</v>
      </c>
      <c r="B10" s="0" t="s">
        <v>3518</v>
      </c>
      <c r="C10" s="0" t="s">
        <v>3519</v>
      </c>
      <c r="D10" s="0" t="s">
        <v>3523</v>
      </c>
      <c r="E10" s="0" t="s">
        <v>3524</v>
      </c>
      <c r="F10" s="0" t="s">
        <v>3522</v>
      </c>
      <c r="G10" s="0" t="s">
        <v>136</v>
      </c>
    </row>
    <row customHeight="1" ht="11.25">
      <c r="A11" s="0" t="s">
        <v>14</v>
      </c>
      <c r="B11" s="0" t="s">
        <v>3518</v>
      </c>
      <c r="C11" s="0" t="s">
        <v>3519</v>
      </c>
      <c r="D11" s="0" t="s">
        <v>3525</v>
      </c>
      <c r="E11" s="0" t="s">
        <v>3526</v>
      </c>
      <c r="F11" s="0" t="s">
        <v>3509</v>
      </c>
      <c r="G11" s="0" t="s">
        <v>139</v>
      </c>
    </row>
    <row customHeight="1" ht="11.25">
      <c r="A12" s="0" t="s">
        <v>14</v>
      </c>
      <c r="B12" s="0" t="s">
        <v>3518</v>
      </c>
      <c r="C12" s="0" t="s">
        <v>3519</v>
      </c>
      <c r="D12" s="0" t="s">
        <v>3527</v>
      </c>
      <c r="E12" s="0" t="s">
        <v>3528</v>
      </c>
      <c r="F12" s="0" t="s">
        <v>3509</v>
      </c>
      <c r="G12" s="0" t="s">
        <v>142</v>
      </c>
    </row>
    <row customHeight="1" ht="11.25">
      <c r="A13" s="0" t="s">
        <v>14</v>
      </c>
      <c r="B13" s="0" t="s">
        <v>3518</v>
      </c>
      <c r="C13" s="0" t="s">
        <v>3519</v>
      </c>
      <c r="D13" s="0" t="s">
        <v>3529</v>
      </c>
      <c r="E13" s="0" t="s">
        <v>3530</v>
      </c>
      <c r="F13" s="0" t="s">
        <v>3509</v>
      </c>
      <c r="G13" s="0" t="s">
        <v>145</v>
      </c>
    </row>
    <row customHeight="1" ht="11.25">
      <c r="A14" s="0" t="s">
        <v>14</v>
      </c>
      <c r="B14" s="0" t="s">
        <v>3518</v>
      </c>
      <c r="C14" s="0" t="s">
        <v>3519</v>
      </c>
      <c r="D14" s="0" t="s">
        <v>3531</v>
      </c>
      <c r="E14" s="0" t="s">
        <v>3532</v>
      </c>
      <c r="F14" s="0" t="s">
        <v>3509</v>
      </c>
      <c r="G14" s="0" t="s">
        <v>148</v>
      </c>
    </row>
    <row customHeight="1" ht="11.25">
      <c r="A15" s="0" t="s">
        <v>14</v>
      </c>
      <c r="B15" s="0" t="s">
        <v>3518</v>
      </c>
      <c r="C15" s="0" t="s">
        <v>3519</v>
      </c>
      <c r="D15" s="0" t="s">
        <v>3533</v>
      </c>
      <c r="E15" s="0" t="s">
        <v>3534</v>
      </c>
      <c r="F15" s="0" t="s">
        <v>3509</v>
      </c>
      <c r="G15" s="0" t="s">
        <v>151</v>
      </c>
    </row>
    <row customHeight="1" ht="11.25">
      <c r="A16" s="0" t="s">
        <v>14</v>
      </c>
      <c r="B16" s="0" t="s">
        <v>3518</v>
      </c>
      <c r="C16" s="0" t="s">
        <v>3519</v>
      </c>
      <c r="D16" s="0" t="s">
        <v>3535</v>
      </c>
      <c r="E16" s="0" t="s">
        <v>3536</v>
      </c>
      <c r="F16" s="0" t="s">
        <v>3509</v>
      </c>
      <c r="G16" s="0" t="s">
        <v>154</v>
      </c>
    </row>
    <row customHeight="1" ht="11.25">
      <c r="A17" s="0" t="s">
        <v>14</v>
      </c>
      <c r="B17" s="0" t="s">
        <v>3518</v>
      </c>
      <c r="C17" s="0" t="s">
        <v>3519</v>
      </c>
      <c r="D17" s="0" t="s">
        <v>3537</v>
      </c>
      <c r="E17" s="0" t="s">
        <v>3538</v>
      </c>
      <c r="F17" s="0" t="s">
        <v>3509</v>
      </c>
      <c r="G17" s="0" t="s">
        <v>157</v>
      </c>
    </row>
    <row customHeight="1" ht="11.25">
      <c r="A18" s="0" t="s">
        <v>14</v>
      </c>
      <c r="B18" s="0" t="s">
        <v>3518</v>
      </c>
      <c r="C18" s="0" t="s">
        <v>3519</v>
      </c>
      <c r="D18" s="0" t="s">
        <v>3539</v>
      </c>
      <c r="E18" s="0" t="s">
        <v>3540</v>
      </c>
      <c r="F18" s="0" t="s">
        <v>3509</v>
      </c>
      <c r="G18" s="0" t="s">
        <v>160</v>
      </c>
    </row>
    <row customHeight="1" ht="11.25">
      <c r="A19" s="0" t="s">
        <v>14</v>
      </c>
      <c r="B19" s="0" t="s">
        <v>3518</v>
      </c>
      <c r="C19" s="0" t="s">
        <v>3519</v>
      </c>
      <c r="D19" s="0" t="s">
        <v>3541</v>
      </c>
      <c r="E19" s="0" t="s">
        <v>3542</v>
      </c>
      <c r="F19" s="0" t="s">
        <v>3509</v>
      </c>
      <c r="G19" s="0" t="s">
        <v>163</v>
      </c>
    </row>
    <row customHeight="1" ht="11.25">
      <c r="A20" s="0" t="s">
        <v>14</v>
      </c>
      <c r="B20" s="0" t="s">
        <v>3518</v>
      </c>
      <c r="C20" s="0" t="s">
        <v>3519</v>
      </c>
      <c r="D20" s="0" t="s">
        <v>3543</v>
      </c>
      <c r="E20" s="0" t="s">
        <v>3544</v>
      </c>
      <c r="F20" s="0" t="s">
        <v>3509</v>
      </c>
      <c r="G20" s="0" t="s">
        <v>166</v>
      </c>
    </row>
    <row customHeight="1" ht="11.25">
      <c r="A21" s="0" t="s">
        <v>14</v>
      </c>
      <c r="B21" s="0" t="s">
        <v>3518</v>
      </c>
      <c r="C21" s="0" t="s">
        <v>3519</v>
      </c>
      <c r="D21" s="0" t="s">
        <v>3545</v>
      </c>
      <c r="E21" s="0" t="s">
        <v>3546</v>
      </c>
      <c r="F21" s="0" t="s">
        <v>3509</v>
      </c>
      <c r="G21" s="0" t="s">
        <v>169</v>
      </c>
    </row>
    <row customHeight="1" ht="11.25">
      <c r="A22" s="0" t="s">
        <v>14</v>
      </c>
      <c r="B22" s="0" t="s">
        <v>3547</v>
      </c>
      <c r="C22" s="0" t="s">
        <v>3548</v>
      </c>
      <c r="D22" s="0" t="s">
        <v>3547</v>
      </c>
      <c r="E22" s="0" t="s">
        <v>3548</v>
      </c>
      <c r="F22" s="0" t="s">
        <v>3506</v>
      </c>
      <c r="G22" s="0" t="s">
        <v>172</v>
      </c>
    </row>
    <row customHeight="1" ht="11.25">
      <c r="A23" s="0" t="s">
        <v>14</v>
      </c>
      <c r="B23" s="0" t="s">
        <v>3547</v>
      </c>
      <c r="C23" s="0" t="s">
        <v>3548</v>
      </c>
      <c r="D23" s="0" t="s">
        <v>3549</v>
      </c>
      <c r="E23" s="0" t="s">
        <v>3550</v>
      </c>
      <c r="F23" s="0" t="s">
        <v>3509</v>
      </c>
      <c r="G23" s="0" t="s">
        <v>175</v>
      </c>
    </row>
    <row customHeight="1" ht="11.25">
      <c r="A24" s="0" t="s">
        <v>14</v>
      </c>
      <c r="B24" s="0" t="s">
        <v>3547</v>
      </c>
      <c r="C24" s="0" t="s">
        <v>3548</v>
      </c>
      <c r="D24" s="0" t="s">
        <v>3551</v>
      </c>
      <c r="E24" s="0" t="s">
        <v>3552</v>
      </c>
      <c r="F24" s="0" t="s">
        <v>3509</v>
      </c>
      <c r="G24" s="0" t="s">
        <v>178</v>
      </c>
    </row>
    <row customHeight="1" ht="11.25">
      <c r="A25" s="0" t="s">
        <v>14</v>
      </c>
      <c r="B25" s="0" t="s">
        <v>3547</v>
      </c>
      <c r="C25" s="0" t="s">
        <v>3548</v>
      </c>
      <c r="D25" s="0" t="s">
        <v>3553</v>
      </c>
      <c r="E25" s="0" t="s">
        <v>3554</v>
      </c>
      <c r="F25" s="0" t="s">
        <v>3509</v>
      </c>
      <c r="G25" s="0" t="s">
        <v>181</v>
      </c>
    </row>
    <row customHeight="1" ht="11.25">
      <c r="A26" s="0" t="s">
        <v>14</v>
      </c>
      <c r="B26" s="0" t="s">
        <v>3547</v>
      </c>
      <c r="C26" s="0" t="s">
        <v>3548</v>
      </c>
      <c r="D26" s="0" t="s">
        <v>3555</v>
      </c>
      <c r="E26" s="0" t="s">
        <v>3556</v>
      </c>
      <c r="F26" s="0" t="s">
        <v>3509</v>
      </c>
      <c r="G26" s="0" t="s">
        <v>184</v>
      </c>
    </row>
    <row customHeight="1" ht="11.25">
      <c r="A27" s="0" t="s">
        <v>14</v>
      </c>
      <c r="B27" s="0" t="s">
        <v>3547</v>
      </c>
      <c r="C27" s="0" t="s">
        <v>3548</v>
      </c>
      <c r="D27" s="0" t="s">
        <v>3557</v>
      </c>
      <c r="E27" s="0" t="s">
        <v>3558</v>
      </c>
      <c r="F27" s="0" t="s">
        <v>3509</v>
      </c>
      <c r="G27" s="0" t="s">
        <v>187</v>
      </c>
    </row>
    <row customHeight="1" ht="11.25">
      <c r="A28" s="0" t="s">
        <v>14</v>
      </c>
      <c r="B28" s="0" t="s">
        <v>3559</v>
      </c>
      <c r="C28" s="0" t="s">
        <v>3560</v>
      </c>
      <c r="D28" s="0" t="s">
        <v>3559</v>
      </c>
      <c r="E28" s="0" t="s">
        <v>3560</v>
      </c>
      <c r="F28" s="0" t="s">
        <v>3506</v>
      </c>
      <c r="G28" s="0" t="s">
        <v>190</v>
      </c>
    </row>
    <row customHeight="1" ht="11.25">
      <c r="A29" s="0" t="s">
        <v>14</v>
      </c>
      <c r="B29" s="0" t="s">
        <v>3559</v>
      </c>
      <c r="C29" s="0" t="s">
        <v>3560</v>
      </c>
      <c r="D29" s="0" t="s">
        <v>3561</v>
      </c>
      <c r="E29" s="0" t="s">
        <v>3562</v>
      </c>
      <c r="F29" s="0" t="s">
        <v>3509</v>
      </c>
      <c r="G29" s="0" t="s">
        <v>193</v>
      </c>
    </row>
    <row customHeight="1" ht="11.25">
      <c r="A30" s="0" t="s">
        <v>14</v>
      </c>
      <c r="B30" s="0" t="s">
        <v>3559</v>
      </c>
      <c r="C30" s="0" t="s">
        <v>3560</v>
      </c>
      <c r="D30" s="0" t="s">
        <v>3563</v>
      </c>
      <c r="E30" s="0" t="s">
        <v>3564</v>
      </c>
      <c r="F30" s="0" t="s">
        <v>3509</v>
      </c>
      <c r="G30" s="0" t="s">
        <v>1180</v>
      </c>
    </row>
    <row customHeight="1" ht="11.25">
      <c r="A31" s="0" t="s">
        <v>14</v>
      </c>
      <c r="B31" s="0" t="s">
        <v>3559</v>
      </c>
      <c r="C31" s="0" t="s">
        <v>3560</v>
      </c>
      <c r="D31" s="0" t="s">
        <v>3565</v>
      </c>
      <c r="E31" s="0" t="s">
        <v>3566</v>
      </c>
      <c r="F31" s="0" t="s">
        <v>3509</v>
      </c>
      <c r="G31" s="0" t="s">
        <v>1186</v>
      </c>
    </row>
    <row customHeight="1" ht="11.25">
      <c r="A32" s="0" t="s">
        <v>14</v>
      </c>
      <c r="B32" s="0" t="s">
        <v>3559</v>
      </c>
      <c r="C32" s="0" t="s">
        <v>3560</v>
      </c>
      <c r="D32" s="0" t="s">
        <v>3567</v>
      </c>
      <c r="E32" s="0" t="s">
        <v>3568</v>
      </c>
      <c r="F32" s="0" t="s">
        <v>3509</v>
      </c>
      <c r="G32" s="0" t="s">
        <v>1188</v>
      </c>
    </row>
    <row customHeight="1" ht="11.25">
      <c r="A33" s="0" t="s">
        <v>14</v>
      </c>
      <c r="B33" s="0" t="s">
        <v>3559</v>
      </c>
      <c r="C33" s="0" t="s">
        <v>3560</v>
      </c>
      <c r="D33" s="0" t="s">
        <v>3569</v>
      </c>
      <c r="E33" s="0" t="s">
        <v>3570</v>
      </c>
      <c r="F33" s="0" t="s">
        <v>3509</v>
      </c>
      <c r="G33" s="0" t="s">
        <v>1190</v>
      </c>
    </row>
    <row customHeight="1" ht="11.25">
      <c r="A34" s="0" t="s">
        <v>14</v>
      </c>
      <c r="B34" s="0" t="s">
        <v>3559</v>
      </c>
      <c r="C34" s="0" t="s">
        <v>3560</v>
      </c>
      <c r="D34" s="0" t="s">
        <v>3571</v>
      </c>
      <c r="E34" s="0" t="s">
        <v>3572</v>
      </c>
      <c r="F34" s="0" t="s">
        <v>3509</v>
      </c>
      <c r="G34" s="0" t="s">
        <v>1192</v>
      </c>
    </row>
    <row customHeight="1" ht="11.25">
      <c r="A35" s="0" t="s">
        <v>14</v>
      </c>
      <c r="B35" s="0" t="s">
        <v>3559</v>
      </c>
      <c r="C35" s="0" t="s">
        <v>3560</v>
      </c>
      <c r="D35" s="0" t="s">
        <v>3573</v>
      </c>
      <c r="E35" s="0" t="s">
        <v>3574</v>
      </c>
      <c r="F35" s="0" t="s">
        <v>3509</v>
      </c>
      <c r="G35" s="0" t="s">
        <v>1197</v>
      </c>
    </row>
    <row customHeight="1" ht="11.25">
      <c r="A36" s="0" t="s">
        <v>14</v>
      </c>
      <c r="B36" s="0" t="s">
        <v>3559</v>
      </c>
      <c r="C36" s="0" t="s">
        <v>3560</v>
      </c>
      <c r="D36" s="0" t="s">
        <v>3575</v>
      </c>
      <c r="E36" s="0" t="s">
        <v>3576</v>
      </c>
      <c r="F36" s="0" t="s">
        <v>3509</v>
      </c>
      <c r="G36" s="0" t="s">
        <v>1202</v>
      </c>
    </row>
    <row customHeight="1" ht="11.25">
      <c r="A37" s="0" t="s">
        <v>14</v>
      </c>
      <c r="B37" s="0" t="s">
        <v>3577</v>
      </c>
      <c r="C37" s="0" t="s">
        <v>3578</v>
      </c>
      <c r="D37" s="0" t="s">
        <v>3577</v>
      </c>
      <c r="E37" s="0" t="s">
        <v>3578</v>
      </c>
      <c r="F37" s="0" t="s">
        <v>3506</v>
      </c>
      <c r="G37" s="0" t="s">
        <v>1206</v>
      </c>
    </row>
    <row customHeight="1" ht="11.25">
      <c r="A38" s="0" t="s">
        <v>14</v>
      </c>
      <c r="B38" s="0" t="s">
        <v>3577</v>
      </c>
      <c r="C38" s="0" t="s">
        <v>3578</v>
      </c>
      <c r="D38" s="0" t="s">
        <v>3579</v>
      </c>
      <c r="E38" s="0" t="s">
        <v>3580</v>
      </c>
      <c r="F38" s="0" t="s">
        <v>3509</v>
      </c>
      <c r="G38" s="0" t="s">
        <v>1214</v>
      </c>
    </row>
    <row customHeight="1" ht="11.25">
      <c r="A39" s="0" t="s">
        <v>14</v>
      </c>
      <c r="B39" s="0" t="s">
        <v>3577</v>
      </c>
      <c r="C39" s="0" t="s">
        <v>3578</v>
      </c>
      <c r="D39" s="0" t="s">
        <v>3581</v>
      </c>
      <c r="E39" s="0" t="s">
        <v>3582</v>
      </c>
      <c r="F39" s="0" t="s">
        <v>3509</v>
      </c>
      <c r="G39" s="0" t="s">
        <v>1220</v>
      </c>
    </row>
    <row customHeight="1" ht="11.25">
      <c r="A40" s="0" t="s">
        <v>14</v>
      </c>
      <c r="B40" s="0" t="s">
        <v>3577</v>
      </c>
      <c r="C40" s="0" t="s">
        <v>3578</v>
      </c>
      <c r="D40" s="0" t="s">
        <v>3583</v>
      </c>
      <c r="E40" s="0" t="s">
        <v>3584</v>
      </c>
      <c r="F40" s="0" t="s">
        <v>3509</v>
      </c>
      <c r="G40" s="0" t="s">
        <v>1226</v>
      </c>
    </row>
    <row customHeight="1" ht="11.25">
      <c r="A41" s="0" t="s">
        <v>14</v>
      </c>
      <c r="B41" s="0" t="s">
        <v>3577</v>
      </c>
      <c r="C41" s="0" t="s">
        <v>3578</v>
      </c>
      <c r="D41" s="0" t="s">
        <v>3585</v>
      </c>
      <c r="E41" s="0" t="s">
        <v>3586</v>
      </c>
      <c r="F41" s="0" t="s">
        <v>3509</v>
      </c>
      <c r="G41" s="0" t="s">
        <v>1232</v>
      </c>
    </row>
    <row customHeight="1" ht="11.25">
      <c r="A42" s="0" t="s">
        <v>14</v>
      </c>
      <c r="B42" s="0" t="s">
        <v>3577</v>
      </c>
      <c r="C42" s="0" t="s">
        <v>3578</v>
      </c>
      <c r="D42" s="0" t="s">
        <v>3587</v>
      </c>
      <c r="E42" s="0" t="s">
        <v>3588</v>
      </c>
      <c r="F42" s="0" t="s">
        <v>3509</v>
      </c>
      <c r="G42" s="0" t="s">
        <v>1237</v>
      </c>
    </row>
    <row customHeight="1" ht="11.25">
      <c r="A43" s="0" t="s">
        <v>14</v>
      </c>
      <c r="B43" s="0" t="s">
        <v>3577</v>
      </c>
      <c r="C43" s="0" t="s">
        <v>3578</v>
      </c>
      <c r="D43" s="0" t="s">
        <v>3589</v>
      </c>
      <c r="E43" s="0" t="s">
        <v>3590</v>
      </c>
      <c r="F43" s="0" t="s">
        <v>3509</v>
      </c>
      <c r="G43" s="0" t="s">
        <v>1244</v>
      </c>
    </row>
    <row customHeight="1" ht="11.25">
      <c r="A44" s="0" t="s">
        <v>14</v>
      </c>
      <c r="B44" s="0" t="s">
        <v>3577</v>
      </c>
      <c r="C44" s="0" t="s">
        <v>3578</v>
      </c>
      <c r="D44" s="0" t="s">
        <v>3591</v>
      </c>
      <c r="E44" s="0" t="s">
        <v>3592</v>
      </c>
      <c r="F44" s="0" t="s">
        <v>3509</v>
      </c>
      <c r="G44" s="0" t="s">
        <v>1253</v>
      </c>
    </row>
    <row customHeight="1" ht="11.25">
      <c r="A45" s="0" t="s">
        <v>14</v>
      </c>
      <c r="B45" s="0" t="s">
        <v>3577</v>
      </c>
      <c r="C45" s="0" t="s">
        <v>3578</v>
      </c>
      <c r="D45" s="0" t="s">
        <v>3593</v>
      </c>
      <c r="E45" s="0" t="s">
        <v>3594</v>
      </c>
      <c r="F45" s="0" t="s">
        <v>3509</v>
      </c>
      <c r="G45" s="0" t="s">
        <v>1259</v>
      </c>
    </row>
    <row customHeight="1" ht="11.25">
      <c r="A46" s="0" t="s">
        <v>14</v>
      </c>
      <c r="B46" s="0" t="s">
        <v>3577</v>
      </c>
      <c r="C46" s="0" t="s">
        <v>3578</v>
      </c>
      <c r="D46" s="0" t="s">
        <v>3595</v>
      </c>
      <c r="E46" s="0" t="s">
        <v>3596</v>
      </c>
      <c r="F46" s="0" t="s">
        <v>3509</v>
      </c>
      <c r="G46" s="0" t="s">
        <v>539</v>
      </c>
    </row>
    <row customHeight="1" ht="11.25">
      <c r="A47" s="0" t="s">
        <v>14</v>
      </c>
      <c r="B47" s="0" t="s">
        <v>3597</v>
      </c>
      <c r="C47" s="0" t="s">
        <v>3598</v>
      </c>
      <c r="D47" s="0" t="s">
        <v>3597</v>
      </c>
      <c r="E47" s="0" t="s">
        <v>3598</v>
      </c>
      <c r="F47" s="0" t="s">
        <v>3506</v>
      </c>
      <c r="G47" s="0" t="s">
        <v>1268</v>
      </c>
    </row>
    <row customHeight="1" ht="11.25">
      <c r="A48" s="0" t="s">
        <v>14</v>
      </c>
      <c r="B48" s="0" t="s">
        <v>3597</v>
      </c>
      <c r="C48" s="0" t="s">
        <v>3598</v>
      </c>
      <c r="D48" s="0" t="s">
        <v>3599</v>
      </c>
      <c r="E48" s="0" t="s">
        <v>3600</v>
      </c>
      <c r="F48" s="0" t="s">
        <v>3509</v>
      </c>
      <c r="G48" s="0" t="s">
        <v>782</v>
      </c>
    </row>
    <row customHeight="1" ht="11.25">
      <c r="A49" s="0" t="s">
        <v>14</v>
      </c>
      <c r="B49" s="0" t="s">
        <v>3597</v>
      </c>
      <c r="C49" s="0" t="s">
        <v>3598</v>
      </c>
      <c r="D49" s="0" t="s">
        <v>3601</v>
      </c>
      <c r="E49" s="0" t="s">
        <v>3602</v>
      </c>
      <c r="F49" s="0" t="s">
        <v>3509</v>
      </c>
      <c r="G49" s="0" t="s">
        <v>1277</v>
      </c>
    </row>
    <row customHeight="1" ht="11.25">
      <c r="A50" s="0" t="s">
        <v>14</v>
      </c>
      <c r="B50" s="0" t="s">
        <v>3597</v>
      </c>
      <c r="C50" s="0" t="s">
        <v>3598</v>
      </c>
      <c r="D50" s="0" t="s">
        <v>3603</v>
      </c>
      <c r="E50" s="0" t="s">
        <v>3604</v>
      </c>
      <c r="F50" s="0" t="s">
        <v>3509</v>
      </c>
      <c r="G50" s="0" t="s">
        <v>1281</v>
      </c>
    </row>
    <row customHeight="1" ht="11.25">
      <c r="A51" s="0" t="s">
        <v>14</v>
      </c>
      <c r="B51" s="0" t="s">
        <v>3597</v>
      </c>
      <c r="C51" s="0" t="s">
        <v>3598</v>
      </c>
      <c r="D51" s="0" t="s">
        <v>3605</v>
      </c>
      <c r="E51" s="0" t="s">
        <v>3606</v>
      </c>
      <c r="F51" s="0" t="s">
        <v>3509</v>
      </c>
      <c r="G51" s="0" t="s">
        <v>1285</v>
      </c>
    </row>
    <row customHeight="1" ht="11.25">
      <c r="A52" s="0" t="s">
        <v>14</v>
      </c>
      <c r="B52" s="0" t="s">
        <v>3597</v>
      </c>
      <c r="C52" s="0" t="s">
        <v>3598</v>
      </c>
      <c r="D52" s="0" t="s">
        <v>3607</v>
      </c>
      <c r="E52" s="0" t="s">
        <v>3608</v>
      </c>
      <c r="F52" s="0" t="s">
        <v>3509</v>
      </c>
      <c r="G52" s="0" t="s">
        <v>1289</v>
      </c>
    </row>
    <row customHeight="1" ht="11.25">
      <c r="A53" s="0" t="s">
        <v>14</v>
      </c>
      <c r="B53" s="0" t="s">
        <v>3597</v>
      </c>
      <c r="C53" s="0" t="s">
        <v>3598</v>
      </c>
      <c r="D53" s="0" t="s">
        <v>3609</v>
      </c>
      <c r="E53" s="0" t="s">
        <v>3610</v>
      </c>
      <c r="F53" s="0" t="s">
        <v>3509</v>
      </c>
      <c r="G53" s="0" t="s">
        <v>1291</v>
      </c>
    </row>
    <row customHeight="1" ht="11.25">
      <c r="A54" s="0" t="s">
        <v>14</v>
      </c>
      <c r="B54" s="0" t="s">
        <v>3597</v>
      </c>
      <c r="C54" s="0" t="s">
        <v>3598</v>
      </c>
      <c r="D54" s="0" t="s">
        <v>3611</v>
      </c>
      <c r="E54" s="0" t="s">
        <v>3612</v>
      </c>
      <c r="F54" s="0" t="s">
        <v>3509</v>
      </c>
      <c r="G54" s="0" t="s">
        <v>1294</v>
      </c>
    </row>
    <row customHeight="1" ht="11.25">
      <c r="A55" s="0" t="s">
        <v>14</v>
      </c>
      <c r="B55" s="0" t="s">
        <v>3597</v>
      </c>
      <c r="C55" s="0" t="s">
        <v>3598</v>
      </c>
      <c r="D55" s="0" t="s">
        <v>3613</v>
      </c>
      <c r="E55" s="0" t="s">
        <v>3614</v>
      </c>
      <c r="F55" s="0" t="s">
        <v>3509</v>
      </c>
      <c r="G55" s="0" t="s">
        <v>1298</v>
      </c>
    </row>
    <row customHeight="1" ht="11.25">
      <c r="A56" s="0" t="s">
        <v>14</v>
      </c>
      <c r="B56" s="0" t="s">
        <v>3597</v>
      </c>
      <c r="C56" s="0" t="s">
        <v>3598</v>
      </c>
      <c r="D56" s="0" t="s">
        <v>3615</v>
      </c>
      <c r="E56" s="0" t="s">
        <v>3616</v>
      </c>
      <c r="F56" s="0" t="s">
        <v>3509</v>
      </c>
      <c r="G56" s="0" t="s">
        <v>1301</v>
      </c>
    </row>
    <row customHeight="1" ht="11.25">
      <c r="A57" s="0" t="s">
        <v>14</v>
      </c>
      <c r="B57" s="0" t="s">
        <v>3597</v>
      </c>
      <c r="C57" s="0" t="s">
        <v>3598</v>
      </c>
      <c r="D57" s="0" t="s">
        <v>3617</v>
      </c>
      <c r="E57" s="0" t="s">
        <v>3618</v>
      </c>
      <c r="F57" s="0" t="s">
        <v>3509</v>
      </c>
      <c r="G57" s="0" t="s">
        <v>1304</v>
      </c>
    </row>
    <row customHeight="1" ht="11.25">
      <c r="A58" s="0" t="s">
        <v>14</v>
      </c>
      <c r="B58" s="0" t="s">
        <v>3597</v>
      </c>
      <c r="C58" s="0" t="s">
        <v>3598</v>
      </c>
      <c r="D58" s="0" t="s">
        <v>3619</v>
      </c>
      <c r="E58" s="0" t="s">
        <v>3620</v>
      </c>
      <c r="F58" s="0" t="s">
        <v>3509</v>
      </c>
      <c r="G58" s="0" t="s">
        <v>1307</v>
      </c>
    </row>
    <row customHeight="1" ht="11.25">
      <c r="A59" s="0" t="s">
        <v>14</v>
      </c>
      <c r="B59" s="0" t="s">
        <v>3597</v>
      </c>
      <c r="C59" s="0" t="s">
        <v>3598</v>
      </c>
      <c r="D59" s="0" t="s">
        <v>3621</v>
      </c>
      <c r="E59" s="0" t="s">
        <v>3622</v>
      </c>
      <c r="F59" s="0" t="s">
        <v>3509</v>
      </c>
      <c r="G59" s="0" t="s">
        <v>1311</v>
      </c>
    </row>
    <row customHeight="1" ht="11.25">
      <c r="A60" s="0" t="s">
        <v>14</v>
      </c>
      <c r="B60" s="0" t="s">
        <v>3597</v>
      </c>
      <c r="C60" s="0" t="s">
        <v>3598</v>
      </c>
      <c r="D60" s="0" t="s">
        <v>3623</v>
      </c>
      <c r="E60" s="0" t="s">
        <v>3624</v>
      </c>
      <c r="F60" s="0" t="s">
        <v>3509</v>
      </c>
      <c r="G60" s="0" t="s">
        <v>1314</v>
      </c>
    </row>
    <row customHeight="1" ht="11.25">
      <c r="A61" s="0" t="s">
        <v>14</v>
      </c>
      <c r="B61" s="0" t="s">
        <v>3625</v>
      </c>
      <c r="C61" s="0" t="s">
        <v>3626</v>
      </c>
      <c r="D61" s="0" t="s">
        <v>3625</v>
      </c>
      <c r="E61" s="0" t="s">
        <v>3626</v>
      </c>
      <c r="F61" s="0" t="s">
        <v>3506</v>
      </c>
      <c r="G61" s="0" t="s">
        <v>3627</v>
      </c>
    </row>
    <row customHeight="1" ht="11.25">
      <c r="A62" s="0" t="s">
        <v>14</v>
      </c>
      <c r="B62" s="0" t="s">
        <v>3625</v>
      </c>
      <c r="C62" s="0" t="s">
        <v>3626</v>
      </c>
      <c r="D62" s="0" t="s">
        <v>3628</v>
      </c>
      <c r="E62" s="0" t="s">
        <v>3629</v>
      </c>
      <c r="F62" s="0" t="s">
        <v>3522</v>
      </c>
      <c r="G62" s="0" t="s">
        <v>3630</v>
      </c>
    </row>
    <row customHeight="1" ht="11.25">
      <c r="A63" s="0" t="s">
        <v>14</v>
      </c>
      <c r="B63" s="0" t="s">
        <v>3625</v>
      </c>
      <c r="C63" s="0" t="s">
        <v>3626</v>
      </c>
      <c r="D63" s="0" t="s">
        <v>3631</v>
      </c>
      <c r="E63" s="0" t="s">
        <v>3632</v>
      </c>
      <c r="F63" s="0" t="s">
        <v>3522</v>
      </c>
      <c r="G63" s="0" t="s">
        <v>3633</v>
      </c>
    </row>
    <row customHeight="1" ht="11.25">
      <c r="A64" s="0" t="s">
        <v>14</v>
      </c>
      <c r="B64" s="0" t="s">
        <v>3625</v>
      </c>
      <c r="C64" s="0" t="s">
        <v>3626</v>
      </c>
      <c r="D64" s="0" t="s">
        <v>3634</v>
      </c>
      <c r="E64" s="0" t="s">
        <v>3635</v>
      </c>
      <c r="F64" s="0" t="s">
        <v>3522</v>
      </c>
      <c r="G64" s="0" t="s">
        <v>3636</v>
      </c>
    </row>
    <row customHeight="1" ht="11.25">
      <c r="A65" s="0" t="s">
        <v>14</v>
      </c>
      <c r="B65" s="0" t="s">
        <v>3625</v>
      </c>
      <c r="C65" s="0" t="s">
        <v>3626</v>
      </c>
      <c r="D65" s="0" t="s">
        <v>3637</v>
      </c>
      <c r="E65" s="0" t="s">
        <v>3638</v>
      </c>
      <c r="F65" s="0" t="s">
        <v>3509</v>
      </c>
      <c r="G65" s="0" t="s">
        <v>3639</v>
      </c>
    </row>
    <row customHeight="1" ht="11.25">
      <c r="A66" s="0" t="s">
        <v>14</v>
      </c>
      <c r="B66" s="0" t="s">
        <v>3625</v>
      </c>
      <c r="C66" s="0" t="s">
        <v>3626</v>
      </c>
      <c r="D66" s="0" t="s">
        <v>3640</v>
      </c>
      <c r="E66" s="0" t="s">
        <v>3641</v>
      </c>
      <c r="F66" s="0" t="s">
        <v>3509</v>
      </c>
      <c r="G66" s="0" t="s">
        <v>3642</v>
      </c>
    </row>
    <row customHeight="1" ht="11.25">
      <c r="A67" s="0" t="s">
        <v>14</v>
      </c>
      <c r="B67" s="0" t="s">
        <v>3625</v>
      </c>
      <c r="C67" s="0" t="s">
        <v>3626</v>
      </c>
      <c r="D67" s="0" t="s">
        <v>3643</v>
      </c>
      <c r="E67" s="0" t="s">
        <v>3644</v>
      </c>
      <c r="F67" s="0" t="s">
        <v>3509</v>
      </c>
      <c r="G67" s="0" t="s">
        <v>540</v>
      </c>
    </row>
    <row customHeight="1" ht="11.25">
      <c r="A68" s="0" t="s">
        <v>14</v>
      </c>
      <c r="B68" s="0" t="s">
        <v>3625</v>
      </c>
      <c r="C68" s="0" t="s">
        <v>3626</v>
      </c>
      <c r="D68" s="0" t="s">
        <v>3645</v>
      </c>
      <c r="E68" s="0" t="s">
        <v>3646</v>
      </c>
      <c r="F68" s="0" t="s">
        <v>3509</v>
      </c>
      <c r="G68" s="0" t="s">
        <v>3647</v>
      </c>
    </row>
    <row customHeight="1" ht="11.25">
      <c r="A69" s="0" t="s">
        <v>14</v>
      </c>
      <c r="B69" s="0" t="s">
        <v>3625</v>
      </c>
      <c r="C69" s="0" t="s">
        <v>3626</v>
      </c>
      <c r="D69" s="0" t="s">
        <v>3648</v>
      </c>
      <c r="E69" s="0" t="s">
        <v>3649</v>
      </c>
      <c r="F69" s="0" t="s">
        <v>3509</v>
      </c>
      <c r="G69" s="0" t="s">
        <v>783</v>
      </c>
    </row>
    <row customHeight="1" ht="11.25">
      <c r="A70" s="0" t="s">
        <v>14</v>
      </c>
      <c r="B70" s="0" t="s">
        <v>3625</v>
      </c>
      <c r="C70" s="0" t="s">
        <v>3626</v>
      </c>
      <c r="D70" s="0" t="s">
        <v>3650</v>
      </c>
      <c r="E70" s="0" t="s">
        <v>3651</v>
      </c>
      <c r="F70" s="0" t="s">
        <v>3509</v>
      </c>
      <c r="G70" s="0" t="s">
        <v>3652</v>
      </c>
    </row>
    <row customHeight="1" ht="11.25">
      <c r="A71" s="0" t="s">
        <v>14</v>
      </c>
      <c r="B71" s="0" t="s">
        <v>3625</v>
      </c>
      <c r="C71" s="0" t="s">
        <v>3626</v>
      </c>
      <c r="D71" s="0" t="s">
        <v>3653</v>
      </c>
      <c r="E71" s="0" t="s">
        <v>3654</v>
      </c>
      <c r="F71" s="0" t="s">
        <v>3509</v>
      </c>
      <c r="G71" s="0" t="s">
        <v>3655</v>
      </c>
    </row>
    <row customHeight="1" ht="11.25">
      <c r="A72" s="0" t="s">
        <v>14</v>
      </c>
      <c r="B72" s="0" t="s">
        <v>3625</v>
      </c>
      <c r="C72" s="0" t="s">
        <v>3626</v>
      </c>
      <c r="D72" s="0" t="s">
        <v>3656</v>
      </c>
      <c r="E72" s="0" t="s">
        <v>3657</v>
      </c>
      <c r="F72" s="0" t="s">
        <v>3509</v>
      </c>
      <c r="G72" s="0" t="s">
        <v>3658</v>
      </c>
    </row>
    <row customHeight="1" ht="11.25">
      <c r="A73" s="0" t="s">
        <v>14</v>
      </c>
      <c r="B73" s="0" t="s">
        <v>3625</v>
      </c>
      <c r="C73" s="0" t="s">
        <v>3626</v>
      </c>
      <c r="D73" s="0" t="s">
        <v>3659</v>
      </c>
      <c r="E73" s="0" t="s">
        <v>3660</v>
      </c>
      <c r="F73" s="0" t="s">
        <v>3509</v>
      </c>
      <c r="G73" s="0" t="s">
        <v>3661</v>
      </c>
    </row>
    <row customHeight="1" ht="11.25">
      <c r="A74" s="0" t="s">
        <v>14</v>
      </c>
      <c r="B74" s="0" t="s">
        <v>3625</v>
      </c>
      <c r="C74" s="0" t="s">
        <v>3626</v>
      </c>
      <c r="D74" s="0" t="s">
        <v>3662</v>
      </c>
      <c r="E74" s="0" t="s">
        <v>3663</v>
      </c>
      <c r="F74" s="0" t="s">
        <v>3509</v>
      </c>
      <c r="G74" s="0" t="s">
        <v>3664</v>
      </c>
    </row>
    <row customHeight="1" ht="11.25">
      <c r="A75" s="0" t="s">
        <v>14</v>
      </c>
      <c r="B75" s="0" t="s">
        <v>3625</v>
      </c>
      <c r="C75" s="0" t="s">
        <v>3626</v>
      </c>
      <c r="D75" s="0" t="s">
        <v>3665</v>
      </c>
      <c r="E75" s="0" t="s">
        <v>3666</v>
      </c>
      <c r="F75" s="0" t="s">
        <v>3509</v>
      </c>
      <c r="G75" s="0" t="s">
        <v>3667</v>
      </c>
    </row>
    <row customHeight="1" ht="11.25">
      <c r="A76" s="0" t="s">
        <v>14</v>
      </c>
      <c r="B76" s="0" t="s">
        <v>3625</v>
      </c>
      <c r="C76" s="0" t="s">
        <v>3626</v>
      </c>
      <c r="D76" s="0" t="s">
        <v>3668</v>
      </c>
      <c r="E76" s="0" t="s">
        <v>3669</v>
      </c>
      <c r="F76" s="0" t="s">
        <v>3509</v>
      </c>
      <c r="G76" s="0" t="s">
        <v>3670</v>
      </c>
    </row>
    <row customHeight="1" ht="11.25">
      <c r="A77" s="0" t="s">
        <v>14</v>
      </c>
      <c r="B77" s="0" t="s">
        <v>3671</v>
      </c>
      <c r="C77" s="0" t="s">
        <v>3672</v>
      </c>
      <c r="D77" s="0" t="s">
        <v>3671</v>
      </c>
      <c r="E77" s="0" t="s">
        <v>3672</v>
      </c>
      <c r="F77" s="0" t="s">
        <v>3506</v>
      </c>
      <c r="G77" s="0" t="s">
        <v>3673</v>
      </c>
    </row>
    <row customHeight="1" ht="11.25">
      <c r="A78" s="0" t="s">
        <v>14</v>
      </c>
      <c r="B78" s="0" t="s">
        <v>3671</v>
      </c>
      <c r="C78" s="0" t="s">
        <v>3672</v>
      </c>
      <c r="D78" s="0" t="s">
        <v>3674</v>
      </c>
      <c r="E78" s="0" t="s">
        <v>3675</v>
      </c>
      <c r="F78" s="0" t="s">
        <v>3509</v>
      </c>
      <c r="G78" s="0" t="s">
        <v>3676</v>
      </c>
    </row>
    <row customHeight="1" ht="11.25">
      <c r="A79" s="0" t="s">
        <v>14</v>
      </c>
      <c r="B79" s="0" t="s">
        <v>3671</v>
      </c>
      <c r="C79" s="0" t="s">
        <v>3672</v>
      </c>
      <c r="D79" s="0" t="s">
        <v>3677</v>
      </c>
      <c r="E79" s="0" t="s">
        <v>3678</v>
      </c>
      <c r="F79" s="0" t="s">
        <v>3509</v>
      </c>
      <c r="G79" s="0" t="s">
        <v>3679</v>
      </c>
    </row>
    <row customHeight="1" ht="11.25">
      <c r="A80" s="0" t="s">
        <v>14</v>
      </c>
      <c r="B80" s="0" t="s">
        <v>3671</v>
      </c>
      <c r="C80" s="0" t="s">
        <v>3672</v>
      </c>
      <c r="D80" s="0" t="s">
        <v>3680</v>
      </c>
      <c r="E80" s="0" t="s">
        <v>3681</v>
      </c>
      <c r="F80" s="0" t="s">
        <v>3509</v>
      </c>
      <c r="G80" s="0" t="s">
        <v>3682</v>
      </c>
    </row>
    <row customHeight="1" ht="11.25">
      <c r="A81" s="0" t="s">
        <v>14</v>
      </c>
      <c r="B81" s="0" t="s">
        <v>3671</v>
      </c>
      <c r="C81" s="0" t="s">
        <v>3672</v>
      </c>
      <c r="D81" s="0" t="s">
        <v>3683</v>
      </c>
      <c r="E81" s="0" t="s">
        <v>3684</v>
      </c>
      <c r="F81" s="0" t="s">
        <v>3509</v>
      </c>
      <c r="G81" s="0" t="s">
        <v>3685</v>
      </c>
    </row>
    <row customHeight="1" ht="11.25">
      <c r="A82" s="0" t="s">
        <v>14</v>
      </c>
      <c r="B82" s="0" t="s">
        <v>3671</v>
      </c>
      <c r="C82" s="0" t="s">
        <v>3672</v>
      </c>
      <c r="D82" s="0" t="s">
        <v>3686</v>
      </c>
      <c r="E82" s="0" t="s">
        <v>3687</v>
      </c>
      <c r="F82" s="0" t="s">
        <v>3509</v>
      </c>
      <c r="G82" s="0" t="s">
        <v>3688</v>
      </c>
    </row>
    <row customHeight="1" ht="11.25">
      <c r="A83" s="0" t="s">
        <v>14</v>
      </c>
      <c r="B83" s="0" t="s">
        <v>3671</v>
      </c>
      <c r="C83" s="0" t="s">
        <v>3672</v>
      </c>
      <c r="D83" s="0" t="s">
        <v>3689</v>
      </c>
      <c r="E83" s="0" t="s">
        <v>3690</v>
      </c>
      <c r="F83" s="0" t="s">
        <v>3509</v>
      </c>
      <c r="G83" s="0" t="s">
        <v>3691</v>
      </c>
    </row>
    <row customHeight="1" ht="11.25">
      <c r="A84" s="0" t="s">
        <v>14</v>
      </c>
      <c r="B84" s="0" t="s">
        <v>3671</v>
      </c>
      <c r="C84" s="0" t="s">
        <v>3672</v>
      </c>
      <c r="D84" s="0" t="s">
        <v>3692</v>
      </c>
      <c r="E84" s="0" t="s">
        <v>3693</v>
      </c>
      <c r="F84" s="0" t="s">
        <v>3509</v>
      </c>
      <c r="G84" s="0" t="s">
        <v>3694</v>
      </c>
    </row>
    <row customHeight="1" ht="11.25">
      <c r="A85" s="0" t="s">
        <v>14</v>
      </c>
      <c r="B85" s="0" t="s">
        <v>3695</v>
      </c>
      <c r="C85" s="0" t="s">
        <v>3696</v>
      </c>
      <c r="D85" s="0" t="s">
        <v>3695</v>
      </c>
      <c r="E85" s="0" t="s">
        <v>3696</v>
      </c>
      <c r="F85" s="0" t="s">
        <v>3506</v>
      </c>
      <c r="G85" s="0" t="s">
        <v>3697</v>
      </c>
    </row>
    <row customHeight="1" ht="11.25">
      <c r="A86" s="0" t="s">
        <v>14</v>
      </c>
      <c r="B86" s="0" t="s">
        <v>3695</v>
      </c>
      <c r="C86" s="0" t="s">
        <v>3696</v>
      </c>
      <c r="D86" s="0" t="s">
        <v>3698</v>
      </c>
      <c r="E86" s="0" t="s">
        <v>3699</v>
      </c>
      <c r="F86" s="0" t="s">
        <v>3509</v>
      </c>
      <c r="G86" s="0" t="s">
        <v>3700</v>
      </c>
    </row>
    <row customHeight="1" ht="11.25">
      <c r="A87" s="0" t="s">
        <v>14</v>
      </c>
      <c r="B87" s="0" t="s">
        <v>3695</v>
      </c>
      <c r="C87" s="0" t="s">
        <v>3696</v>
      </c>
      <c r="D87" s="0" t="s">
        <v>3701</v>
      </c>
      <c r="E87" s="0" t="s">
        <v>3702</v>
      </c>
      <c r="F87" s="0" t="s">
        <v>3509</v>
      </c>
      <c r="G87" s="0" t="s">
        <v>3703</v>
      </c>
    </row>
    <row customHeight="1" ht="11.25">
      <c r="A88" s="0" t="s">
        <v>14</v>
      </c>
      <c r="B88" s="0" t="s">
        <v>3695</v>
      </c>
      <c r="C88" s="0" t="s">
        <v>3696</v>
      </c>
      <c r="D88" s="0" t="s">
        <v>3704</v>
      </c>
      <c r="E88" s="0" t="s">
        <v>3705</v>
      </c>
      <c r="F88" s="0" t="s">
        <v>3509</v>
      </c>
      <c r="G88" s="0" t="s">
        <v>3706</v>
      </c>
    </row>
    <row customHeight="1" ht="11.25">
      <c r="A89" s="0" t="s">
        <v>14</v>
      </c>
      <c r="B89" s="0" t="s">
        <v>3695</v>
      </c>
      <c r="C89" s="0" t="s">
        <v>3696</v>
      </c>
      <c r="D89" s="0" t="s">
        <v>3707</v>
      </c>
      <c r="E89" s="0" t="s">
        <v>3708</v>
      </c>
      <c r="F89" s="0" t="s">
        <v>3509</v>
      </c>
      <c r="G89" s="0" t="s">
        <v>3709</v>
      </c>
    </row>
    <row customHeight="1" ht="11.25">
      <c r="A90" s="0" t="s">
        <v>14</v>
      </c>
      <c r="B90" s="0" t="s">
        <v>3695</v>
      </c>
      <c r="C90" s="0" t="s">
        <v>3696</v>
      </c>
      <c r="D90" s="0" t="s">
        <v>3710</v>
      </c>
      <c r="E90" s="0" t="s">
        <v>3711</v>
      </c>
      <c r="F90" s="0" t="s">
        <v>3509</v>
      </c>
      <c r="G90" s="0" t="s">
        <v>3712</v>
      </c>
    </row>
    <row customHeight="1" ht="11.25">
      <c r="A91" s="0" t="s">
        <v>14</v>
      </c>
      <c r="B91" s="0" t="s">
        <v>3695</v>
      </c>
      <c r="C91" s="0" t="s">
        <v>3696</v>
      </c>
      <c r="D91" s="0" t="s">
        <v>3713</v>
      </c>
      <c r="E91" s="0" t="s">
        <v>3714</v>
      </c>
      <c r="F91" s="0" t="s">
        <v>3509</v>
      </c>
      <c r="G91" s="0" t="s">
        <v>3715</v>
      </c>
    </row>
    <row customHeight="1" ht="11.25">
      <c r="A92" s="0" t="s">
        <v>14</v>
      </c>
      <c r="B92" s="0" t="s">
        <v>3695</v>
      </c>
      <c r="C92" s="0" t="s">
        <v>3696</v>
      </c>
      <c r="D92" s="0" t="s">
        <v>3716</v>
      </c>
      <c r="E92" s="0" t="s">
        <v>3717</v>
      </c>
      <c r="F92" s="0" t="s">
        <v>3509</v>
      </c>
      <c r="G92" s="0" t="s">
        <v>3718</v>
      </c>
    </row>
    <row customHeight="1" ht="11.25">
      <c r="A93" s="0" t="s">
        <v>14</v>
      </c>
      <c r="B93" s="0" t="s">
        <v>3695</v>
      </c>
      <c r="C93" s="0" t="s">
        <v>3696</v>
      </c>
      <c r="D93" s="0" t="s">
        <v>3719</v>
      </c>
      <c r="E93" s="0" t="s">
        <v>3720</v>
      </c>
      <c r="F93" s="0" t="s">
        <v>3509</v>
      </c>
      <c r="G93" s="0" t="s">
        <v>3721</v>
      </c>
    </row>
    <row customHeight="1" ht="11.25">
      <c r="A94" s="0" t="s">
        <v>14</v>
      </c>
      <c r="B94" s="0" t="s">
        <v>3695</v>
      </c>
      <c r="C94" s="0" t="s">
        <v>3696</v>
      </c>
      <c r="D94" s="0" t="s">
        <v>3722</v>
      </c>
      <c r="E94" s="0" t="s">
        <v>3723</v>
      </c>
      <c r="F94" s="0" t="s">
        <v>3509</v>
      </c>
      <c r="G94" s="0" t="s">
        <v>3724</v>
      </c>
    </row>
    <row customHeight="1" ht="11.25">
      <c r="A95" s="0" t="s">
        <v>14</v>
      </c>
      <c r="B95" s="0" t="s">
        <v>3725</v>
      </c>
      <c r="C95" s="0" t="s">
        <v>3726</v>
      </c>
      <c r="D95" s="0" t="s">
        <v>3725</v>
      </c>
      <c r="E95" s="0" t="s">
        <v>3726</v>
      </c>
      <c r="F95" s="0" t="s">
        <v>3506</v>
      </c>
      <c r="G95" s="0" t="s">
        <v>3727</v>
      </c>
    </row>
    <row customHeight="1" ht="11.25">
      <c r="A96" s="0" t="s">
        <v>14</v>
      </c>
      <c r="B96" s="0" t="s">
        <v>3725</v>
      </c>
      <c r="C96" s="0" t="s">
        <v>3726</v>
      </c>
      <c r="D96" s="0" t="s">
        <v>3728</v>
      </c>
      <c r="E96" s="0" t="s">
        <v>3729</v>
      </c>
      <c r="F96" s="0" t="s">
        <v>3509</v>
      </c>
      <c r="G96" s="0" t="s">
        <v>3730</v>
      </c>
    </row>
    <row customHeight="1" ht="11.25">
      <c r="A97" s="0" t="s">
        <v>14</v>
      </c>
      <c r="B97" s="0" t="s">
        <v>3725</v>
      </c>
      <c r="C97" s="0" t="s">
        <v>3726</v>
      </c>
      <c r="D97" s="0" t="s">
        <v>3731</v>
      </c>
      <c r="E97" s="0" t="s">
        <v>3732</v>
      </c>
      <c r="F97" s="0" t="s">
        <v>3509</v>
      </c>
      <c r="G97" s="0" t="s">
        <v>3733</v>
      </c>
    </row>
    <row customHeight="1" ht="11.25">
      <c r="A98" s="0" t="s">
        <v>14</v>
      </c>
      <c r="B98" s="0" t="s">
        <v>3725</v>
      </c>
      <c r="C98" s="0" t="s">
        <v>3726</v>
      </c>
      <c r="D98" s="0" t="s">
        <v>3734</v>
      </c>
      <c r="E98" s="0" t="s">
        <v>3735</v>
      </c>
      <c r="F98" s="0" t="s">
        <v>3509</v>
      </c>
      <c r="G98" s="0" t="s">
        <v>3736</v>
      </c>
    </row>
    <row customHeight="1" ht="11.25">
      <c r="A99" s="0" t="s">
        <v>14</v>
      </c>
      <c r="B99" s="0" t="s">
        <v>3725</v>
      </c>
      <c r="C99" s="0" t="s">
        <v>3726</v>
      </c>
      <c r="D99" s="0" t="s">
        <v>3737</v>
      </c>
      <c r="E99" s="0" t="s">
        <v>3738</v>
      </c>
      <c r="F99" s="0" t="s">
        <v>3509</v>
      </c>
      <c r="G99" s="0" t="s">
        <v>3739</v>
      </c>
    </row>
    <row customHeight="1" ht="11.25">
      <c r="A100" s="0" t="s">
        <v>14</v>
      </c>
      <c r="B100" s="0" t="s">
        <v>3725</v>
      </c>
      <c r="C100" s="0" t="s">
        <v>3726</v>
      </c>
      <c r="D100" s="0" t="s">
        <v>3740</v>
      </c>
      <c r="E100" s="0" t="s">
        <v>3741</v>
      </c>
      <c r="F100" s="0" t="s">
        <v>3509</v>
      </c>
      <c r="G100" s="0" t="s">
        <v>3742</v>
      </c>
    </row>
    <row customHeight="1" ht="11.25">
      <c r="A101" s="0" t="s">
        <v>14</v>
      </c>
      <c r="B101" s="0" t="s">
        <v>3725</v>
      </c>
      <c r="C101" s="0" t="s">
        <v>3726</v>
      </c>
      <c r="D101" s="0" t="s">
        <v>3743</v>
      </c>
      <c r="E101" s="0" t="s">
        <v>3744</v>
      </c>
      <c r="F101" s="0" t="s">
        <v>3509</v>
      </c>
      <c r="G101" s="0" t="s">
        <v>3745</v>
      </c>
    </row>
    <row customHeight="1" ht="11.25">
      <c r="A102" s="0" t="s">
        <v>14</v>
      </c>
      <c r="B102" s="0" t="s">
        <v>3746</v>
      </c>
      <c r="C102" s="0" t="s">
        <v>3747</v>
      </c>
      <c r="D102" s="0" t="s">
        <v>3746</v>
      </c>
      <c r="E102" s="0" t="s">
        <v>3747</v>
      </c>
      <c r="F102" s="0" t="s">
        <v>3506</v>
      </c>
      <c r="G102" s="0" t="s">
        <v>3748</v>
      </c>
    </row>
    <row customHeight="1" ht="11.25">
      <c r="A103" s="0" t="s">
        <v>14</v>
      </c>
      <c r="B103" s="0" t="s">
        <v>3746</v>
      </c>
      <c r="C103" s="0" t="s">
        <v>3747</v>
      </c>
      <c r="D103" s="0" t="s">
        <v>3749</v>
      </c>
      <c r="E103" s="0" t="s">
        <v>3750</v>
      </c>
      <c r="F103" s="0" t="s">
        <v>3751</v>
      </c>
      <c r="G103" s="0" t="s">
        <v>3752</v>
      </c>
    </row>
    <row customHeight="1" ht="11.25">
      <c r="A104" s="0" t="s">
        <v>14</v>
      </c>
      <c r="B104" s="0" t="s">
        <v>3746</v>
      </c>
      <c r="C104" s="0" t="s">
        <v>3747</v>
      </c>
      <c r="D104" s="0" t="s">
        <v>3561</v>
      </c>
      <c r="E104" s="0" t="s">
        <v>3753</v>
      </c>
      <c r="F104" s="0" t="s">
        <v>3509</v>
      </c>
      <c r="G104" s="0" t="s">
        <v>3754</v>
      </c>
    </row>
    <row customHeight="1" ht="11.25">
      <c r="A105" s="0" t="s">
        <v>14</v>
      </c>
      <c r="B105" s="0" t="s">
        <v>3746</v>
      </c>
      <c r="C105" s="0" t="s">
        <v>3747</v>
      </c>
      <c r="D105" s="0" t="s">
        <v>3755</v>
      </c>
      <c r="E105" s="0" t="s">
        <v>3756</v>
      </c>
      <c r="F105" s="0" t="s">
        <v>3509</v>
      </c>
      <c r="G105" s="0" t="s">
        <v>3757</v>
      </c>
    </row>
    <row customHeight="1" ht="11.25">
      <c r="A106" s="0" t="s">
        <v>14</v>
      </c>
      <c r="B106" s="0" t="s">
        <v>3746</v>
      </c>
      <c r="C106" s="0" t="s">
        <v>3747</v>
      </c>
      <c r="D106" s="0" t="s">
        <v>3758</v>
      </c>
      <c r="E106" s="0" t="s">
        <v>3759</v>
      </c>
      <c r="F106" s="0" t="s">
        <v>3509</v>
      </c>
      <c r="G106" s="0" t="s">
        <v>3760</v>
      </c>
    </row>
    <row customHeight="1" ht="11.25">
      <c r="A107" s="0" t="s">
        <v>14</v>
      </c>
      <c r="B107" s="0" t="s">
        <v>3746</v>
      </c>
      <c r="C107" s="0" t="s">
        <v>3747</v>
      </c>
      <c r="D107" s="0" t="s">
        <v>3761</v>
      </c>
      <c r="E107" s="0" t="s">
        <v>3762</v>
      </c>
      <c r="F107" s="0" t="s">
        <v>3509</v>
      </c>
      <c r="G107" s="0" t="s">
        <v>3763</v>
      </c>
    </row>
    <row customHeight="1" ht="11.25">
      <c r="A108" s="0" t="s">
        <v>14</v>
      </c>
      <c r="B108" s="0" t="s">
        <v>3746</v>
      </c>
      <c r="C108" s="0" t="s">
        <v>3747</v>
      </c>
      <c r="D108" s="0" t="s">
        <v>3764</v>
      </c>
      <c r="E108" s="0" t="s">
        <v>3765</v>
      </c>
      <c r="F108" s="0" t="s">
        <v>3509</v>
      </c>
      <c r="G108" s="0" t="s">
        <v>3766</v>
      </c>
    </row>
    <row customHeight="1" ht="11.25">
      <c r="A109" s="0" t="s">
        <v>14</v>
      </c>
      <c r="B109" s="0" t="s">
        <v>3746</v>
      </c>
      <c r="C109" s="0" t="s">
        <v>3747</v>
      </c>
      <c r="D109" s="0" t="s">
        <v>3767</v>
      </c>
      <c r="E109" s="0" t="s">
        <v>3768</v>
      </c>
      <c r="F109" s="0" t="s">
        <v>3509</v>
      </c>
      <c r="G109" s="0" t="s">
        <v>3769</v>
      </c>
    </row>
    <row customHeight="1" ht="11.25">
      <c r="A110" s="0" t="s">
        <v>14</v>
      </c>
      <c r="B110" s="0" t="s">
        <v>3746</v>
      </c>
      <c r="C110" s="0" t="s">
        <v>3747</v>
      </c>
      <c r="D110" s="0" t="s">
        <v>3770</v>
      </c>
      <c r="E110" s="0" t="s">
        <v>3771</v>
      </c>
      <c r="F110" s="0" t="s">
        <v>3509</v>
      </c>
      <c r="G110" s="0" t="s">
        <v>3772</v>
      </c>
    </row>
    <row customHeight="1" ht="11.25">
      <c r="A111" s="0" t="s">
        <v>14</v>
      </c>
      <c r="B111" s="0" t="s">
        <v>3746</v>
      </c>
      <c r="C111" s="0" t="s">
        <v>3747</v>
      </c>
      <c r="D111" s="0" t="s">
        <v>3773</v>
      </c>
      <c r="E111" s="0" t="s">
        <v>3774</v>
      </c>
      <c r="F111" s="0" t="s">
        <v>3509</v>
      </c>
      <c r="G111" s="0" t="s">
        <v>3775</v>
      </c>
    </row>
    <row customHeight="1" ht="11.25">
      <c r="A112" s="0" t="s">
        <v>14</v>
      </c>
      <c r="B112" s="0" t="s">
        <v>3746</v>
      </c>
      <c r="C112" s="0" t="s">
        <v>3747</v>
      </c>
      <c r="D112" s="0" t="s">
        <v>3776</v>
      </c>
      <c r="E112" s="0" t="s">
        <v>3777</v>
      </c>
      <c r="F112" s="0" t="s">
        <v>3509</v>
      </c>
      <c r="G112" s="0" t="s">
        <v>1811</v>
      </c>
    </row>
    <row customHeight="1" ht="11.25">
      <c r="A113" s="0" t="s">
        <v>14</v>
      </c>
      <c r="B113" s="0" t="s">
        <v>3746</v>
      </c>
      <c r="C113" s="0" t="s">
        <v>3747</v>
      </c>
      <c r="D113" s="0" t="s">
        <v>3617</v>
      </c>
      <c r="E113" s="0" t="s">
        <v>3778</v>
      </c>
      <c r="F113" s="0" t="s">
        <v>3509</v>
      </c>
      <c r="G113" s="0" t="s">
        <v>3779</v>
      </c>
    </row>
    <row customHeight="1" ht="11.25">
      <c r="A114" s="0" t="s">
        <v>14</v>
      </c>
      <c r="B114" s="0" t="s">
        <v>3746</v>
      </c>
      <c r="C114" s="0" t="s">
        <v>3747</v>
      </c>
      <c r="D114" s="0" t="s">
        <v>3780</v>
      </c>
      <c r="E114" s="0" t="s">
        <v>3781</v>
      </c>
      <c r="F114" s="0" t="s">
        <v>3509</v>
      </c>
      <c r="G114" s="0" t="s">
        <v>3782</v>
      </c>
    </row>
    <row customHeight="1" ht="11.25">
      <c r="A115" s="0" t="s">
        <v>14</v>
      </c>
      <c r="B115" s="0" t="s">
        <v>3746</v>
      </c>
      <c r="C115" s="0" t="s">
        <v>3747</v>
      </c>
      <c r="D115" s="0" t="s">
        <v>3783</v>
      </c>
      <c r="E115" s="0" t="s">
        <v>3784</v>
      </c>
      <c r="F115" s="0" t="s">
        <v>3509</v>
      </c>
      <c r="G115" s="0" t="s">
        <v>3785</v>
      </c>
    </row>
    <row customHeight="1" ht="11.25">
      <c r="A116" s="0" t="s">
        <v>14</v>
      </c>
      <c r="B116" s="0" t="s">
        <v>3746</v>
      </c>
      <c r="C116" s="0" t="s">
        <v>3747</v>
      </c>
      <c r="D116" s="0" t="s">
        <v>3786</v>
      </c>
      <c r="E116" s="0" t="s">
        <v>3787</v>
      </c>
      <c r="F116" s="0" t="s">
        <v>3509</v>
      </c>
      <c r="G116" s="0" t="s">
        <v>3788</v>
      </c>
    </row>
    <row customHeight="1" ht="11.25">
      <c r="A117" s="0" t="s">
        <v>14</v>
      </c>
      <c r="B117" s="0" t="s">
        <v>3789</v>
      </c>
      <c r="C117" s="0" t="s">
        <v>3790</v>
      </c>
      <c r="D117" s="0" t="s">
        <v>3789</v>
      </c>
      <c r="E117" s="0" t="s">
        <v>3790</v>
      </c>
      <c r="F117" s="0" t="s">
        <v>3506</v>
      </c>
      <c r="G117" s="0" t="s">
        <v>3791</v>
      </c>
    </row>
    <row customHeight="1" ht="11.25">
      <c r="A118" s="0" t="s">
        <v>14</v>
      </c>
      <c r="B118" s="0" t="s">
        <v>3789</v>
      </c>
      <c r="C118" s="0" t="s">
        <v>3790</v>
      </c>
      <c r="D118" s="0" t="s">
        <v>3792</v>
      </c>
      <c r="E118" s="0" t="s">
        <v>3793</v>
      </c>
      <c r="F118" s="0" t="s">
        <v>3509</v>
      </c>
      <c r="G118" s="0" t="s">
        <v>3794</v>
      </c>
    </row>
    <row customHeight="1" ht="11.25">
      <c r="A119" s="0" t="s">
        <v>14</v>
      </c>
      <c r="B119" s="0" t="s">
        <v>3789</v>
      </c>
      <c r="C119" s="0" t="s">
        <v>3790</v>
      </c>
      <c r="D119" s="0" t="s">
        <v>3795</v>
      </c>
      <c r="E119" s="0" t="s">
        <v>3796</v>
      </c>
      <c r="F119" s="0" t="s">
        <v>3509</v>
      </c>
      <c r="G119" s="0" t="s">
        <v>3797</v>
      </c>
    </row>
    <row customHeight="1" ht="11.25">
      <c r="A120" s="0" t="s">
        <v>14</v>
      </c>
      <c r="B120" s="0" t="s">
        <v>3789</v>
      </c>
      <c r="C120" s="0" t="s">
        <v>3790</v>
      </c>
      <c r="D120" s="0" t="s">
        <v>3798</v>
      </c>
      <c r="E120" s="0" t="s">
        <v>3799</v>
      </c>
      <c r="F120" s="0" t="s">
        <v>3509</v>
      </c>
      <c r="G120" s="0" t="s">
        <v>3800</v>
      </c>
    </row>
    <row customHeight="1" ht="11.25">
      <c r="A121" s="0" t="s">
        <v>14</v>
      </c>
      <c r="B121" s="0" t="s">
        <v>3789</v>
      </c>
      <c r="C121" s="0" t="s">
        <v>3790</v>
      </c>
      <c r="D121" s="0" t="s">
        <v>3801</v>
      </c>
      <c r="E121" s="0" t="s">
        <v>3802</v>
      </c>
      <c r="F121" s="0" t="s">
        <v>3509</v>
      </c>
      <c r="G121" s="0" t="s">
        <v>3803</v>
      </c>
    </row>
    <row customHeight="1" ht="11.25">
      <c r="A122" s="0" t="s">
        <v>14</v>
      </c>
      <c r="B122" s="0" t="s">
        <v>3789</v>
      </c>
      <c r="C122" s="0" t="s">
        <v>3790</v>
      </c>
      <c r="D122" s="0" t="s">
        <v>3804</v>
      </c>
      <c r="E122" s="0" t="s">
        <v>3805</v>
      </c>
      <c r="F122" s="0" t="s">
        <v>3509</v>
      </c>
      <c r="G122" s="0" t="s">
        <v>3806</v>
      </c>
    </row>
    <row customHeight="1" ht="11.25">
      <c r="A123" s="0" t="s">
        <v>14</v>
      </c>
      <c r="B123" s="0" t="s">
        <v>3789</v>
      </c>
      <c r="C123" s="0" t="s">
        <v>3790</v>
      </c>
      <c r="D123" s="0" t="s">
        <v>3807</v>
      </c>
      <c r="E123" s="0" t="s">
        <v>3808</v>
      </c>
      <c r="F123" s="0" t="s">
        <v>3509</v>
      </c>
      <c r="G123" s="0" t="s">
        <v>3809</v>
      </c>
    </row>
    <row customHeight="1" ht="11.25">
      <c r="A124" s="0" t="s">
        <v>14</v>
      </c>
      <c r="B124" s="0" t="s">
        <v>3789</v>
      </c>
      <c r="C124" s="0" t="s">
        <v>3790</v>
      </c>
      <c r="D124" s="0" t="s">
        <v>3810</v>
      </c>
      <c r="E124" s="0" t="s">
        <v>3811</v>
      </c>
      <c r="F124" s="0" t="s">
        <v>3509</v>
      </c>
      <c r="G124" s="0" t="s">
        <v>3812</v>
      </c>
    </row>
    <row customHeight="1" ht="11.25">
      <c r="A125" s="0" t="s">
        <v>14</v>
      </c>
      <c r="B125" s="0" t="s">
        <v>3789</v>
      </c>
      <c r="C125" s="0" t="s">
        <v>3790</v>
      </c>
      <c r="D125" s="0" t="s">
        <v>3813</v>
      </c>
      <c r="E125" s="0" t="s">
        <v>3814</v>
      </c>
      <c r="F125" s="0" t="s">
        <v>3509</v>
      </c>
      <c r="G125" s="0" t="s">
        <v>3815</v>
      </c>
    </row>
    <row customHeight="1" ht="11.25">
      <c r="A126" s="0" t="s">
        <v>14</v>
      </c>
      <c r="B126" s="0" t="s">
        <v>3789</v>
      </c>
      <c r="C126" s="0" t="s">
        <v>3790</v>
      </c>
      <c r="D126" s="0" t="s">
        <v>3816</v>
      </c>
      <c r="E126" s="0" t="s">
        <v>3817</v>
      </c>
      <c r="F126" s="0" t="s">
        <v>3509</v>
      </c>
      <c r="G126" s="0" t="s">
        <v>3818</v>
      </c>
    </row>
    <row customHeight="1" ht="11.25">
      <c r="A127" s="0" t="s">
        <v>14</v>
      </c>
      <c r="B127" s="0" t="s">
        <v>3789</v>
      </c>
      <c r="C127" s="0" t="s">
        <v>3790</v>
      </c>
      <c r="D127" s="0" t="s">
        <v>3819</v>
      </c>
      <c r="E127" s="0" t="s">
        <v>3820</v>
      </c>
      <c r="F127" s="0" t="s">
        <v>3509</v>
      </c>
      <c r="G127" s="0" t="s">
        <v>3821</v>
      </c>
    </row>
    <row customHeight="1" ht="11.25">
      <c r="A128" s="0" t="s">
        <v>14</v>
      </c>
      <c r="B128" s="0" t="s">
        <v>3789</v>
      </c>
      <c r="C128" s="0" t="s">
        <v>3790</v>
      </c>
      <c r="D128" s="0" t="s">
        <v>3822</v>
      </c>
      <c r="E128" s="0" t="s">
        <v>3823</v>
      </c>
      <c r="F128" s="0" t="s">
        <v>3509</v>
      </c>
      <c r="G128" s="0" t="s">
        <v>3824</v>
      </c>
    </row>
    <row customHeight="1" ht="11.25">
      <c r="A129" s="0" t="s">
        <v>14</v>
      </c>
      <c r="B129" s="0" t="s">
        <v>3789</v>
      </c>
      <c r="C129" s="0" t="s">
        <v>3790</v>
      </c>
      <c r="D129" s="0" t="s">
        <v>3825</v>
      </c>
      <c r="E129" s="0" t="s">
        <v>3826</v>
      </c>
      <c r="F129" s="0" t="s">
        <v>3509</v>
      </c>
      <c r="G129" s="0" t="s">
        <v>3827</v>
      </c>
    </row>
    <row customHeight="1" ht="11.25">
      <c r="A130" s="0" t="s">
        <v>14</v>
      </c>
      <c r="B130" s="0" t="s">
        <v>3828</v>
      </c>
      <c r="C130" s="0" t="s">
        <v>3829</v>
      </c>
      <c r="D130" s="0" t="s">
        <v>3828</v>
      </c>
      <c r="E130" s="0" t="s">
        <v>3829</v>
      </c>
      <c r="F130" s="0" t="s">
        <v>3506</v>
      </c>
      <c r="G130" s="0" t="s">
        <v>3830</v>
      </c>
    </row>
    <row customHeight="1" ht="11.25">
      <c r="A131" s="0" t="s">
        <v>14</v>
      </c>
      <c r="B131" s="0" t="s">
        <v>3828</v>
      </c>
      <c r="C131" s="0" t="s">
        <v>3829</v>
      </c>
      <c r="D131" s="0" t="s">
        <v>3831</v>
      </c>
      <c r="E131" s="0" t="s">
        <v>3832</v>
      </c>
      <c r="F131" s="0" t="s">
        <v>3509</v>
      </c>
      <c r="G131" s="0" t="s">
        <v>3833</v>
      </c>
    </row>
    <row customHeight="1" ht="11.25">
      <c r="A132" s="0" t="s">
        <v>14</v>
      </c>
      <c r="B132" s="0" t="s">
        <v>3828</v>
      </c>
      <c r="C132" s="0" t="s">
        <v>3829</v>
      </c>
      <c r="D132" s="0" t="s">
        <v>3834</v>
      </c>
      <c r="E132" s="0" t="s">
        <v>3835</v>
      </c>
      <c r="F132" s="0" t="s">
        <v>3509</v>
      </c>
      <c r="G132" s="0" t="s">
        <v>3836</v>
      </c>
    </row>
    <row customHeight="1" ht="11.25">
      <c r="A133" s="0" t="s">
        <v>14</v>
      </c>
      <c r="B133" s="0" t="s">
        <v>3828</v>
      </c>
      <c r="C133" s="0" t="s">
        <v>3829</v>
      </c>
      <c r="D133" s="0" t="s">
        <v>3837</v>
      </c>
      <c r="E133" s="0" t="s">
        <v>3838</v>
      </c>
      <c r="F133" s="0" t="s">
        <v>3509</v>
      </c>
      <c r="G133" s="0" t="s">
        <v>3839</v>
      </c>
    </row>
    <row customHeight="1" ht="11.25">
      <c r="A134" s="0" t="s">
        <v>14</v>
      </c>
      <c r="B134" s="0" t="s">
        <v>3828</v>
      </c>
      <c r="C134" s="0" t="s">
        <v>3829</v>
      </c>
      <c r="D134" s="0" t="s">
        <v>3840</v>
      </c>
      <c r="E134" s="0" t="s">
        <v>3841</v>
      </c>
      <c r="F134" s="0" t="s">
        <v>3509</v>
      </c>
      <c r="G134" s="0" t="s">
        <v>3842</v>
      </c>
    </row>
    <row customHeight="1" ht="11.25">
      <c r="A135" s="0" t="s">
        <v>14</v>
      </c>
      <c r="B135" s="0" t="s">
        <v>3828</v>
      </c>
      <c r="C135" s="0" t="s">
        <v>3829</v>
      </c>
      <c r="D135" s="0" t="s">
        <v>3843</v>
      </c>
      <c r="E135" s="0" t="s">
        <v>3844</v>
      </c>
      <c r="F135" s="0" t="s">
        <v>3509</v>
      </c>
      <c r="G135" s="0" t="s">
        <v>3845</v>
      </c>
    </row>
    <row customHeight="1" ht="11.25">
      <c r="A136" s="0" t="s">
        <v>14</v>
      </c>
      <c r="B136" s="0" t="s">
        <v>3828</v>
      </c>
      <c r="C136" s="0" t="s">
        <v>3829</v>
      </c>
      <c r="D136" s="0" t="s">
        <v>3846</v>
      </c>
      <c r="E136" s="0" t="s">
        <v>3847</v>
      </c>
      <c r="F136" s="0" t="s">
        <v>3509</v>
      </c>
      <c r="G136" s="0" t="s">
        <v>3848</v>
      </c>
    </row>
    <row customHeight="1" ht="11.25">
      <c r="A137" s="0" t="s">
        <v>14</v>
      </c>
      <c r="B137" s="0" t="s">
        <v>3828</v>
      </c>
      <c r="C137" s="0" t="s">
        <v>3829</v>
      </c>
      <c r="D137" s="0" t="s">
        <v>3849</v>
      </c>
      <c r="E137" s="0" t="s">
        <v>3850</v>
      </c>
      <c r="F137" s="0" t="s">
        <v>3509</v>
      </c>
      <c r="G137" s="0" t="s">
        <v>3851</v>
      </c>
    </row>
    <row customHeight="1" ht="11.25">
      <c r="A138" s="0" t="s">
        <v>14</v>
      </c>
      <c r="B138" s="0" t="s">
        <v>3828</v>
      </c>
      <c r="C138" s="0" t="s">
        <v>3829</v>
      </c>
      <c r="D138" s="0" t="s">
        <v>3852</v>
      </c>
      <c r="E138" s="0" t="s">
        <v>3853</v>
      </c>
      <c r="F138" s="0" t="s">
        <v>3509</v>
      </c>
      <c r="G138" s="0" t="s">
        <v>3854</v>
      </c>
    </row>
    <row customHeight="1" ht="11.25">
      <c r="A139" s="0" t="s">
        <v>14</v>
      </c>
      <c r="B139" s="0" t="s">
        <v>3828</v>
      </c>
      <c r="C139" s="0" t="s">
        <v>3829</v>
      </c>
      <c r="D139" s="0" t="s">
        <v>3855</v>
      </c>
      <c r="E139" s="0" t="s">
        <v>3856</v>
      </c>
      <c r="F139" s="0" t="s">
        <v>3509</v>
      </c>
      <c r="G139" s="0" t="s">
        <v>3857</v>
      </c>
    </row>
    <row customHeight="1" ht="11.25">
      <c r="A140" s="0" t="s">
        <v>14</v>
      </c>
      <c r="B140" s="0" t="s">
        <v>3828</v>
      </c>
      <c r="C140" s="0" t="s">
        <v>3829</v>
      </c>
      <c r="D140" s="0" t="s">
        <v>3858</v>
      </c>
      <c r="E140" s="0" t="s">
        <v>3859</v>
      </c>
      <c r="F140" s="0" t="s">
        <v>3509</v>
      </c>
      <c r="G140" s="0" t="s">
        <v>3860</v>
      </c>
    </row>
    <row customHeight="1" ht="11.25">
      <c r="A141" s="0" t="s">
        <v>14</v>
      </c>
      <c r="B141" s="0" t="s">
        <v>3828</v>
      </c>
      <c r="C141" s="0" t="s">
        <v>3829</v>
      </c>
      <c r="D141" s="0" t="s">
        <v>3861</v>
      </c>
      <c r="E141" s="0" t="s">
        <v>3862</v>
      </c>
      <c r="F141" s="0" t="s">
        <v>3509</v>
      </c>
      <c r="G141" s="0" t="s">
        <v>3863</v>
      </c>
    </row>
    <row customHeight="1" ht="11.25">
      <c r="A142" s="0" t="s">
        <v>14</v>
      </c>
      <c r="B142" s="0" t="s">
        <v>3864</v>
      </c>
      <c r="C142" s="0" t="s">
        <v>3865</v>
      </c>
      <c r="D142" s="0" t="s">
        <v>3864</v>
      </c>
      <c r="E142" s="0" t="s">
        <v>3865</v>
      </c>
      <c r="F142" s="0" t="s">
        <v>3506</v>
      </c>
      <c r="G142" s="0" t="s">
        <v>3866</v>
      </c>
    </row>
    <row customHeight="1" ht="11.25">
      <c r="A143" s="0" t="s">
        <v>14</v>
      </c>
      <c r="B143" s="0" t="s">
        <v>3864</v>
      </c>
      <c r="C143" s="0" t="s">
        <v>3865</v>
      </c>
      <c r="D143" s="0" t="s">
        <v>3867</v>
      </c>
      <c r="E143" s="0" t="s">
        <v>3868</v>
      </c>
      <c r="F143" s="0" t="s">
        <v>3509</v>
      </c>
      <c r="G143" s="0" t="s">
        <v>3869</v>
      </c>
    </row>
    <row customHeight="1" ht="11.25">
      <c r="A144" s="0" t="s">
        <v>14</v>
      </c>
      <c r="B144" s="0" t="s">
        <v>3864</v>
      </c>
      <c r="C144" s="0" t="s">
        <v>3865</v>
      </c>
      <c r="D144" s="0" t="s">
        <v>3870</v>
      </c>
      <c r="E144" s="0" t="s">
        <v>3871</v>
      </c>
      <c r="F144" s="0" t="s">
        <v>3509</v>
      </c>
      <c r="G144" s="0" t="s">
        <v>3872</v>
      </c>
    </row>
    <row customHeight="1" ht="11.25">
      <c r="A145" s="0" t="s">
        <v>14</v>
      </c>
      <c r="B145" s="0" t="s">
        <v>3864</v>
      </c>
      <c r="C145" s="0" t="s">
        <v>3865</v>
      </c>
      <c r="D145" s="0" t="s">
        <v>3873</v>
      </c>
      <c r="E145" s="0" t="s">
        <v>3874</v>
      </c>
      <c r="F145" s="0" t="s">
        <v>3509</v>
      </c>
      <c r="G145" s="0" t="s">
        <v>3875</v>
      </c>
    </row>
    <row customHeight="1" ht="11.25">
      <c r="A146" s="0" t="s">
        <v>14</v>
      </c>
      <c r="B146" s="0" t="s">
        <v>3864</v>
      </c>
      <c r="C146" s="0" t="s">
        <v>3865</v>
      </c>
      <c r="D146" s="0" t="s">
        <v>3876</v>
      </c>
      <c r="E146" s="0" t="s">
        <v>3877</v>
      </c>
      <c r="F146" s="0" t="s">
        <v>3509</v>
      </c>
      <c r="G146" s="0" t="s">
        <v>3878</v>
      </c>
    </row>
    <row customHeight="1" ht="11.25">
      <c r="A147" s="0" t="s">
        <v>14</v>
      </c>
      <c r="B147" s="0" t="s">
        <v>3864</v>
      </c>
      <c r="C147" s="0" t="s">
        <v>3865</v>
      </c>
      <c r="D147" s="0" t="s">
        <v>3879</v>
      </c>
      <c r="E147" s="0" t="s">
        <v>3880</v>
      </c>
      <c r="F147" s="0" t="s">
        <v>3509</v>
      </c>
      <c r="G147" s="0" t="s">
        <v>3881</v>
      </c>
    </row>
    <row customHeight="1" ht="11.25">
      <c r="A148" s="0" t="s">
        <v>14</v>
      </c>
      <c r="B148" s="0" t="s">
        <v>3864</v>
      </c>
      <c r="C148" s="0" t="s">
        <v>3865</v>
      </c>
      <c r="D148" s="0" t="s">
        <v>3882</v>
      </c>
      <c r="E148" s="0" t="s">
        <v>3883</v>
      </c>
      <c r="F148" s="0" t="s">
        <v>3509</v>
      </c>
      <c r="G148" s="0" t="s">
        <v>3884</v>
      </c>
    </row>
    <row customHeight="1" ht="11.25">
      <c r="A149" s="0" t="s">
        <v>14</v>
      </c>
      <c r="B149" s="0" t="s">
        <v>3864</v>
      </c>
      <c r="C149" s="0" t="s">
        <v>3865</v>
      </c>
      <c r="D149" s="0" t="s">
        <v>3885</v>
      </c>
      <c r="E149" s="0" t="s">
        <v>3886</v>
      </c>
      <c r="F149" s="0" t="s">
        <v>3509</v>
      </c>
      <c r="G149" s="0" t="s">
        <v>3887</v>
      </c>
    </row>
    <row customHeight="1" ht="11.25">
      <c r="A150" s="0" t="s">
        <v>14</v>
      </c>
      <c r="B150" s="0" t="s">
        <v>3864</v>
      </c>
      <c r="C150" s="0" t="s">
        <v>3865</v>
      </c>
      <c r="D150" s="0" t="s">
        <v>3888</v>
      </c>
      <c r="E150" s="0" t="s">
        <v>3889</v>
      </c>
      <c r="F150" s="0" t="s">
        <v>3509</v>
      </c>
      <c r="G150" s="0" t="s">
        <v>3890</v>
      </c>
    </row>
    <row customHeight="1" ht="11.25">
      <c r="A151" s="0" t="s">
        <v>14</v>
      </c>
      <c r="B151" s="0" t="s">
        <v>3864</v>
      </c>
      <c r="C151" s="0" t="s">
        <v>3865</v>
      </c>
      <c r="D151" s="0" t="s">
        <v>3891</v>
      </c>
      <c r="E151" s="0" t="s">
        <v>3892</v>
      </c>
      <c r="F151" s="0" t="s">
        <v>3509</v>
      </c>
      <c r="G151" s="0" t="s">
        <v>3893</v>
      </c>
    </row>
    <row customHeight="1" ht="11.25">
      <c r="A152" s="0" t="s">
        <v>14</v>
      </c>
      <c r="B152" s="0" t="s">
        <v>3864</v>
      </c>
      <c r="C152" s="0" t="s">
        <v>3865</v>
      </c>
      <c r="D152" s="0" t="s">
        <v>3894</v>
      </c>
      <c r="E152" s="0" t="s">
        <v>3895</v>
      </c>
      <c r="F152" s="0" t="s">
        <v>3509</v>
      </c>
      <c r="G152" s="0" t="s">
        <v>3896</v>
      </c>
    </row>
    <row customHeight="1" ht="11.25">
      <c r="A153" s="0" t="s">
        <v>14</v>
      </c>
      <c r="B153" s="0" t="s">
        <v>3864</v>
      </c>
      <c r="C153" s="0" t="s">
        <v>3865</v>
      </c>
      <c r="D153" s="0" t="s">
        <v>3897</v>
      </c>
      <c r="E153" s="0" t="s">
        <v>3898</v>
      </c>
      <c r="F153" s="0" t="s">
        <v>3509</v>
      </c>
      <c r="G153" s="0" t="s">
        <v>3899</v>
      </c>
    </row>
    <row customHeight="1" ht="11.25">
      <c r="A154" s="0" t="s">
        <v>14</v>
      </c>
      <c r="B154" s="0" t="s">
        <v>3864</v>
      </c>
      <c r="C154" s="0" t="s">
        <v>3865</v>
      </c>
      <c r="D154" s="0" t="s">
        <v>3900</v>
      </c>
      <c r="E154" s="0" t="s">
        <v>3901</v>
      </c>
      <c r="F154" s="0" t="s">
        <v>3509</v>
      </c>
      <c r="G154" s="0" t="s">
        <v>3902</v>
      </c>
    </row>
    <row customHeight="1" ht="11.25">
      <c r="A155" s="0" t="s">
        <v>14</v>
      </c>
      <c r="B155" s="0" t="s">
        <v>3864</v>
      </c>
      <c r="C155" s="0" t="s">
        <v>3865</v>
      </c>
      <c r="D155" s="0" t="s">
        <v>3903</v>
      </c>
      <c r="E155" s="0" t="s">
        <v>3904</v>
      </c>
      <c r="F155" s="0" t="s">
        <v>3509</v>
      </c>
      <c r="G155" s="0" t="s">
        <v>3905</v>
      </c>
    </row>
    <row customHeight="1" ht="11.25">
      <c r="A156" s="0" t="s">
        <v>14</v>
      </c>
      <c r="B156" s="0" t="s">
        <v>3906</v>
      </c>
      <c r="C156" s="0" t="s">
        <v>3907</v>
      </c>
      <c r="D156" s="0" t="s">
        <v>3906</v>
      </c>
      <c r="E156" s="0" t="s">
        <v>3907</v>
      </c>
      <c r="F156" s="0" t="s">
        <v>3506</v>
      </c>
      <c r="G156" s="0" t="s">
        <v>3908</v>
      </c>
    </row>
    <row customHeight="1" ht="11.25">
      <c r="A157" s="0" t="s">
        <v>14</v>
      </c>
      <c r="B157" s="0" t="s">
        <v>3906</v>
      </c>
      <c r="C157" s="0" t="s">
        <v>3907</v>
      </c>
      <c r="D157" s="0" t="s">
        <v>3909</v>
      </c>
      <c r="E157" s="0" t="s">
        <v>3910</v>
      </c>
      <c r="F157" s="0" t="s">
        <v>3509</v>
      </c>
      <c r="G157" s="0" t="s">
        <v>3911</v>
      </c>
    </row>
    <row customHeight="1" ht="11.25">
      <c r="A158" s="0" t="s">
        <v>14</v>
      </c>
      <c r="B158" s="0" t="s">
        <v>3906</v>
      </c>
      <c r="C158" s="0" t="s">
        <v>3907</v>
      </c>
      <c r="D158" s="0" t="s">
        <v>3912</v>
      </c>
      <c r="E158" s="0" t="s">
        <v>3913</v>
      </c>
      <c r="F158" s="0" t="s">
        <v>3509</v>
      </c>
      <c r="G158" s="0" t="s">
        <v>3914</v>
      </c>
    </row>
    <row customHeight="1" ht="11.25">
      <c r="A159" s="0" t="s">
        <v>14</v>
      </c>
      <c r="B159" s="0" t="s">
        <v>3906</v>
      </c>
      <c r="C159" s="0" t="s">
        <v>3907</v>
      </c>
      <c r="D159" s="0" t="s">
        <v>3915</v>
      </c>
      <c r="E159" s="0" t="s">
        <v>3916</v>
      </c>
      <c r="F159" s="0" t="s">
        <v>3509</v>
      </c>
      <c r="G159" s="0" t="s">
        <v>3917</v>
      </c>
    </row>
    <row customHeight="1" ht="11.25">
      <c r="A160" s="0" t="s">
        <v>14</v>
      </c>
      <c r="B160" s="0" t="s">
        <v>3906</v>
      </c>
      <c r="C160" s="0" t="s">
        <v>3907</v>
      </c>
      <c r="D160" s="0" t="s">
        <v>3918</v>
      </c>
      <c r="E160" s="0" t="s">
        <v>3919</v>
      </c>
      <c r="F160" s="0" t="s">
        <v>3509</v>
      </c>
      <c r="G160" s="0" t="s">
        <v>3920</v>
      </c>
    </row>
    <row customHeight="1" ht="11.25">
      <c r="A161" s="0" t="s">
        <v>14</v>
      </c>
      <c r="B161" s="0" t="s">
        <v>3906</v>
      </c>
      <c r="C161" s="0" t="s">
        <v>3907</v>
      </c>
      <c r="D161" s="0" t="s">
        <v>3921</v>
      </c>
      <c r="E161" s="0" t="s">
        <v>3922</v>
      </c>
      <c r="F161" s="0" t="s">
        <v>3509</v>
      </c>
      <c r="G161" s="0" t="s">
        <v>3923</v>
      </c>
    </row>
    <row customHeight="1" ht="11.25">
      <c r="A162" s="0" t="s">
        <v>14</v>
      </c>
      <c r="B162" s="0" t="s">
        <v>3906</v>
      </c>
      <c r="C162" s="0" t="s">
        <v>3907</v>
      </c>
      <c r="D162" s="0" t="s">
        <v>3924</v>
      </c>
      <c r="E162" s="0" t="s">
        <v>3925</v>
      </c>
      <c r="F162" s="0" t="s">
        <v>3509</v>
      </c>
      <c r="G162" s="0" t="s">
        <v>3926</v>
      </c>
    </row>
    <row customHeight="1" ht="11.25">
      <c r="A163" s="0" t="s">
        <v>14</v>
      </c>
      <c r="B163" s="0" t="s">
        <v>3906</v>
      </c>
      <c r="C163" s="0" t="s">
        <v>3907</v>
      </c>
      <c r="D163" s="0" t="s">
        <v>3927</v>
      </c>
      <c r="E163" s="0" t="s">
        <v>3928</v>
      </c>
      <c r="F163" s="0" t="s">
        <v>3509</v>
      </c>
      <c r="G163" s="0" t="s">
        <v>3929</v>
      </c>
    </row>
    <row customHeight="1" ht="11.25">
      <c r="A164" s="0" t="s">
        <v>14</v>
      </c>
      <c r="B164" s="0" t="s">
        <v>3906</v>
      </c>
      <c r="C164" s="0" t="s">
        <v>3907</v>
      </c>
      <c r="D164" s="0" t="s">
        <v>3930</v>
      </c>
      <c r="E164" s="0" t="s">
        <v>3931</v>
      </c>
      <c r="F164" s="0" t="s">
        <v>3509</v>
      </c>
      <c r="G164" s="0" t="s">
        <v>3932</v>
      </c>
    </row>
    <row customHeight="1" ht="11.25">
      <c r="A165" s="0" t="s">
        <v>14</v>
      </c>
      <c r="B165" s="0" t="s">
        <v>3906</v>
      </c>
      <c r="C165" s="0" t="s">
        <v>3907</v>
      </c>
      <c r="D165" s="0" t="s">
        <v>3933</v>
      </c>
      <c r="E165" s="0" t="s">
        <v>3934</v>
      </c>
      <c r="F165" s="0" t="s">
        <v>3509</v>
      </c>
      <c r="G165" s="0" t="s">
        <v>3935</v>
      </c>
    </row>
    <row customHeight="1" ht="11.25">
      <c r="A166" s="0" t="s">
        <v>14</v>
      </c>
      <c r="B166" s="0" t="s">
        <v>3906</v>
      </c>
      <c r="C166" s="0" t="s">
        <v>3907</v>
      </c>
      <c r="D166" s="0" t="s">
        <v>3936</v>
      </c>
      <c r="E166" s="0" t="s">
        <v>3937</v>
      </c>
      <c r="F166" s="0" t="s">
        <v>3509</v>
      </c>
      <c r="G166" s="0" t="s">
        <v>3938</v>
      </c>
    </row>
    <row customHeight="1" ht="11.25">
      <c r="A167" s="0" t="s">
        <v>14</v>
      </c>
      <c r="B167" s="0" t="s">
        <v>3906</v>
      </c>
      <c r="C167" s="0" t="s">
        <v>3907</v>
      </c>
      <c r="D167" s="0" t="s">
        <v>3939</v>
      </c>
      <c r="E167" s="0" t="s">
        <v>3940</v>
      </c>
      <c r="F167" s="0" t="s">
        <v>3509</v>
      </c>
      <c r="G167" s="0" t="s">
        <v>3941</v>
      </c>
    </row>
    <row customHeight="1" ht="11.25">
      <c r="A168" s="0" t="s">
        <v>14</v>
      </c>
      <c r="B168" s="0" t="s">
        <v>3906</v>
      </c>
      <c r="C168" s="0" t="s">
        <v>3907</v>
      </c>
      <c r="D168" s="0" t="s">
        <v>3942</v>
      </c>
      <c r="E168" s="0" t="s">
        <v>3943</v>
      </c>
      <c r="F168" s="0" t="s">
        <v>3509</v>
      </c>
      <c r="G168" s="0" t="s">
        <v>3944</v>
      </c>
    </row>
    <row customHeight="1" ht="11.25">
      <c r="A169" s="0" t="s">
        <v>14</v>
      </c>
      <c r="B169" s="0" t="s">
        <v>3945</v>
      </c>
      <c r="C169" s="0" t="s">
        <v>3946</v>
      </c>
      <c r="D169" s="0" t="s">
        <v>3945</v>
      </c>
      <c r="E169" s="0" t="s">
        <v>3946</v>
      </c>
      <c r="F169" s="0" t="s">
        <v>3506</v>
      </c>
      <c r="G169" s="0" t="s">
        <v>3947</v>
      </c>
    </row>
    <row customHeight="1" ht="11.25">
      <c r="A170" s="0" t="s">
        <v>14</v>
      </c>
      <c r="B170" s="0" t="s">
        <v>3945</v>
      </c>
      <c r="C170" s="0" t="s">
        <v>3946</v>
      </c>
      <c r="D170" s="0" t="s">
        <v>3948</v>
      </c>
      <c r="E170" s="0" t="s">
        <v>3949</v>
      </c>
      <c r="F170" s="0" t="s">
        <v>3522</v>
      </c>
      <c r="G170" s="0" t="s">
        <v>3950</v>
      </c>
    </row>
    <row customHeight="1" ht="11.25">
      <c r="A171" s="0" t="s">
        <v>14</v>
      </c>
      <c r="B171" s="0" t="s">
        <v>3945</v>
      </c>
      <c r="C171" s="0" t="s">
        <v>3946</v>
      </c>
      <c r="D171" s="0" t="s">
        <v>3951</v>
      </c>
      <c r="E171" s="0" t="s">
        <v>3952</v>
      </c>
      <c r="F171" s="0" t="s">
        <v>3522</v>
      </c>
      <c r="G171" s="0" t="s">
        <v>3953</v>
      </c>
    </row>
    <row customHeight="1" ht="11.25">
      <c r="A172" s="0" t="s">
        <v>14</v>
      </c>
      <c r="B172" s="0" t="s">
        <v>3945</v>
      </c>
      <c r="C172" s="0" t="s">
        <v>3946</v>
      </c>
      <c r="D172" s="0" t="s">
        <v>3954</v>
      </c>
      <c r="E172" s="0" t="s">
        <v>3955</v>
      </c>
      <c r="F172" s="0" t="s">
        <v>3522</v>
      </c>
      <c r="G172" s="0" t="s">
        <v>3956</v>
      </c>
    </row>
    <row customHeight="1" ht="11.25">
      <c r="A173" s="0" t="s">
        <v>14</v>
      </c>
      <c r="B173" s="0" t="s">
        <v>3945</v>
      </c>
      <c r="C173" s="0" t="s">
        <v>3946</v>
      </c>
      <c r="D173" s="0" t="s">
        <v>3957</v>
      </c>
      <c r="E173" s="0" t="s">
        <v>3958</v>
      </c>
      <c r="F173" s="0" t="s">
        <v>3509</v>
      </c>
      <c r="G173" s="0" t="s">
        <v>3959</v>
      </c>
    </row>
    <row customHeight="1" ht="11.25">
      <c r="A174" s="0" t="s">
        <v>14</v>
      </c>
      <c r="B174" s="0" t="s">
        <v>3945</v>
      </c>
      <c r="C174" s="0" t="s">
        <v>3946</v>
      </c>
      <c r="D174" s="0" t="s">
        <v>3960</v>
      </c>
      <c r="E174" s="0" t="s">
        <v>3961</v>
      </c>
      <c r="F174" s="0" t="s">
        <v>3509</v>
      </c>
      <c r="G174" s="0" t="s">
        <v>3962</v>
      </c>
    </row>
    <row customHeight="1" ht="11.25">
      <c r="A175" s="0" t="s">
        <v>14</v>
      </c>
      <c r="B175" s="0" t="s">
        <v>3945</v>
      </c>
      <c r="C175" s="0" t="s">
        <v>3946</v>
      </c>
      <c r="D175" s="0" t="s">
        <v>3963</v>
      </c>
      <c r="E175" s="0" t="s">
        <v>3964</v>
      </c>
      <c r="F175" s="0" t="s">
        <v>3509</v>
      </c>
      <c r="G175" s="0" t="s">
        <v>3965</v>
      </c>
    </row>
    <row customHeight="1" ht="11.25">
      <c r="A176" s="0" t="s">
        <v>14</v>
      </c>
      <c r="B176" s="0" t="s">
        <v>3945</v>
      </c>
      <c r="C176" s="0" t="s">
        <v>3946</v>
      </c>
      <c r="D176" s="0" t="s">
        <v>3966</v>
      </c>
      <c r="E176" s="0" t="s">
        <v>3967</v>
      </c>
      <c r="F176" s="0" t="s">
        <v>3509</v>
      </c>
      <c r="G176" s="0" t="s">
        <v>3968</v>
      </c>
    </row>
    <row customHeight="1" ht="11.25">
      <c r="A177" s="0" t="s">
        <v>14</v>
      </c>
      <c r="B177" s="0" t="s">
        <v>3945</v>
      </c>
      <c r="C177" s="0" t="s">
        <v>3946</v>
      </c>
      <c r="D177" s="0" t="s">
        <v>3969</v>
      </c>
      <c r="E177" s="0" t="s">
        <v>3970</v>
      </c>
      <c r="F177" s="0" t="s">
        <v>3509</v>
      </c>
      <c r="G177" s="0" t="s">
        <v>3971</v>
      </c>
    </row>
    <row customHeight="1" ht="11.25">
      <c r="A178" s="0" t="s">
        <v>14</v>
      </c>
      <c r="B178" s="0" t="s">
        <v>3945</v>
      </c>
      <c r="C178" s="0" t="s">
        <v>3946</v>
      </c>
      <c r="D178" s="0" t="s">
        <v>3972</v>
      </c>
      <c r="E178" s="0" t="s">
        <v>3973</v>
      </c>
      <c r="F178" s="0" t="s">
        <v>3509</v>
      </c>
      <c r="G178" s="0" t="s">
        <v>3974</v>
      </c>
    </row>
    <row customHeight="1" ht="11.25">
      <c r="A179" s="0" t="s">
        <v>14</v>
      </c>
      <c r="B179" s="0" t="s">
        <v>3945</v>
      </c>
      <c r="C179" s="0" t="s">
        <v>3946</v>
      </c>
      <c r="D179" s="0" t="s">
        <v>3975</v>
      </c>
      <c r="E179" s="0" t="s">
        <v>3976</v>
      </c>
      <c r="F179" s="0" t="s">
        <v>3509</v>
      </c>
      <c r="G179" s="0" t="s">
        <v>3977</v>
      </c>
    </row>
    <row customHeight="1" ht="11.25">
      <c r="A180" s="0" t="s">
        <v>14</v>
      </c>
      <c r="B180" s="0" t="s">
        <v>3945</v>
      </c>
      <c r="C180" s="0" t="s">
        <v>3946</v>
      </c>
      <c r="D180" s="0" t="s">
        <v>3978</v>
      </c>
      <c r="E180" s="0" t="s">
        <v>3979</v>
      </c>
      <c r="F180" s="0" t="s">
        <v>3509</v>
      </c>
      <c r="G180" s="0" t="s">
        <v>3980</v>
      </c>
    </row>
    <row customHeight="1" ht="11.25">
      <c r="A181" s="0" t="s">
        <v>14</v>
      </c>
      <c r="B181" s="0" t="s">
        <v>3945</v>
      </c>
      <c r="C181" s="0" t="s">
        <v>3946</v>
      </c>
      <c r="D181" s="0" t="s">
        <v>3981</v>
      </c>
      <c r="E181" s="0" t="s">
        <v>3982</v>
      </c>
      <c r="F181" s="0" t="s">
        <v>3509</v>
      </c>
      <c r="G181" s="0" t="s">
        <v>3983</v>
      </c>
    </row>
    <row customHeight="1" ht="11.25">
      <c r="A182" s="0" t="s">
        <v>14</v>
      </c>
      <c r="B182" s="0" t="s">
        <v>3945</v>
      </c>
      <c r="C182" s="0" t="s">
        <v>3946</v>
      </c>
      <c r="D182" s="0" t="s">
        <v>3984</v>
      </c>
      <c r="E182" s="0" t="s">
        <v>3985</v>
      </c>
      <c r="F182" s="0" t="s">
        <v>3509</v>
      </c>
      <c r="G182" s="0" t="s">
        <v>3986</v>
      </c>
    </row>
    <row customHeight="1" ht="11.25">
      <c r="A183" s="0" t="s">
        <v>14</v>
      </c>
      <c r="B183" s="0" t="s">
        <v>3987</v>
      </c>
      <c r="C183" s="0" t="s">
        <v>3988</v>
      </c>
      <c r="D183" s="0" t="s">
        <v>3987</v>
      </c>
      <c r="E183" s="0" t="s">
        <v>3988</v>
      </c>
      <c r="F183" s="0" t="s">
        <v>3506</v>
      </c>
      <c r="G183" s="0" t="s">
        <v>3989</v>
      </c>
    </row>
    <row customHeight="1" ht="11.25">
      <c r="A184" s="0" t="s">
        <v>14</v>
      </c>
      <c r="B184" s="0" t="s">
        <v>3987</v>
      </c>
      <c r="C184" s="0" t="s">
        <v>3988</v>
      </c>
      <c r="D184" s="0" t="s">
        <v>3990</v>
      </c>
      <c r="E184" s="0" t="s">
        <v>3991</v>
      </c>
      <c r="F184" s="0" t="s">
        <v>3992</v>
      </c>
      <c r="G184" s="0" t="s">
        <v>3993</v>
      </c>
    </row>
    <row customHeight="1" ht="11.25">
      <c r="A185" s="0" t="s">
        <v>14</v>
      </c>
      <c r="B185" s="0" t="s">
        <v>3987</v>
      </c>
      <c r="C185" s="0" t="s">
        <v>3988</v>
      </c>
      <c r="D185" s="0" t="s">
        <v>3994</v>
      </c>
      <c r="E185" s="0" t="s">
        <v>3995</v>
      </c>
      <c r="F185" s="0" t="s">
        <v>3509</v>
      </c>
      <c r="G185" s="0" t="s">
        <v>3996</v>
      </c>
    </row>
    <row customHeight="1" ht="11.25">
      <c r="A186" s="0" t="s">
        <v>14</v>
      </c>
      <c r="B186" s="0" t="s">
        <v>3987</v>
      </c>
      <c r="C186" s="0" t="s">
        <v>3988</v>
      </c>
      <c r="D186" s="0" t="s">
        <v>3798</v>
      </c>
      <c r="E186" s="0" t="s">
        <v>3997</v>
      </c>
      <c r="F186" s="0" t="s">
        <v>3509</v>
      </c>
      <c r="G186" s="0" t="s">
        <v>3998</v>
      </c>
    </row>
    <row customHeight="1" ht="11.25">
      <c r="A187" s="0" t="s">
        <v>14</v>
      </c>
      <c r="B187" s="0" t="s">
        <v>3987</v>
      </c>
      <c r="C187" s="0" t="s">
        <v>3988</v>
      </c>
      <c r="D187" s="0" t="s">
        <v>3999</v>
      </c>
      <c r="E187" s="0" t="s">
        <v>4000</v>
      </c>
      <c r="F187" s="0" t="s">
        <v>3509</v>
      </c>
      <c r="G187" s="0" t="s">
        <v>4001</v>
      </c>
    </row>
    <row customHeight="1" ht="11.25">
      <c r="A188" s="0" t="s">
        <v>14</v>
      </c>
      <c r="B188" s="0" t="s">
        <v>3987</v>
      </c>
      <c r="C188" s="0" t="s">
        <v>3988</v>
      </c>
      <c r="D188" s="0" t="s">
        <v>4002</v>
      </c>
      <c r="E188" s="0" t="s">
        <v>4003</v>
      </c>
      <c r="F188" s="0" t="s">
        <v>3509</v>
      </c>
      <c r="G188" s="0" t="s">
        <v>4004</v>
      </c>
    </row>
    <row customHeight="1" ht="11.25">
      <c r="A189" s="0" t="s">
        <v>14</v>
      </c>
      <c r="B189" s="0" t="s">
        <v>3987</v>
      </c>
      <c r="C189" s="0" t="s">
        <v>3988</v>
      </c>
      <c r="D189" s="0" t="s">
        <v>4005</v>
      </c>
      <c r="E189" s="0" t="s">
        <v>4006</v>
      </c>
      <c r="F189" s="0" t="s">
        <v>3509</v>
      </c>
      <c r="G189" s="0" t="s">
        <v>4007</v>
      </c>
    </row>
    <row customHeight="1" ht="11.25">
      <c r="A190" s="0" t="s">
        <v>14</v>
      </c>
      <c r="B190" s="0" t="s">
        <v>3987</v>
      </c>
      <c r="C190" s="0" t="s">
        <v>3988</v>
      </c>
      <c r="D190" s="0" t="s">
        <v>4008</v>
      </c>
      <c r="E190" s="0" t="s">
        <v>4009</v>
      </c>
      <c r="F190" s="0" t="s">
        <v>3509</v>
      </c>
      <c r="G190" s="0" t="s">
        <v>4010</v>
      </c>
    </row>
    <row customHeight="1" ht="11.25">
      <c r="A191" s="0" t="s">
        <v>14</v>
      </c>
      <c r="B191" s="0" t="s">
        <v>3987</v>
      </c>
      <c r="C191" s="0" t="s">
        <v>3988</v>
      </c>
      <c r="D191" s="0" t="s">
        <v>4011</v>
      </c>
      <c r="E191" s="0" t="s">
        <v>4012</v>
      </c>
      <c r="F191" s="0" t="s">
        <v>3509</v>
      </c>
      <c r="G191" s="0" t="s">
        <v>4013</v>
      </c>
    </row>
    <row customHeight="1" ht="11.25">
      <c r="A192" s="0" t="s">
        <v>14</v>
      </c>
      <c r="B192" s="0" t="s">
        <v>3987</v>
      </c>
      <c r="C192" s="0" t="s">
        <v>3988</v>
      </c>
      <c r="D192" s="0" t="s">
        <v>4014</v>
      </c>
      <c r="E192" s="0" t="s">
        <v>4015</v>
      </c>
      <c r="F192" s="0" t="s">
        <v>3509</v>
      </c>
      <c r="G192" s="0" t="s">
        <v>4016</v>
      </c>
    </row>
    <row customHeight="1" ht="11.25">
      <c r="A193" s="0" t="s">
        <v>14</v>
      </c>
      <c r="B193" s="0" t="s">
        <v>4017</v>
      </c>
      <c r="C193" s="0" t="s">
        <v>4018</v>
      </c>
      <c r="D193" s="0" t="s">
        <v>4017</v>
      </c>
      <c r="E193" s="0" t="s">
        <v>4018</v>
      </c>
      <c r="F193" s="0" t="s">
        <v>3506</v>
      </c>
      <c r="G193" s="0" t="s">
        <v>4019</v>
      </c>
    </row>
    <row customHeight="1" ht="11.25">
      <c r="A194" s="0" t="s">
        <v>14</v>
      </c>
      <c r="B194" s="0" t="s">
        <v>4017</v>
      </c>
      <c r="C194" s="0" t="s">
        <v>4018</v>
      </c>
      <c r="D194" s="0" t="s">
        <v>4020</v>
      </c>
      <c r="E194" s="0" t="s">
        <v>4021</v>
      </c>
      <c r="F194" s="0" t="s">
        <v>3509</v>
      </c>
      <c r="G194" s="0" t="s">
        <v>4022</v>
      </c>
    </row>
    <row customHeight="1" ht="11.25">
      <c r="A195" s="0" t="s">
        <v>14</v>
      </c>
      <c r="B195" s="0" t="s">
        <v>4017</v>
      </c>
      <c r="C195" s="0" t="s">
        <v>4018</v>
      </c>
      <c r="D195" s="0" t="s">
        <v>4023</v>
      </c>
      <c r="E195" s="0" t="s">
        <v>4024</v>
      </c>
      <c r="F195" s="0" t="s">
        <v>3509</v>
      </c>
      <c r="G195" s="0" t="s">
        <v>4025</v>
      </c>
    </row>
    <row customHeight="1" ht="11.25">
      <c r="A196" s="0" t="s">
        <v>14</v>
      </c>
      <c r="B196" s="0" t="s">
        <v>4017</v>
      </c>
      <c r="C196" s="0" t="s">
        <v>4018</v>
      </c>
      <c r="D196" s="0" t="s">
        <v>4026</v>
      </c>
      <c r="E196" s="0" t="s">
        <v>4027</v>
      </c>
      <c r="F196" s="0" t="s">
        <v>3509</v>
      </c>
      <c r="G196" s="0" t="s">
        <v>4028</v>
      </c>
    </row>
    <row customHeight="1" ht="11.25">
      <c r="A197" s="0" t="s">
        <v>14</v>
      </c>
      <c r="B197" s="0" t="s">
        <v>4017</v>
      </c>
      <c r="C197" s="0" t="s">
        <v>4018</v>
      </c>
      <c r="D197" s="0" t="s">
        <v>4029</v>
      </c>
      <c r="E197" s="0" t="s">
        <v>4030</v>
      </c>
      <c r="F197" s="0" t="s">
        <v>3509</v>
      </c>
      <c r="G197" s="0" t="s">
        <v>4031</v>
      </c>
    </row>
    <row customHeight="1" ht="11.25">
      <c r="A198" s="0" t="s">
        <v>14</v>
      </c>
      <c r="B198" s="0" t="s">
        <v>4017</v>
      </c>
      <c r="C198" s="0" t="s">
        <v>4018</v>
      </c>
      <c r="D198" s="0" t="s">
        <v>4032</v>
      </c>
      <c r="E198" s="0" t="s">
        <v>4033</v>
      </c>
      <c r="F198" s="0" t="s">
        <v>3509</v>
      </c>
      <c r="G198" s="0" t="s">
        <v>4034</v>
      </c>
    </row>
    <row customHeight="1" ht="11.25">
      <c r="A199" s="0" t="s">
        <v>14</v>
      </c>
      <c r="B199" s="0" t="s">
        <v>4017</v>
      </c>
      <c r="C199" s="0" t="s">
        <v>4018</v>
      </c>
      <c r="D199" s="0" t="s">
        <v>4035</v>
      </c>
      <c r="E199" s="0" t="s">
        <v>4036</v>
      </c>
      <c r="F199" s="0" t="s">
        <v>3509</v>
      </c>
      <c r="G199" s="0" t="s">
        <v>4037</v>
      </c>
    </row>
    <row customHeight="1" ht="11.25">
      <c r="A200" s="0" t="s">
        <v>14</v>
      </c>
      <c r="B200" s="0" t="s">
        <v>4017</v>
      </c>
      <c r="C200" s="0" t="s">
        <v>4018</v>
      </c>
      <c r="D200" s="0" t="s">
        <v>4038</v>
      </c>
      <c r="E200" s="0" t="s">
        <v>4039</v>
      </c>
      <c r="F200" s="0" t="s">
        <v>3509</v>
      </c>
      <c r="G200" s="0" t="s">
        <v>4040</v>
      </c>
    </row>
    <row customHeight="1" ht="11.25">
      <c r="A201" s="0" t="s">
        <v>14</v>
      </c>
      <c r="B201" s="0" t="s">
        <v>4017</v>
      </c>
      <c r="C201" s="0" t="s">
        <v>4018</v>
      </c>
      <c r="D201" s="0" t="s">
        <v>4041</v>
      </c>
      <c r="E201" s="0" t="s">
        <v>4042</v>
      </c>
      <c r="F201" s="0" t="s">
        <v>3509</v>
      </c>
      <c r="G201" s="0" t="s">
        <v>4043</v>
      </c>
    </row>
    <row customHeight="1" ht="11.25">
      <c r="A202" s="0" t="s">
        <v>14</v>
      </c>
      <c r="B202" s="0" t="s">
        <v>4044</v>
      </c>
      <c r="C202" s="0" t="s">
        <v>4045</v>
      </c>
      <c r="D202" s="0" t="s">
        <v>4044</v>
      </c>
      <c r="E202" s="0" t="s">
        <v>4045</v>
      </c>
      <c r="F202" s="0" t="s">
        <v>3506</v>
      </c>
      <c r="G202" s="0" t="s">
        <v>4046</v>
      </c>
    </row>
    <row customHeight="1" ht="11.25">
      <c r="A203" s="0" t="s">
        <v>14</v>
      </c>
      <c r="B203" s="0" t="s">
        <v>4044</v>
      </c>
      <c r="C203" s="0" t="s">
        <v>4045</v>
      </c>
      <c r="D203" s="0" t="s">
        <v>4047</v>
      </c>
      <c r="E203" s="0" t="s">
        <v>4048</v>
      </c>
      <c r="F203" s="0" t="s">
        <v>3509</v>
      </c>
      <c r="G203" s="0" t="s">
        <v>4049</v>
      </c>
    </row>
    <row customHeight="1" ht="11.25">
      <c r="A204" s="0" t="s">
        <v>14</v>
      </c>
      <c r="B204" s="0" t="s">
        <v>4044</v>
      </c>
      <c r="C204" s="0" t="s">
        <v>4045</v>
      </c>
      <c r="D204" s="0" t="s">
        <v>4050</v>
      </c>
      <c r="E204" s="0" t="s">
        <v>4051</v>
      </c>
      <c r="F204" s="0" t="s">
        <v>3509</v>
      </c>
      <c r="G204" s="0" t="s">
        <v>4052</v>
      </c>
    </row>
    <row customHeight="1" ht="11.25">
      <c r="A205" s="0" t="s">
        <v>14</v>
      </c>
      <c r="B205" s="0" t="s">
        <v>4044</v>
      </c>
      <c r="C205" s="0" t="s">
        <v>4045</v>
      </c>
      <c r="D205" s="0" t="s">
        <v>4053</v>
      </c>
      <c r="E205" s="0" t="s">
        <v>4054</v>
      </c>
      <c r="F205" s="0" t="s">
        <v>3509</v>
      </c>
      <c r="G205" s="0" t="s">
        <v>4055</v>
      </c>
    </row>
    <row customHeight="1" ht="11.25">
      <c r="A206" s="0" t="s">
        <v>14</v>
      </c>
      <c r="B206" s="0" t="s">
        <v>4044</v>
      </c>
      <c r="C206" s="0" t="s">
        <v>4045</v>
      </c>
      <c r="D206" s="0" t="s">
        <v>4056</v>
      </c>
      <c r="E206" s="0" t="s">
        <v>4057</v>
      </c>
      <c r="F206" s="0" t="s">
        <v>3509</v>
      </c>
      <c r="G206" s="0" t="s">
        <v>4058</v>
      </c>
    </row>
    <row customHeight="1" ht="11.25">
      <c r="A207" s="0" t="s">
        <v>14</v>
      </c>
      <c r="B207" s="0" t="s">
        <v>4044</v>
      </c>
      <c r="C207" s="0" t="s">
        <v>4045</v>
      </c>
      <c r="D207" s="0" t="s">
        <v>4059</v>
      </c>
      <c r="E207" s="0" t="s">
        <v>4060</v>
      </c>
      <c r="F207" s="0" t="s">
        <v>3509</v>
      </c>
      <c r="G207" s="0" t="s">
        <v>4061</v>
      </c>
    </row>
    <row customHeight="1" ht="11.25">
      <c r="A208" s="0" t="s">
        <v>14</v>
      </c>
      <c r="B208" s="0" t="s">
        <v>4044</v>
      </c>
      <c r="C208" s="0" t="s">
        <v>4045</v>
      </c>
      <c r="D208" s="0" t="s">
        <v>4062</v>
      </c>
      <c r="E208" s="0" t="s">
        <v>4063</v>
      </c>
      <c r="F208" s="0" t="s">
        <v>3509</v>
      </c>
      <c r="G208" s="0" t="s">
        <v>4064</v>
      </c>
    </row>
    <row customHeight="1" ht="11.25">
      <c r="A209" s="0" t="s">
        <v>14</v>
      </c>
      <c r="B209" s="0" t="s">
        <v>4044</v>
      </c>
      <c r="C209" s="0" t="s">
        <v>4045</v>
      </c>
      <c r="D209" s="0" t="s">
        <v>4065</v>
      </c>
      <c r="E209" s="0" t="s">
        <v>4066</v>
      </c>
      <c r="F209" s="0" t="s">
        <v>3509</v>
      </c>
      <c r="G209" s="0" t="s">
        <v>4067</v>
      </c>
    </row>
    <row customHeight="1" ht="11.25">
      <c r="A210" s="0" t="s">
        <v>14</v>
      </c>
      <c r="B210" s="0" t="s">
        <v>4044</v>
      </c>
      <c r="C210" s="0" t="s">
        <v>4045</v>
      </c>
      <c r="D210" s="0" t="s">
        <v>4068</v>
      </c>
      <c r="E210" s="0" t="s">
        <v>4069</v>
      </c>
      <c r="F210" s="0" t="s">
        <v>3509</v>
      </c>
      <c r="G210" s="0" t="s">
        <v>4070</v>
      </c>
    </row>
    <row customHeight="1" ht="11.25">
      <c r="A211" s="0" t="s">
        <v>14</v>
      </c>
      <c r="B211" s="0" t="s">
        <v>4044</v>
      </c>
      <c r="C211" s="0" t="s">
        <v>4045</v>
      </c>
      <c r="D211" s="0" t="s">
        <v>4071</v>
      </c>
      <c r="E211" s="0" t="s">
        <v>4072</v>
      </c>
      <c r="F211" s="0" t="s">
        <v>3509</v>
      </c>
      <c r="G211" s="0" t="s">
        <v>4073</v>
      </c>
    </row>
    <row customHeight="1" ht="11.25">
      <c r="A212" s="0" t="s">
        <v>14</v>
      </c>
      <c r="B212" s="0" t="s">
        <v>4044</v>
      </c>
      <c r="C212" s="0" t="s">
        <v>4045</v>
      </c>
      <c r="D212" s="0" t="s">
        <v>4074</v>
      </c>
      <c r="E212" s="0" t="s">
        <v>4075</v>
      </c>
      <c r="F212" s="0" t="s">
        <v>3509</v>
      </c>
      <c r="G212" s="0" t="s">
        <v>4076</v>
      </c>
    </row>
    <row customHeight="1" ht="11.25">
      <c r="A213" s="0" t="s">
        <v>14</v>
      </c>
      <c r="B213" s="0" t="s">
        <v>4044</v>
      </c>
      <c r="C213" s="0" t="s">
        <v>4045</v>
      </c>
      <c r="D213" s="0" t="s">
        <v>4077</v>
      </c>
      <c r="E213" s="0" t="s">
        <v>4078</v>
      </c>
      <c r="F213" s="0" t="s">
        <v>3509</v>
      </c>
      <c r="G213" s="0" t="s">
        <v>4079</v>
      </c>
    </row>
    <row customHeight="1" ht="11.25">
      <c r="A214" s="0" t="s">
        <v>14</v>
      </c>
      <c r="B214" s="0" t="s">
        <v>4044</v>
      </c>
      <c r="C214" s="0" t="s">
        <v>4045</v>
      </c>
      <c r="D214" s="0" t="s">
        <v>4080</v>
      </c>
      <c r="E214" s="0" t="s">
        <v>4081</v>
      </c>
      <c r="F214" s="0" t="s">
        <v>3509</v>
      </c>
      <c r="G214" s="0" t="s">
        <v>4082</v>
      </c>
    </row>
    <row customHeight="1" ht="11.25">
      <c r="A215" s="0" t="s">
        <v>14</v>
      </c>
      <c r="B215" s="0" t="s">
        <v>4044</v>
      </c>
      <c r="C215" s="0" t="s">
        <v>4045</v>
      </c>
      <c r="D215" s="0" t="s">
        <v>4083</v>
      </c>
      <c r="E215" s="0" t="s">
        <v>4084</v>
      </c>
      <c r="F215" s="0" t="s">
        <v>3509</v>
      </c>
      <c r="G215" s="0" t="s">
        <v>4085</v>
      </c>
    </row>
    <row customHeight="1" ht="11.25">
      <c r="A216" s="0" t="s">
        <v>14</v>
      </c>
      <c r="B216" s="0" t="s">
        <v>4044</v>
      </c>
      <c r="C216" s="0" t="s">
        <v>4045</v>
      </c>
      <c r="D216" s="0" t="s">
        <v>4086</v>
      </c>
      <c r="E216" s="0" t="s">
        <v>4087</v>
      </c>
      <c r="F216" s="0" t="s">
        <v>3509</v>
      </c>
      <c r="G216" s="0" t="s">
        <v>4088</v>
      </c>
    </row>
    <row customHeight="1" ht="11.25">
      <c r="A217" s="0" t="s">
        <v>14</v>
      </c>
      <c r="B217" s="0" t="s">
        <v>4044</v>
      </c>
      <c r="C217" s="0" t="s">
        <v>4045</v>
      </c>
      <c r="D217" s="0" t="s">
        <v>4089</v>
      </c>
      <c r="E217" s="0" t="s">
        <v>4090</v>
      </c>
      <c r="F217" s="0" t="s">
        <v>3509</v>
      </c>
      <c r="G217" s="0" t="s">
        <v>4091</v>
      </c>
    </row>
    <row customHeight="1" ht="11.25">
      <c r="A218" s="0" t="s">
        <v>14</v>
      </c>
      <c r="B218" s="0" t="s">
        <v>4092</v>
      </c>
      <c r="C218" s="0" t="s">
        <v>4093</v>
      </c>
      <c r="D218" s="0" t="s">
        <v>4092</v>
      </c>
      <c r="E218" s="0" t="s">
        <v>4093</v>
      </c>
      <c r="F218" s="0" t="s">
        <v>3506</v>
      </c>
      <c r="G218" s="0" t="s">
        <v>4094</v>
      </c>
    </row>
    <row customHeight="1" ht="11.25">
      <c r="A219" s="0" t="s">
        <v>14</v>
      </c>
      <c r="B219" s="0" t="s">
        <v>4092</v>
      </c>
      <c r="C219" s="0" t="s">
        <v>4093</v>
      </c>
      <c r="D219" s="0" t="s">
        <v>4095</v>
      </c>
      <c r="E219" s="0" t="s">
        <v>4096</v>
      </c>
      <c r="F219" s="0" t="s">
        <v>3509</v>
      </c>
      <c r="G219" s="0" t="s">
        <v>4097</v>
      </c>
    </row>
    <row customHeight="1" ht="11.25">
      <c r="A220" s="0" t="s">
        <v>14</v>
      </c>
      <c r="B220" s="0" t="s">
        <v>4092</v>
      </c>
      <c r="C220" s="0" t="s">
        <v>4093</v>
      </c>
      <c r="D220" s="0" t="s">
        <v>4098</v>
      </c>
      <c r="E220" s="0" t="s">
        <v>4099</v>
      </c>
      <c r="F220" s="0" t="s">
        <v>3509</v>
      </c>
      <c r="G220" s="0" t="s">
        <v>4100</v>
      </c>
    </row>
    <row customHeight="1" ht="11.25">
      <c r="A221" s="0" t="s">
        <v>14</v>
      </c>
      <c r="B221" s="0" t="s">
        <v>4092</v>
      </c>
      <c r="C221" s="0" t="s">
        <v>4093</v>
      </c>
      <c r="D221" s="0" t="s">
        <v>4101</v>
      </c>
      <c r="E221" s="0" t="s">
        <v>4102</v>
      </c>
      <c r="F221" s="0" t="s">
        <v>3509</v>
      </c>
      <c r="G221" s="0" t="s">
        <v>4103</v>
      </c>
    </row>
    <row customHeight="1" ht="11.25">
      <c r="A222" s="0" t="s">
        <v>14</v>
      </c>
      <c r="B222" s="0" t="s">
        <v>4092</v>
      </c>
      <c r="C222" s="0" t="s">
        <v>4093</v>
      </c>
      <c r="D222" s="0" t="s">
        <v>4104</v>
      </c>
      <c r="E222" s="0" t="s">
        <v>4105</v>
      </c>
      <c r="F222" s="0" t="s">
        <v>3509</v>
      </c>
      <c r="G222" s="0" t="s">
        <v>4106</v>
      </c>
    </row>
    <row customHeight="1" ht="11.25">
      <c r="A223" s="0" t="s">
        <v>14</v>
      </c>
      <c r="B223" s="0" t="s">
        <v>4092</v>
      </c>
      <c r="C223" s="0" t="s">
        <v>4093</v>
      </c>
      <c r="D223" s="0" t="s">
        <v>4107</v>
      </c>
      <c r="E223" s="0" t="s">
        <v>4108</v>
      </c>
      <c r="F223" s="0" t="s">
        <v>3509</v>
      </c>
      <c r="G223" s="0" t="s">
        <v>4109</v>
      </c>
    </row>
    <row customHeight="1" ht="11.25">
      <c r="A224" s="0" t="s">
        <v>14</v>
      </c>
      <c r="B224" s="0" t="s">
        <v>4092</v>
      </c>
      <c r="C224" s="0" t="s">
        <v>4093</v>
      </c>
      <c r="D224" s="0" t="s">
        <v>4110</v>
      </c>
      <c r="E224" s="0" t="s">
        <v>4111</v>
      </c>
      <c r="F224" s="0" t="s">
        <v>3509</v>
      </c>
      <c r="G224" s="0" t="s">
        <v>4112</v>
      </c>
    </row>
    <row customHeight="1" ht="11.25">
      <c r="A225" s="0" t="s">
        <v>14</v>
      </c>
      <c r="B225" s="0" t="s">
        <v>4092</v>
      </c>
      <c r="C225" s="0" t="s">
        <v>4093</v>
      </c>
      <c r="D225" s="0" t="s">
        <v>4113</v>
      </c>
      <c r="E225" s="0" t="s">
        <v>4114</v>
      </c>
      <c r="F225" s="0" t="s">
        <v>3509</v>
      </c>
      <c r="G225" s="0" t="s">
        <v>4115</v>
      </c>
    </row>
    <row customHeight="1" ht="11.25">
      <c r="A226" s="0" t="s">
        <v>14</v>
      </c>
      <c r="B226" s="0" t="s">
        <v>4116</v>
      </c>
      <c r="C226" s="0" t="s">
        <v>4117</v>
      </c>
      <c r="D226" s="0" t="s">
        <v>4116</v>
      </c>
      <c r="E226" s="0" t="s">
        <v>4117</v>
      </c>
      <c r="F226" s="0" t="s">
        <v>3506</v>
      </c>
      <c r="G226" s="0" t="s">
        <v>4118</v>
      </c>
    </row>
    <row customHeight="1" ht="11.25">
      <c r="A227" s="0" t="s">
        <v>14</v>
      </c>
      <c r="B227" s="0" t="s">
        <v>4116</v>
      </c>
      <c r="C227" s="0" t="s">
        <v>4117</v>
      </c>
      <c r="D227" s="0" t="s">
        <v>4119</v>
      </c>
      <c r="E227" s="0" t="s">
        <v>4120</v>
      </c>
      <c r="F227" s="0" t="s">
        <v>3522</v>
      </c>
      <c r="G227" s="0" t="s">
        <v>4121</v>
      </c>
    </row>
    <row customHeight="1" ht="11.25">
      <c r="A228" s="0" t="s">
        <v>14</v>
      </c>
      <c r="B228" s="0" t="s">
        <v>4116</v>
      </c>
      <c r="C228" s="0" t="s">
        <v>4117</v>
      </c>
      <c r="D228" s="0" t="s">
        <v>4122</v>
      </c>
      <c r="E228" s="0" t="s">
        <v>4123</v>
      </c>
      <c r="F228" s="0" t="s">
        <v>3509</v>
      </c>
      <c r="G228" s="0" t="s">
        <v>4124</v>
      </c>
    </row>
    <row customHeight="1" ht="11.25">
      <c r="A229" s="0" t="s">
        <v>14</v>
      </c>
      <c r="B229" s="0" t="s">
        <v>4116</v>
      </c>
      <c r="C229" s="0" t="s">
        <v>4117</v>
      </c>
      <c r="D229" s="0" t="s">
        <v>4125</v>
      </c>
      <c r="E229" s="0" t="s">
        <v>4126</v>
      </c>
      <c r="F229" s="0" t="s">
        <v>3509</v>
      </c>
      <c r="G229" s="0" t="s">
        <v>4127</v>
      </c>
    </row>
    <row customHeight="1" ht="11.25">
      <c r="A230" s="0" t="s">
        <v>14</v>
      </c>
      <c r="B230" s="0" t="s">
        <v>4116</v>
      </c>
      <c r="C230" s="0" t="s">
        <v>4117</v>
      </c>
      <c r="D230" s="0" t="s">
        <v>4128</v>
      </c>
      <c r="E230" s="0" t="s">
        <v>4129</v>
      </c>
      <c r="F230" s="0" t="s">
        <v>3509</v>
      </c>
      <c r="G230" s="0" t="s">
        <v>4130</v>
      </c>
    </row>
    <row customHeight="1" ht="11.25">
      <c r="A231" s="0" t="s">
        <v>14</v>
      </c>
      <c r="B231" s="0" t="s">
        <v>4116</v>
      </c>
      <c r="C231" s="0" t="s">
        <v>4117</v>
      </c>
      <c r="D231" s="0" t="s">
        <v>4131</v>
      </c>
      <c r="E231" s="0" t="s">
        <v>4132</v>
      </c>
      <c r="F231" s="0" t="s">
        <v>3509</v>
      </c>
      <c r="G231" s="0" t="s">
        <v>4133</v>
      </c>
    </row>
    <row customHeight="1" ht="11.25">
      <c r="A232" s="0" t="s">
        <v>14</v>
      </c>
      <c r="B232" s="0" t="s">
        <v>4116</v>
      </c>
      <c r="C232" s="0" t="s">
        <v>4117</v>
      </c>
      <c r="D232" s="0" t="s">
        <v>4134</v>
      </c>
      <c r="E232" s="0" t="s">
        <v>4135</v>
      </c>
      <c r="F232" s="0" t="s">
        <v>3509</v>
      </c>
      <c r="G232" s="0" t="s">
        <v>4136</v>
      </c>
    </row>
    <row customHeight="1" ht="11.25">
      <c r="A233" s="0" t="s">
        <v>14</v>
      </c>
      <c r="B233" s="0" t="s">
        <v>4116</v>
      </c>
      <c r="C233" s="0" t="s">
        <v>4117</v>
      </c>
      <c r="D233" s="0" t="s">
        <v>4137</v>
      </c>
      <c r="E233" s="0" t="s">
        <v>4138</v>
      </c>
      <c r="F233" s="0" t="s">
        <v>3509</v>
      </c>
      <c r="G233" s="0" t="s">
        <v>4139</v>
      </c>
    </row>
    <row customHeight="1" ht="11.25">
      <c r="A234" s="0" t="s">
        <v>14</v>
      </c>
      <c r="B234" s="0" t="s">
        <v>4116</v>
      </c>
      <c r="C234" s="0" t="s">
        <v>4117</v>
      </c>
      <c r="D234" s="0" t="s">
        <v>4140</v>
      </c>
      <c r="E234" s="0" t="s">
        <v>4141</v>
      </c>
      <c r="F234" s="0" t="s">
        <v>3509</v>
      </c>
      <c r="G234" s="0" t="s">
        <v>4142</v>
      </c>
    </row>
    <row customHeight="1" ht="11.25">
      <c r="A235" s="0" t="s">
        <v>14</v>
      </c>
      <c r="B235" s="0" t="s">
        <v>4116</v>
      </c>
      <c r="C235" s="0" t="s">
        <v>4117</v>
      </c>
      <c r="D235" s="0" t="s">
        <v>4143</v>
      </c>
      <c r="E235" s="0" t="s">
        <v>4144</v>
      </c>
      <c r="F235" s="0" t="s">
        <v>3509</v>
      </c>
      <c r="G235" s="0" t="s">
        <v>4145</v>
      </c>
    </row>
    <row customHeight="1" ht="11.25">
      <c r="A236" s="0" t="s">
        <v>14</v>
      </c>
      <c r="B236" s="0" t="s">
        <v>4116</v>
      </c>
      <c r="C236" s="0" t="s">
        <v>4117</v>
      </c>
      <c r="D236" s="0" t="s">
        <v>4146</v>
      </c>
      <c r="E236" s="0" t="s">
        <v>4147</v>
      </c>
      <c r="F236" s="0" t="s">
        <v>3509</v>
      </c>
      <c r="G236" s="0" t="s">
        <v>4148</v>
      </c>
    </row>
    <row customHeight="1" ht="11.25">
      <c r="A237" s="0" t="s">
        <v>14</v>
      </c>
      <c r="B237" s="0" t="s">
        <v>4116</v>
      </c>
      <c r="C237" s="0" t="s">
        <v>4117</v>
      </c>
      <c r="D237" s="0" t="s">
        <v>4149</v>
      </c>
      <c r="E237" s="0" t="s">
        <v>4150</v>
      </c>
      <c r="F237" s="0" t="s">
        <v>3509</v>
      </c>
      <c r="G237" s="0" t="s">
        <v>4151</v>
      </c>
    </row>
    <row customHeight="1" ht="11.25">
      <c r="A238" s="0" t="s">
        <v>14</v>
      </c>
      <c r="B238" s="0" t="s">
        <v>4116</v>
      </c>
      <c r="C238" s="0" t="s">
        <v>4117</v>
      </c>
      <c r="D238" s="0" t="s">
        <v>4152</v>
      </c>
      <c r="E238" s="0" t="s">
        <v>4153</v>
      </c>
      <c r="F238" s="0" t="s">
        <v>3509</v>
      </c>
      <c r="G238" s="0" t="s">
        <v>4154</v>
      </c>
    </row>
    <row customHeight="1" ht="11.25">
      <c r="A239" s="0" t="s">
        <v>14</v>
      </c>
      <c r="B239" s="0" t="s">
        <v>4116</v>
      </c>
      <c r="C239" s="0" t="s">
        <v>4117</v>
      </c>
      <c r="D239" s="0" t="s">
        <v>4155</v>
      </c>
      <c r="E239" s="0" t="s">
        <v>4156</v>
      </c>
      <c r="F239" s="0" t="s">
        <v>3509</v>
      </c>
      <c r="G239" s="0" t="s">
        <v>4157</v>
      </c>
    </row>
    <row customHeight="1" ht="11.25">
      <c r="A240" s="0" t="s">
        <v>14</v>
      </c>
      <c r="B240" s="0" t="s">
        <v>4116</v>
      </c>
      <c r="C240" s="0" t="s">
        <v>4117</v>
      </c>
      <c r="D240" s="0" t="s">
        <v>4158</v>
      </c>
      <c r="E240" s="0" t="s">
        <v>4159</v>
      </c>
      <c r="F240" s="0" t="s">
        <v>3509</v>
      </c>
      <c r="G240" s="0" t="s">
        <v>4160</v>
      </c>
    </row>
    <row customHeight="1" ht="11.25">
      <c r="A241" s="0" t="s">
        <v>14</v>
      </c>
      <c r="B241" s="0" t="s">
        <v>4116</v>
      </c>
      <c r="C241" s="0" t="s">
        <v>4117</v>
      </c>
      <c r="D241" s="0" t="s">
        <v>4161</v>
      </c>
      <c r="E241" s="0" t="s">
        <v>4162</v>
      </c>
      <c r="F241" s="0" t="s">
        <v>3509</v>
      </c>
      <c r="G241" s="0" t="s">
        <v>4163</v>
      </c>
    </row>
    <row customHeight="1" ht="11.25">
      <c r="A242" s="0" t="s">
        <v>14</v>
      </c>
      <c r="B242" s="0" t="s">
        <v>4116</v>
      </c>
      <c r="C242" s="0" t="s">
        <v>4117</v>
      </c>
      <c r="D242" s="0" t="s">
        <v>4164</v>
      </c>
      <c r="E242" s="0" t="s">
        <v>4165</v>
      </c>
      <c r="F242" s="0" t="s">
        <v>3509</v>
      </c>
      <c r="G242" s="0" t="s">
        <v>4166</v>
      </c>
    </row>
    <row customHeight="1" ht="11.25">
      <c r="A243" s="0" t="s">
        <v>14</v>
      </c>
      <c r="B243" s="0" t="s">
        <v>4116</v>
      </c>
      <c r="C243" s="0" t="s">
        <v>4117</v>
      </c>
      <c r="D243" s="0" t="s">
        <v>3786</v>
      </c>
      <c r="E243" s="0" t="s">
        <v>4167</v>
      </c>
      <c r="F243" s="0" t="s">
        <v>3509</v>
      </c>
      <c r="G243" s="0" t="s">
        <v>4168</v>
      </c>
    </row>
    <row customHeight="1" ht="11.25">
      <c r="A244" s="0" t="s">
        <v>14</v>
      </c>
      <c r="B244" s="0" t="s">
        <v>4169</v>
      </c>
      <c r="C244" s="0" t="s">
        <v>4170</v>
      </c>
      <c r="D244" s="0" t="s">
        <v>4169</v>
      </c>
      <c r="E244" s="0" t="s">
        <v>4170</v>
      </c>
      <c r="F244" s="0" t="s">
        <v>3506</v>
      </c>
      <c r="G244" s="0" t="s">
        <v>4171</v>
      </c>
    </row>
    <row customHeight="1" ht="11.25">
      <c r="A245" s="0" t="s">
        <v>14</v>
      </c>
      <c r="B245" s="0" t="s">
        <v>4169</v>
      </c>
      <c r="C245" s="0" t="s">
        <v>4170</v>
      </c>
      <c r="D245" s="0" t="s">
        <v>3561</v>
      </c>
      <c r="E245" s="0" t="s">
        <v>4172</v>
      </c>
      <c r="F245" s="0" t="s">
        <v>3509</v>
      </c>
      <c r="G245" s="0" t="s">
        <v>4173</v>
      </c>
    </row>
    <row customHeight="1" ht="11.25">
      <c r="A246" s="0" t="s">
        <v>14</v>
      </c>
      <c r="B246" s="0" t="s">
        <v>4169</v>
      </c>
      <c r="C246" s="0" t="s">
        <v>4170</v>
      </c>
      <c r="D246" s="0" t="s">
        <v>4174</v>
      </c>
      <c r="E246" s="0" t="s">
        <v>4175</v>
      </c>
      <c r="F246" s="0" t="s">
        <v>3509</v>
      </c>
      <c r="G246" s="0" t="s">
        <v>4176</v>
      </c>
    </row>
    <row customHeight="1" ht="11.25">
      <c r="A247" s="0" t="s">
        <v>14</v>
      </c>
      <c r="B247" s="0" t="s">
        <v>4169</v>
      </c>
      <c r="C247" s="0" t="s">
        <v>4170</v>
      </c>
      <c r="D247" s="0" t="s">
        <v>4177</v>
      </c>
      <c r="E247" s="0" t="s">
        <v>4178</v>
      </c>
      <c r="F247" s="0" t="s">
        <v>3509</v>
      </c>
      <c r="G247" s="0" t="s">
        <v>4179</v>
      </c>
    </row>
    <row customHeight="1" ht="11.25">
      <c r="A248" s="0" t="s">
        <v>14</v>
      </c>
      <c r="B248" s="0" t="s">
        <v>4169</v>
      </c>
      <c r="C248" s="0" t="s">
        <v>4170</v>
      </c>
      <c r="D248" s="0" t="s">
        <v>3525</v>
      </c>
      <c r="E248" s="0" t="s">
        <v>4180</v>
      </c>
      <c r="F248" s="0" t="s">
        <v>3509</v>
      </c>
      <c r="G248" s="0" t="s">
        <v>4181</v>
      </c>
    </row>
    <row customHeight="1" ht="11.25">
      <c r="A249" s="0" t="s">
        <v>14</v>
      </c>
      <c r="B249" s="0" t="s">
        <v>4169</v>
      </c>
      <c r="C249" s="0" t="s">
        <v>4170</v>
      </c>
      <c r="D249" s="0" t="s">
        <v>4182</v>
      </c>
      <c r="E249" s="0" t="s">
        <v>4183</v>
      </c>
      <c r="F249" s="0" t="s">
        <v>3509</v>
      </c>
      <c r="G249" s="0" t="s">
        <v>4184</v>
      </c>
    </row>
    <row customHeight="1" ht="11.25">
      <c r="A250" s="0" t="s">
        <v>14</v>
      </c>
      <c r="B250" s="0" t="s">
        <v>4169</v>
      </c>
      <c r="C250" s="0" t="s">
        <v>4170</v>
      </c>
      <c r="D250" s="0" t="s">
        <v>4185</v>
      </c>
      <c r="E250" s="0" t="s">
        <v>4186</v>
      </c>
      <c r="F250" s="0" t="s">
        <v>3509</v>
      </c>
      <c r="G250" s="0" t="s">
        <v>4187</v>
      </c>
    </row>
    <row customHeight="1" ht="11.25">
      <c r="A251" s="0" t="s">
        <v>14</v>
      </c>
      <c r="B251" s="0" t="s">
        <v>4169</v>
      </c>
      <c r="C251" s="0" t="s">
        <v>4170</v>
      </c>
      <c r="D251" s="0" t="s">
        <v>4188</v>
      </c>
      <c r="E251" s="0" t="s">
        <v>4189</v>
      </c>
      <c r="F251" s="0" t="s">
        <v>3509</v>
      </c>
      <c r="G251" s="0" t="s">
        <v>4190</v>
      </c>
    </row>
    <row customHeight="1" ht="11.25">
      <c r="A252" s="0" t="s">
        <v>14</v>
      </c>
      <c r="B252" s="0" t="s">
        <v>4169</v>
      </c>
      <c r="C252" s="0" t="s">
        <v>4170</v>
      </c>
      <c r="D252" s="0" t="s">
        <v>4191</v>
      </c>
      <c r="E252" s="0" t="s">
        <v>4192</v>
      </c>
      <c r="F252" s="0" t="s">
        <v>3509</v>
      </c>
      <c r="G252" s="0" t="s">
        <v>4193</v>
      </c>
    </row>
    <row customHeight="1" ht="11.25">
      <c r="A253" s="0" t="s">
        <v>14</v>
      </c>
      <c r="B253" s="0" t="s">
        <v>4169</v>
      </c>
      <c r="C253" s="0" t="s">
        <v>4170</v>
      </c>
      <c r="D253" s="0" t="s">
        <v>4194</v>
      </c>
      <c r="E253" s="0" t="s">
        <v>4195</v>
      </c>
      <c r="F253" s="0" t="s">
        <v>3509</v>
      </c>
      <c r="G253" s="0" t="s">
        <v>4196</v>
      </c>
    </row>
    <row customHeight="1" ht="11.25">
      <c r="A254" s="0" t="s">
        <v>14</v>
      </c>
      <c r="B254" s="0" t="s">
        <v>4169</v>
      </c>
      <c r="C254" s="0" t="s">
        <v>4170</v>
      </c>
      <c r="D254" s="0" t="s">
        <v>4197</v>
      </c>
      <c r="E254" s="0" t="s">
        <v>4198</v>
      </c>
      <c r="F254" s="0" t="s">
        <v>3509</v>
      </c>
      <c r="G254" s="0" t="s">
        <v>4199</v>
      </c>
    </row>
    <row customHeight="1" ht="11.25">
      <c r="A255" s="0" t="s">
        <v>14</v>
      </c>
      <c r="B255" s="0" t="s">
        <v>4169</v>
      </c>
      <c r="C255" s="0" t="s">
        <v>4170</v>
      </c>
      <c r="D255" s="0" t="s">
        <v>4200</v>
      </c>
      <c r="E255" s="0" t="s">
        <v>4201</v>
      </c>
      <c r="F255" s="0" t="s">
        <v>3509</v>
      </c>
      <c r="G255" s="0" t="s">
        <v>4202</v>
      </c>
    </row>
    <row customHeight="1" ht="11.25">
      <c r="A256" s="0" t="s">
        <v>14</v>
      </c>
      <c r="B256" s="0" t="s">
        <v>4169</v>
      </c>
      <c r="C256" s="0" t="s">
        <v>4170</v>
      </c>
      <c r="D256" s="0" t="s">
        <v>4203</v>
      </c>
      <c r="E256" s="0" t="s">
        <v>4204</v>
      </c>
      <c r="F256" s="0" t="s">
        <v>3509</v>
      </c>
      <c r="G256" s="0" t="s">
        <v>4205</v>
      </c>
    </row>
    <row customHeight="1" ht="11.25">
      <c r="A257" s="0" t="s">
        <v>14</v>
      </c>
      <c r="B257" s="0" t="s">
        <v>4169</v>
      </c>
      <c r="C257" s="0" t="s">
        <v>4170</v>
      </c>
      <c r="D257" s="0" t="s">
        <v>4206</v>
      </c>
      <c r="E257" s="0" t="s">
        <v>4207</v>
      </c>
      <c r="F257" s="0" t="s">
        <v>3509</v>
      </c>
      <c r="G257" s="0" t="s">
        <v>4208</v>
      </c>
    </row>
    <row customHeight="1" ht="11.25">
      <c r="A258" s="0" t="s">
        <v>14</v>
      </c>
      <c r="B258" s="0" t="s">
        <v>4169</v>
      </c>
      <c r="C258" s="0" t="s">
        <v>4170</v>
      </c>
      <c r="D258" s="0" t="s">
        <v>4209</v>
      </c>
      <c r="E258" s="0" t="s">
        <v>4210</v>
      </c>
      <c r="F258" s="0" t="s">
        <v>3509</v>
      </c>
      <c r="G258" s="0" t="s">
        <v>4211</v>
      </c>
    </row>
    <row customHeight="1" ht="11.25">
      <c r="A259" s="0" t="s">
        <v>14</v>
      </c>
      <c r="B259" s="0" t="s">
        <v>4169</v>
      </c>
      <c r="C259" s="0" t="s">
        <v>4170</v>
      </c>
      <c r="D259" s="0" t="s">
        <v>4212</v>
      </c>
      <c r="E259" s="0" t="s">
        <v>4213</v>
      </c>
      <c r="F259" s="0" t="s">
        <v>3509</v>
      </c>
      <c r="G259" s="0" t="s">
        <v>4214</v>
      </c>
    </row>
    <row customHeight="1" ht="11.25">
      <c r="A260" s="0" t="s">
        <v>14</v>
      </c>
      <c r="B260" s="0" t="s">
        <v>4169</v>
      </c>
      <c r="C260" s="0" t="s">
        <v>4170</v>
      </c>
      <c r="D260" s="0" t="s">
        <v>4215</v>
      </c>
      <c r="E260" s="0" t="s">
        <v>4216</v>
      </c>
      <c r="F260" s="0" t="s">
        <v>3509</v>
      </c>
      <c r="G260" s="0" t="s">
        <v>4217</v>
      </c>
    </row>
    <row customHeight="1" ht="11.25">
      <c r="A261" s="0" t="s">
        <v>14</v>
      </c>
      <c r="B261" s="0" t="s">
        <v>4169</v>
      </c>
      <c r="C261" s="0" t="s">
        <v>4170</v>
      </c>
      <c r="D261" s="0" t="s">
        <v>4218</v>
      </c>
      <c r="E261" s="0" t="s">
        <v>4219</v>
      </c>
      <c r="F261" s="0" t="s">
        <v>3509</v>
      </c>
      <c r="G261" s="0" t="s">
        <v>4220</v>
      </c>
    </row>
    <row customHeight="1" ht="11.25">
      <c r="A262" s="0" t="s">
        <v>14</v>
      </c>
      <c r="B262" s="0" t="s">
        <v>4169</v>
      </c>
      <c r="C262" s="0" t="s">
        <v>4170</v>
      </c>
      <c r="D262" s="0" t="s">
        <v>4221</v>
      </c>
      <c r="E262" s="0" t="s">
        <v>4222</v>
      </c>
      <c r="F262" s="0" t="s">
        <v>3509</v>
      </c>
      <c r="G262" s="0" t="s">
        <v>4223</v>
      </c>
    </row>
    <row customHeight="1" ht="11.25">
      <c r="A263" s="0" t="s">
        <v>14</v>
      </c>
      <c r="B263" s="0" t="s">
        <v>4169</v>
      </c>
      <c r="C263" s="0" t="s">
        <v>4170</v>
      </c>
      <c r="D263" s="0" t="s">
        <v>4224</v>
      </c>
      <c r="E263" s="0" t="s">
        <v>4225</v>
      </c>
      <c r="F263" s="0" t="s">
        <v>3509</v>
      </c>
      <c r="G263" s="0" t="s">
        <v>4226</v>
      </c>
    </row>
    <row customHeight="1" ht="11.25">
      <c r="A264" s="0" t="s">
        <v>14</v>
      </c>
      <c r="B264" s="0" t="s">
        <v>4169</v>
      </c>
      <c r="C264" s="0" t="s">
        <v>4170</v>
      </c>
      <c r="D264" s="0" t="s">
        <v>4227</v>
      </c>
      <c r="E264" s="0" t="s">
        <v>4228</v>
      </c>
      <c r="F264" s="0" t="s">
        <v>3509</v>
      </c>
      <c r="G264" s="0" t="s">
        <v>4229</v>
      </c>
    </row>
    <row customHeight="1" ht="11.25">
      <c r="A265" s="0" t="s">
        <v>14</v>
      </c>
      <c r="B265" s="0" t="s">
        <v>4169</v>
      </c>
      <c r="C265" s="0" t="s">
        <v>4170</v>
      </c>
      <c r="D265" s="0" t="s">
        <v>4230</v>
      </c>
      <c r="E265" s="0" t="s">
        <v>4231</v>
      </c>
      <c r="F265" s="0" t="s">
        <v>3509</v>
      </c>
      <c r="G265" s="0" t="s">
        <v>4232</v>
      </c>
    </row>
    <row customHeight="1" ht="11.25">
      <c r="A266" s="0" t="s">
        <v>14</v>
      </c>
      <c r="B266" s="0" t="s">
        <v>4169</v>
      </c>
      <c r="C266" s="0" t="s">
        <v>4170</v>
      </c>
      <c r="D266" s="0" t="s">
        <v>4233</v>
      </c>
      <c r="E266" s="0" t="s">
        <v>4234</v>
      </c>
      <c r="F266" s="0" t="s">
        <v>3509</v>
      </c>
      <c r="G266" s="0" t="s">
        <v>4235</v>
      </c>
    </row>
    <row customHeight="1" ht="11.25">
      <c r="A267" s="0" t="s">
        <v>14</v>
      </c>
      <c r="B267" s="0" t="s">
        <v>4169</v>
      </c>
      <c r="C267" s="0" t="s">
        <v>4170</v>
      </c>
      <c r="D267" s="0" t="s">
        <v>4236</v>
      </c>
      <c r="E267" s="0" t="s">
        <v>4237</v>
      </c>
      <c r="F267" s="0" t="s">
        <v>3509</v>
      </c>
      <c r="G267" s="0" t="s">
        <v>4238</v>
      </c>
    </row>
    <row customHeight="1" ht="11.25">
      <c r="A268" s="0" t="s">
        <v>14</v>
      </c>
      <c r="B268" s="0" t="s">
        <v>4169</v>
      </c>
      <c r="C268" s="0" t="s">
        <v>4170</v>
      </c>
      <c r="D268" s="0" t="s">
        <v>4239</v>
      </c>
      <c r="E268" s="0" t="s">
        <v>4240</v>
      </c>
      <c r="F268" s="0" t="s">
        <v>3509</v>
      </c>
      <c r="G268" s="0" t="s">
        <v>4241</v>
      </c>
    </row>
    <row customHeight="1" ht="11.25">
      <c r="A269" s="0" t="s">
        <v>14</v>
      </c>
      <c r="B269" s="0" t="s">
        <v>4242</v>
      </c>
      <c r="C269" s="0" t="s">
        <v>4243</v>
      </c>
      <c r="D269" s="0" t="s">
        <v>4242</v>
      </c>
      <c r="E269" s="0" t="s">
        <v>4243</v>
      </c>
      <c r="F269" s="0" t="s">
        <v>3506</v>
      </c>
      <c r="G269" s="0" t="s">
        <v>4244</v>
      </c>
    </row>
    <row customHeight="1" ht="11.25">
      <c r="A270" s="0" t="s">
        <v>14</v>
      </c>
      <c r="B270" s="0" t="s">
        <v>4242</v>
      </c>
      <c r="C270" s="0" t="s">
        <v>4243</v>
      </c>
      <c r="D270" s="0" t="s">
        <v>4245</v>
      </c>
      <c r="E270" s="0" t="s">
        <v>4246</v>
      </c>
      <c r="F270" s="0" t="s">
        <v>3522</v>
      </c>
      <c r="G270" s="0" t="s">
        <v>4247</v>
      </c>
    </row>
    <row customHeight="1" ht="11.25">
      <c r="A271" s="0" t="s">
        <v>14</v>
      </c>
      <c r="B271" s="0" t="s">
        <v>4242</v>
      </c>
      <c r="C271" s="0" t="s">
        <v>4243</v>
      </c>
      <c r="D271" s="0" t="s">
        <v>4248</v>
      </c>
      <c r="E271" s="0" t="s">
        <v>4249</v>
      </c>
      <c r="F271" s="0" t="s">
        <v>3522</v>
      </c>
      <c r="G271" s="0" t="s">
        <v>4250</v>
      </c>
    </row>
    <row customHeight="1" ht="11.25">
      <c r="A272" s="0" t="s">
        <v>14</v>
      </c>
      <c r="B272" s="0" t="s">
        <v>4242</v>
      </c>
      <c r="C272" s="0" t="s">
        <v>4243</v>
      </c>
      <c r="D272" s="0" t="s">
        <v>4251</v>
      </c>
      <c r="E272" s="0" t="s">
        <v>4252</v>
      </c>
      <c r="F272" s="0" t="s">
        <v>3509</v>
      </c>
      <c r="G272" s="0" t="s">
        <v>4253</v>
      </c>
    </row>
    <row customHeight="1" ht="11.25">
      <c r="A273" s="0" t="s">
        <v>14</v>
      </c>
      <c r="B273" s="0" t="s">
        <v>4242</v>
      </c>
      <c r="C273" s="0" t="s">
        <v>4243</v>
      </c>
      <c r="D273" s="0" t="s">
        <v>4254</v>
      </c>
      <c r="E273" s="0" t="s">
        <v>4255</v>
      </c>
      <c r="F273" s="0" t="s">
        <v>3509</v>
      </c>
      <c r="G273" s="0" t="s">
        <v>4256</v>
      </c>
    </row>
    <row customHeight="1" ht="11.25">
      <c r="A274" s="0" t="s">
        <v>14</v>
      </c>
      <c r="B274" s="0" t="s">
        <v>4242</v>
      </c>
      <c r="C274" s="0" t="s">
        <v>4243</v>
      </c>
      <c r="D274" s="0" t="s">
        <v>4257</v>
      </c>
      <c r="E274" s="0" t="s">
        <v>4258</v>
      </c>
      <c r="F274" s="0" t="s">
        <v>3509</v>
      </c>
      <c r="G274" s="0" t="s">
        <v>4259</v>
      </c>
    </row>
    <row customHeight="1" ht="11.25">
      <c r="A275" s="0" t="s">
        <v>14</v>
      </c>
      <c r="B275" s="0" t="s">
        <v>4242</v>
      </c>
      <c r="C275" s="0" t="s">
        <v>4243</v>
      </c>
      <c r="D275" s="0" t="s">
        <v>4260</v>
      </c>
      <c r="E275" s="0" t="s">
        <v>4261</v>
      </c>
      <c r="F275" s="0" t="s">
        <v>3509</v>
      </c>
      <c r="G275" s="0" t="s">
        <v>4262</v>
      </c>
    </row>
    <row customHeight="1" ht="11.25">
      <c r="A276" s="0" t="s">
        <v>14</v>
      </c>
      <c r="B276" s="0" t="s">
        <v>4242</v>
      </c>
      <c r="C276" s="0" t="s">
        <v>4243</v>
      </c>
      <c r="D276" s="0" t="s">
        <v>4263</v>
      </c>
      <c r="E276" s="0" t="s">
        <v>4264</v>
      </c>
      <c r="F276" s="0" t="s">
        <v>3509</v>
      </c>
      <c r="G276" s="0" t="s">
        <v>4265</v>
      </c>
    </row>
    <row customHeight="1" ht="11.25">
      <c r="A277" s="0" t="s">
        <v>14</v>
      </c>
      <c r="B277" s="0" t="s">
        <v>4242</v>
      </c>
      <c r="C277" s="0" t="s">
        <v>4243</v>
      </c>
      <c r="D277" s="0" t="s">
        <v>4266</v>
      </c>
      <c r="E277" s="0" t="s">
        <v>4267</v>
      </c>
      <c r="F277" s="0" t="s">
        <v>3509</v>
      </c>
      <c r="G277" s="0" t="s">
        <v>4268</v>
      </c>
    </row>
    <row customHeight="1" ht="11.25">
      <c r="A278" s="0" t="s">
        <v>14</v>
      </c>
      <c r="B278" s="0" t="s">
        <v>4242</v>
      </c>
      <c r="C278" s="0" t="s">
        <v>4243</v>
      </c>
      <c r="D278" s="0" t="s">
        <v>4269</v>
      </c>
      <c r="E278" s="0" t="s">
        <v>4270</v>
      </c>
      <c r="F278" s="0" t="s">
        <v>3509</v>
      </c>
      <c r="G278" s="0" t="s">
        <v>4271</v>
      </c>
    </row>
    <row customHeight="1" ht="11.25">
      <c r="A279" s="0" t="s">
        <v>14</v>
      </c>
      <c r="B279" s="0" t="s">
        <v>4242</v>
      </c>
      <c r="C279" s="0" t="s">
        <v>4243</v>
      </c>
      <c r="D279" s="0" t="s">
        <v>4272</v>
      </c>
      <c r="E279" s="0" t="s">
        <v>4273</v>
      </c>
      <c r="F279" s="0" t="s">
        <v>3509</v>
      </c>
      <c r="G279" s="0" t="s">
        <v>4274</v>
      </c>
    </row>
    <row customHeight="1" ht="11.25">
      <c r="A280" s="0" t="s">
        <v>14</v>
      </c>
      <c r="B280" s="0" t="s">
        <v>4242</v>
      </c>
      <c r="C280" s="0" t="s">
        <v>4243</v>
      </c>
      <c r="D280" s="0" t="s">
        <v>4275</v>
      </c>
      <c r="E280" s="0" t="s">
        <v>4276</v>
      </c>
      <c r="F280" s="0" t="s">
        <v>3509</v>
      </c>
      <c r="G280" s="0" t="s">
        <v>4277</v>
      </c>
    </row>
    <row customHeight="1" ht="11.25">
      <c r="A281" s="0" t="s">
        <v>14</v>
      </c>
      <c r="B281" s="0" t="s">
        <v>4242</v>
      </c>
      <c r="C281" s="0" t="s">
        <v>4243</v>
      </c>
      <c r="D281" s="0" t="s">
        <v>4278</v>
      </c>
      <c r="E281" s="0" t="s">
        <v>4279</v>
      </c>
      <c r="F281" s="0" t="s">
        <v>3509</v>
      </c>
      <c r="G281" s="0" t="s">
        <v>4280</v>
      </c>
    </row>
    <row customHeight="1" ht="11.25">
      <c r="A282" s="0" t="s">
        <v>14</v>
      </c>
      <c r="B282" s="0" t="s">
        <v>4242</v>
      </c>
      <c r="C282" s="0" t="s">
        <v>4243</v>
      </c>
      <c r="D282" s="0" t="s">
        <v>4281</v>
      </c>
      <c r="E282" s="0" t="s">
        <v>4282</v>
      </c>
      <c r="F282" s="0" t="s">
        <v>3509</v>
      </c>
      <c r="G282" s="0" t="s">
        <v>4283</v>
      </c>
    </row>
    <row customHeight="1" ht="11.25">
      <c r="A283" s="0" t="s">
        <v>14</v>
      </c>
      <c r="B283" s="0" t="s">
        <v>4242</v>
      </c>
      <c r="C283" s="0" t="s">
        <v>4243</v>
      </c>
      <c r="D283" s="0" t="s">
        <v>4284</v>
      </c>
      <c r="E283" s="0" t="s">
        <v>4285</v>
      </c>
      <c r="F283" s="0" t="s">
        <v>3509</v>
      </c>
      <c r="G283" s="0" t="s">
        <v>4286</v>
      </c>
    </row>
    <row customHeight="1" ht="11.25">
      <c r="A284" s="0" t="s">
        <v>14</v>
      </c>
      <c r="B284" s="0" t="s">
        <v>4242</v>
      </c>
      <c r="C284" s="0" t="s">
        <v>4243</v>
      </c>
      <c r="D284" s="0" t="s">
        <v>4287</v>
      </c>
      <c r="E284" s="0" t="s">
        <v>4288</v>
      </c>
      <c r="F284" s="0" t="s">
        <v>3509</v>
      </c>
      <c r="G284" s="0" t="s">
        <v>4289</v>
      </c>
    </row>
    <row customHeight="1" ht="11.25">
      <c r="A285" s="0" t="s">
        <v>14</v>
      </c>
      <c r="B285" s="0" t="s">
        <v>4290</v>
      </c>
      <c r="C285" s="0" t="s">
        <v>4291</v>
      </c>
      <c r="D285" s="0" t="s">
        <v>4290</v>
      </c>
      <c r="E285" s="0" t="s">
        <v>4291</v>
      </c>
      <c r="F285" s="0" t="s">
        <v>3506</v>
      </c>
      <c r="G285" s="0" t="s">
        <v>4292</v>
      </c>
    </row>
    <row customHeight="1" ht="11.25">
      <c r="A286" s="0" t="s">
        <v>14</v>
      </c>
      <c r="B286" s="0" t="s">
        <v>4290</v>
      </c>
      <c r="C286" s="0" t="s">
        <v>4291</v>
      </c>
      <c r="D286" s="0" t="s">
        <v>4293</v>
      </c>
      <c r="E286" s="0" t="s">
        <v>4294</v>
      </c>
      <c r="F286" s="0" t="s">
        <v>3509</v>
      </c>
      <c r="G286" s="0" t="s">
        <v>4295</v>
      </c>
    </row>
    <row customHeight="1" ht="11.25">
      <c r="A287" s="0" t="s">
        <v>14</v>
      </c>
      <c r="B287" s="0" t="s">
        <v>4290</v>
      </c>
      <c r="C287" s="0" t="s">
        <v>4291</v>
      </c>
      <c r="D287" s="0" t="s">
        <v>4296</v>
      </c>
      <c r="E287" s="0" t="s">
        <v>4297</v>
      </c>
      <c r="F287" s="0" t="s">
        <v>3509</v>
      </c>
      <c r="G287" s="0" t="s">
        <v>4298</v>
      </c>
    </row>
    <row customHeight="1" ht="11.25">
      <c r="A288" s="0" t="s">
        <v>14</v>
      </c>
      <c r="B288" s="0" t="s">
        <v>4290</v>
      </c>
      <c r="C288" s="0" t="s">
        <v>4291</v>
      </c>
      <c r="D288" s="0" t="s">
        <v>4152</v>
      </c>
      <c r="E288" s="0" t="s">
        <v>4299</v>
      </c>
      <c r="F288" s="0" t="s">
        <v>3509</v>
      </c>
      <c r="G288" s="0" t="s">
        <v>4300</v>
      </c>
    </row>
    <row customHeight="1" ht="11.25">
      <c r="A289" s="0" t="s">
        <v>14</v>
      </c>
      <c r="B289" s="0" t="s">
        <v>4290</v>
      </c>
      <c r="C289" s="0" t="s">
        <v>4291</v>
      </c>
      <c r="D289" s="0" t="s">
        <v>4301</v>
      </c>
      <c r="E289" s="0" t="s">
        <v>4302</v>
      </c>
      <c r="F289" s="0" t="s">
        <v>3509</v>
      </c>
      <c r="G289" s="0" t="s">
        <v>4303</v>
      </c>
    </row>
    <row customHeight="1" ht="11.25">
      <c r="A290" s="0" t="s">
        <v>14</v>
      </c>
      <c r="B290" s="0" t="s">
        <v>4290</v>
      </c>
      <c r="C290" s="0" t="s">
        <v>4291</v>
      </c>
      <c r="D290" s="0" t="s">
        <v>4304</v>
      </c>
      <c r="E290" s="0" t="s">
        <v>4305</v>
      </c>
      <c r="F290" s="0" t="s">
        <v>3509</v>
      </c>
      <c r="G290" s="0" t="s">
        <v>4306</v>
      </c>
    </row>
    <row customHeight="1" ht="11.25">
      <c r="A291" s="0" t="s">
        <v>14</v>
      </c>
      <c r="B291" s="0" t="s">
        <v>4290</v>
      </c>
      <c r="C291" s="0" t="s">
        <v>4291</v>
      </c>
      <c r="D291" s="0" t="s">
        <v>4307</v>
      </c>
      <c r="E291" s="0" t="s">
        <v>4308</v>
      </c>
      <c r="F291" s="0" t="s">
        <v>3509</v>
      </c>
      <c r="G291" s="0" t="s">
        <v>4309</v>
      </c>
    </row>
    <row customHeight="1" ht="11.25">
      <c r="A292" s="0" t="s">
        <v>14</v>
      </c>
      <c r="B292" s="0" t="s">
        <v>4290</v>
      </c>
      <c r="C292" s="0" t="s">
        <v>4291</v>
      </c>
      <c r="D292" s="0" t="s">
        <v>4310</v>
      </c>
      <c r="E292" s="0" t="s">
        <v>4311</v>
      </c>
      <c r="F292" s="0" t="s">
        <v>3509</v>
      </c>
      <c r="G292" s="0" t="s">
        <v>4312</v>
      </c>
    </row>
    <row customHeight="1" ht="11.25">
      <c r="A293" s="0" t="s">
        <v>14</v>
      </c>
      <c r="B293" s="0" t="s">
        <v>4290</v>
      </c>
      <c r="C293" s="0" t="s">
        <v>4291</v>
      </c>
      <c r="D293" s="0" t="s">
        <v>4313</v>
      </c>
      <c r="E293" s="0" t="s">
        <v>4314</v>
      </c>
      <c r="F293" s="0" t="s">
        <v>3509</v>
      </c>
      <c r="G293" s="0" t="s">
        <v>4315</v>
      </c>
    </row>
    <row customHeight="1" ht="11.25">
      <c r="A294" s="0" t="s">
        <v>14</v>
      </c>
      <c r="B294" s="0" t="s">
        <v>4290</v>
      </c>
      <c r="C294" s="0" t="s">
        <v>4291</v>
      </c>
      <c r="D294" s="0" t="s">
        <v>4316</v>
      </c>
      <c r="E294" s="0" t="s">
        <v>4317</v>
      </c>
      <c r="F294" s="0" t="s">
        <v>3509</v>
      </c>
      <c r="G294" s="0" t="s">
        <v>4318</v>
      </c>
    </row>
    <row customHeight="1" ht="11.25">
      <c r="A295" s="0" t="s">
        <v>14</v>
      </c>
      <c r="B295" s="0" t="s">
        <v>4290</v>
      </c>
      <c r="C295" s="0" t="s">
        <v>4291</v>
      </c>
      <c r="D295" s="0" t="s">
        <v>4319</v>
      </c>
      <c r="E295" s="0" t="s">
        <v>4320</v>
      </c>
      <c r="F295" s="0" t="s">
        <v>3509</v>
      </c>
      <c r="G295" s="0" t="s">
        <v>4321</v>
      </c>
    </row>
    <row customHeight="1" ht="11.25">
      <c r="A296" s="0" t="s">
        <v>14</v>
      </c>
      <c r="B296" s="0" t="s">
        <v>4290</v>
      </c>
      <c r="C296" s="0" t="s">
        <v>4291</v>
      </c>
      <c r="D296" s="0" t="s">
        <v>4322</v>
      </c>
      <c r="E296" s="0" t="s">
        <v>4323</v>
      </c>
      <c r="F296" s="0" t="s">
        <v>3509</v>
      </c>
      <c r="G296" s="0" t="s">
        <v>4324</v>
      </c>
    </row>
    <row customHeight="1" ht="11.25">
      <c r="A297" s="0" t="s">
        <v>14</v>
      </c>
      <c r="B297" s="0" t="s">
        <v>4325</v>
      </c>
      <c r="C297" s="0" t="s">
        <v>4326</v>
      </c>
      <c r="D297" s="0" t="s">
        <v>4325</v>
      </c>
      <c r="E297" s="0" t="s">
        <v>4326</v>
      </c>
      <c r="F297" s="0" t="s">
        <v>3506</v>
      </c>
      <c r="G297" s="0" t="s">
        <v>4327</v>
      </c>
    </row>
    <row customHeight="1" ht="11.25">
      <c r="A298" s="0" t="s">
        <v>14</v>
      </c>
      <c r="B298" s="0" t="s">
        <v>4325</v>
      </c>
      <c r="C298" s="0" t="s">
        <v>4326</v>
      </c>
      <c r="D298" s="0" t="s">
        <v>4328</v>
      </c>
      <c r="E298" s="0" t="s">
        <v>4329</v>
      </c>
      <c r="F298" s="0" t="s">
        <v>3509</v>
      </c>
      <c r="G298" s="0" t="s">
        <v>4330</v>
      </c>
    </row>
    <row customHeight="1" ht="11.25">
      <c r="A299" s="0" t="s">
        <v>14</v>
      </c>
      <c r="B299" s="0" t="s">
        <v>4325</v>
      </c>
      <c r="C299" s="0" t="s">
        <v>4326</v>
      </c>
      <c r="D299" s="0" t="s">
        <v>4331</v>
      </c>
      <c r="E299" s="0" t="s">
        <v>4332</v>
      </c>
      <c r="F299" s="0" t="s">
        <v>3509</v>
      </c>
      <c r="G299" s="0" t="s">
        <v>4333</v>
      </c>
    </row>
    <row customHeight="1" ht="11.25">
      <c r="A300" s="0" t="s">
        <v>14</v>
      </c>
      <c r="B300" s="0" t="s">
        <v>4325</v>
      </c>
      <c r="C300" s="0" t="s">
        <v>4326</v>
      </c>
      <c r="D300" s="0" t="s">
        <v>4334</v>
      </c>
      <c r="E300" s="0" t="s">
        <v>4335</v>
      </c>
      <c r="F300" s="0" t="s">
        <v>3509</v>
      </c>
      <c r="G300" s="0" t="s">
        <v>4336</v>
      </c>
    </row>
    <row customHeight="1" ht="11.25">
      <c r="A301" s="0" t="s">
        <v>14</v>
      </c>
      <c r="B301" s="0" t="s">
        <v>4325</v>
      </c>
      <c r="C301" s="0" t="s">
        <v>4326</v>
      </c>
      <c r="D301" s="0" t="s">
        <v>4337</v>
      </c>
      <c r="E301" s="0" t="s">
        <v>4338</v>
      </c>
      <c r="F301" s="0" t="s">
        <v>3509</v>
      </c>
      <c r="G301" s="0" t="s">
        <v>4339</v>
      </c>
    </row>
    <row customHeight="1" ht="11.25">
      <c r="A302" s="0" t="s">
        <v>14</v>
      </c>
      <c r="B302" s="0" t="s">
        <v>4325</v>
      </c>
      <c r="C302" s="0" t="s">
        <v>4326</v>
      </c>
      <c r="D302" s="0" t="s">
        <v>4340</v>
      </c>
      <c r="E302" s="0" t="s">
        <v>4341</v>
      </c>
      <c r="F302" s="0" t="s">
        <v>3509</v>
      </c>
      <c r="G302" s="0" t="s">
        <v>4342</v>
      </c>
    </row>
    <row customHeight="1" ht="11.25">
      <c r="A303" s="0" t="s">
        <v>14</v>
      </c>
      <c r="B303" s="0" t="s">
        <v>4325</v>
      </c>
      <c r="C303" s="0" t="s">
        <v>4326</v>
      </c>
      <c r="D303" s="0" t="s">
        <v>4343</v>
      </c>
      <c r="E303" s="0" t="s">
        <v>4344</v>
      </c>
      <c r="F303" s="0" t="s">
        <v>3509</v>
      </c>
      <c r="G303" s="0" t="s">
        <v>4345</v>
      </c>
    </row>
    <row customHeight="1" ht="11.25">
      <c r="A304" s="0" t="s">
        <v>14</v>
      </c>
      <c r="B304" s="0" t="s">
        <v>4325</v>
      </c>
      <c r="C304" s="0" t="s">
        <v>4326</v>
      </c>
      <c r="D304" s="0" t="s">
        <v>4346</v>
      </c>
      <c r="E304" s="0" t="s">
        <v>4347</v>
      </c>
      <c r="F304" s="0" t="s">
        <v>3509</v>
      </c>
      <c r="G304" s="0" t="s">
        <v>4348</v>
      </c>
    </row>
    <row customHeight="1" ht="11.25">
      <c r="A305" s="0" t="s">
        <v>14</v>
      </c>
      <c r="B305" s="0" t="s">
        <v>4325</v>
      </c>
      <c r="C305" s="0" t="s">
        <v>4326</v>
      </c>
      <c r="D305" s="0" t="s">
        <v>4349</v>
      </c>
      <c r="E305" s="0" t="s">
        <v>4350</v>
      </c>
      <c r="F305" s="0" t="s">
        <v>3509</v>
      </c>
      <c r="G305" s="0" t="s">
        <v>4351</v>
      </c>
    </row>
    <row customHeight="1" ht="11.25">
      <c r="A306" s="0" t="s">
        <v>14</v>
      </c>
      <c r="B306" s="0" t="s">
        <v>4325</v>
      </c>
      <c r="C306" s="0" t="s">
        <v>4326</v>
      </c>
      <c r="D306" s="0" t="s">
        <v>4352</v>
      </c>
      <c r="E306" s="0" t="s">
        <v>4353</v>
      </c>
      <c r="F306" s="0" t="s">
        <v>3509</v>
      </c>
      <c r="G306" s="0" t="s">
        <v>4354</v>
      </c>
    </row>
    <row customHeight="1" ht="11.25">
      <c r="A307" s="0" t="s">
        <v>14</v>
      </c>
      <c r="B307" s="0" t="s">
        <v>4325</v>
      </c>
      <c r="C307" s="0" t="s">
        <v>4326</v>
      </c>
      <c r="D307" s="0" t="s">
        <v>4355</v>
      </c>
      <c r="E307" s="0" t="s">
        <v>4356</v>
      </c>
      <c r="F307" s="0" t="s">
        <v>3509</v>
      </c>
      <c r="G307" s="0" t="s">
        <v>4357</v>
      </c>
    </row>
    <row customHeight="1" ht="11.25">
      <c r="A308" s="0" t="s">
        <v>14</v>
      </c>
      <c r="B308" s="0" t="s">
        <v>4325</v>
      </c>
      <c r="C308" s="0" t="s">
        <v>4326</v>
      </c>
      <c r="D308" s="0" t="s">
        <v>4358</v>
      </c>
      <c r="E308" s="0" t="s">
        <v>4359</v>
      </c>
      <c r="F308" s="0" t="s">
        <v>3509</v>
      </c>
      <c r="G308" s="0" t="s">
        <v>4360</v>
      </c>
    </row>
    <row customHeight="1" ht="11.25">
      <c r="A309" s="0" t="s">
        <v>14</v>
      </c>
      <c r="B309" s="0" t="s">
        <v>4361</v>
      </c>
      <c r="C309" s="0" t="s">
        <v>4362</v>
      </c>
      <c r="D309" s="0" t="s">
        <v>4361</v>
      </c>
      <c r="E309" s="0" t="s">
        <v>4362</v>
      </c>
      <c r="F309" s="0" t="s">
        <v>3506</v>
      </c>
      <c r="G309" s="0" t="s">
        <v>4363</v>
      </c>
    </row>
    <row customHeight="1" ht="11.25">
      <c r="A310" s="0" t="s">
        <v>14</v>
      </c>
      <c r="B310" s="0" t="s">
        <v>4361</v>
      </c>
      <c r="C310" s="0" t="s">
        <v>4362</v>
      </c>
      <c r="D310" s="0" t="s">
        <v>4364</v>
      </c>
      <c r="E310" s="0" t="s">
        <v>4365</v>
      </c>
      <c r="F310" s="0" t="s">
        <v>3509</v>
      </c>
      <c r="G310" s="0" t="s">
        <v>4366</v>
      </c>
    </row>
    <row customHeight="1" ht="11.25">
      <c r="A311" s="0" t="s">
        <v>14</v>
      </c>
      <c r="B311" s="0" t="s">
        <v>4361</v>
      </c>
      <c r="C311" s="0" t="s">
        <v>4362</v>
      </c>
      <c r="D311" s="0" t="s">
        <v>3525</v>
      </c>
      <c r="E311" s="0" t="s">
        <v>4367</v>
      </c>
      <c r="F311" s="0" t="s">
        <v>3509</v>
      </c>
      <c r="G311" s="0" t="s">
        <v>4368</v>
      </c>
    </row>
    <row customHeight="1" ht="11.25">
      <c r="A312" s="0" t="s">
        <v>14</v>
      </c>
      <c r="B312" s="0" t="s">
        <v>4361</v>
      </c>
      <c r="C312" s="0" t="s">
        <v>4362</v>
      </c>
      <c r="D312" s="0" t="s">
        <v>4369</v>
      </c>
      <c r="E312" s="0" t="s">
        <v>4370</v>
      </c>
      <c r="F312" s="0" t="s">
        <v>3509</v>
      </c>
      <c r="G312" s="0" t="s">
        <v>4371</v>
      </c>
    </row>
    <row customHeight="1" ht="11.25">
      <c r="A313" s="0" t="s">
        <v>14</v>
      </c>
      <c r="B313" s="0" t="s">
        <v>4361</v>
      </c>
      <c r="C313" s="0" t="s">
        <v>4362</v>
      </c>
      <c r="D313" s="0" t="s">
        <v>4372</v>
      </c>
      <c r="E313" s="0" t="s">
        <v>4373</v>
      </c>
      <c r="F313" s="0" t="s">
        <v>3509</v>
      </c>
      <c r="G313" s="0" t="s">
        <v>4374</v>
      </c>
    </row>
    <row customHeight="1" ht="11.25">
      <c r="A314" s="0" t="s">
        <v>14</v>
      </c>
      <c r="B314" s="0" t="s">
        <v>4361</v>
      </c>
      <c r="C314" s="0" t="s">
        <v>4362</v>
      </c>
      <c r="D314" s="0" t="s">
        <v>4375</v>
      </c>
      <c r="E314" s="0" t="s">
        <v>4376</v>
      </c>
      <c r="F314" s="0" t="s">
        <v>3509</v>
      </c>
      <c r="G314" s="0" t="s">
        <v>4377</v>
      </c>
    </row>
    <row customHeight="1" ht="11.25">
      <c r="A315" s="0" t="s">
        <v>14</v>
      </c>
      <c r="B315" s="0" t="s">
        <v>4361</v>
      </c>
      <c r="C315" s="0" t="s">
        <v>4362</v>
      </c>
      <c r="D315" s="0" t="s">
        <v>4378</v>
      </c>
      <c r="E315" s="0" t="s">
        <v>4379</v>
      </c>
      <c r="F315" s="0" t="s">
        <v>3509</v>
      </c>
      <c r="G315" s="0" t="s">
        <v>4380</v>
      </c>
    </row>
    <row customHeight="1" ht="11.25">
      <c r="A316" s="0" t="s">
        <v>14</v>
      </c>
      <c r="B316" s="0" t="s">
        <v>4361</v>
      </c>
      <c r="C316" s="0" t="s">
        <v>4362</v>
      </c>
      <c r="D316" s="0" t="s">
        <v>4381</v>
      </c>
      <c r="E316" s="0" t="s">
        <v>4382</v>
      </c>
      <c r="F316" s="0" t="s">
        <v>3509</v>
      </c>
      <c r="G316" s="0" t="s">
        <v>4383</v>
      </c>
    </row>
    <row customHeight="1" ht="11.25">
      <c r="A317" s="0" t="s">
        <v>14</v>
      </c>
      <c r="B317" s="0" t="s">
        <v>4361</v>
      </c>
      <c r="C317" s="0" t="s">
        <v>4362</v>
      </c>
      <c r="D317" s="0" t="s">
        <v>4384</v>
      </c>
      <c r="E317" s="0" t="s">
        <v>4385</v>
      </c>
      <c r="F317" s="0" t="s">
        <v>3509</v>
      </c>
      <c r="G317" s="0" t="s">
        <v>4386</v>
      </c>
    </row>
    <row customHeight="1" ht="11.25">
      <c r="A318" s="0" t="s">
        <v>14</v>
      </c>
      <c r="B318" s="0" t="s">
        <v>4361</v>
      </c>
      <c r="C318" s="0" t="s">
        <v>4362</v>
      </c>
      <c r="D318" s="0" t="s">
        <v>4387</v>
      </c>
      <c r="E318" s="0" t="s">
        <v>4388</v>
      </c>
      <c r="F318" s="0" t="s">
        <v>3509</v>
      </c>
      <c r="G318" s="0" t="s">
        <v>4389</v>
      </c>
    </row>
    <row customHeight="1" ht="11.25">
      <c r="A319" s="0" t="s">
        <v>14</v>
      </c>
      <c r="B319" s="0" t="s">
        <v>4361</v>
      </c>
      <c r="C319" s="0" t="s">
        <v>4362</v>
      </c>
      <c r="D319" s="0" t="s">
        <v>4390</v>
      </c>
      <c r="E319" s="0" t="s">
        <v>4391</v>
      </c>
      <c r="F319" s="0" t="s">
        <v>3509</v>
      </c>
      <c r="G319" s="0" t="s">
        <v>4392</v>
      </c>
    </row>
    <row customHeight="1" ht="11.25">
      <c r="A320" s="0" t="s">
        <v>14</v>
      </c>
      <c r="B320" s="0" t="s">
        <v>4361</v>
      </c>
      <c r="C320" s="0" t="s">
        <v>4362</v>
      </c>
      <c r="D320" s="0" t="s">
        <v>4393</v>
      </c>
      <c r="E320" s="0" t="s">
        <v>4394</v>
      </c>
      <c r="F320" s="0" t="s">
        <v>3509</v>
      </c>
      <c r="G320" s="0" t="s">
        <v>4395</v>
      </c>
    </row>
    <row customHeight="1" ht="11.25">
      <c r="A321" s="0" t="s">
        <v>14</v>
      </c>
      <c r="B321" s="0" t="s">
        <v>4396</v>
      </c>
      <c r="C321" s="0" t="s">
        <v>4397</v>
      </c>
      <c r="D321" s="0" t="s">
        <v>4396</v>
      </c>
      <c r="E321" s="0" t="s">
        <v>4397</v>
      </c>
      <c r="F321" s="0" t="s">
        <v>3506</v>
      </c>
      <c r="G321" s="0" t="s">
        <v>4398</v>
      </c>
    </row>
    <row customHeight="1" ht="11.25">
      <c r="A322" s="0" t="s">
        <v>14</v>
      </c>
      <c r="B322" s="0" t="s">
        <v>4396</v>
      </c>
      <c r="C322" s="0" t="s">
        <v>4397</v>
      </c>
      <c r="D322" s="0" t="s">
        <v>4399</v>
      </c>
      <c r="E322" s="0" t="s">
        <v>4400</v>
      </c>
      <c r="F322" s="0" t="s">
        <v>3509</v>
      </c>
      <c r="G322" s="0" t="s">
        <v>4401</v>
      </c>
    </row>
    <row customHeight="1" ht="11.25">
      <c r="A323" s="0" t="s">
        <v>14</v>
      </c>
      <c r="B323" s="0" t="s">
        <v>4396</v>
      </c>
      <c r="C323" s="0" t="s">
        <v>4397</v>
      </c>
      <c r="D323" s="0" t="s">
        <v>4402</v>
      </c>
      <c r="E323" s="0" t="s">
        <v>4403</v>
      </c>
      <c r="F323" s="0" t="s">
        <v>3509</v>
      </c>
      <c r="G323" s="0" t="s">
        <v>4404</v>
      </c>
    </row>
    <row customHeight="1" ht="11.25">
      <c r="A324" s="0" t="s">
        <v>14</v>
      </c>
      <c r="B324" s="0" t="s">
        <v>4396</v>
      </c>
      <c r="C324" s="0" t="s">
        <v>4397</v>
      </c>
      <c r="D324" s="0" t="s">
        <v>4405</v>
      </c>
      <c r="E324" s="0" t="s">
        <v>4406</v>
      </c>
      <c r="F324" s="0" t="s">
        <v>3509</v>
      </c>
      <c r="G324" s="0" t="s">
        <v>4407</v>
      </c>
    </row>
    <row customHeight="1" ht="11.25">
      <c r="A325" s="0" t="s">
        <v>14</v>
      </c>
      <c r="B325" s="0" t="s">
        <v>4396</v>
      </c>
      <c r="C325" s="0" t="s">
        <v>4397</v>
      </c>
      <c r="D325" s="0" t="s">
        <v>4408</v>
      </c>
      <c r="E325" s="0" t="s">
        <v>4409</v>
      </c>
      <c r="F325" s="0" t="s">
        <v>3509</v>
      </c>
      <c r="G325" s="0" t="s">
        <v>4410</v>
      </c>
    </row>
    <row customHeight="1" ht="11.25">
      <c r="A326" s="0" t="s">
        <v>14</v>
      </c>
      <c r="B326" s="0" t="s">
        <v>4396</v>
      </c>
      <c r="C326" s="0" t="s">
        <v>4397</v>
      </c>
      <c r="D326" s="0" t="s">
        <v>4411</v>
      </c>
      <c r="E326" s="0" t="s">
        <v>4412</v>
      </c>
      <c r="F326" s="0" t="s">
        <v>3509</v>
      </c>
      <c r="G326" s="0" t="s">
        <v>4413</v>
      </c>
    </row>
    <row customHeight="1" ht="11.25">
      <c r="A327" s="0" t="s">
        <v>14</v>
      </c>
      <c r="B327" s="0" t="s">
        <v>4396</v>
      </c>
      <c r="C327" s="0" t="s">
        <v>4397</v>
      </c>
      <c r="D327" s="0" t="s">
        <v>4414</v>
      </c>
      <c r="E327" s="0" t="s">
        <v>4415</v>
      </c>
      <c r="F327" s="0" t="s">
        <v>3509</v>
      </c>
      <c r="G327" s="0" t="s">
        <v>4416</v>
      </c>
    </row>
    <row customHeight="1" ht="11.25">
      <c r="A328" s="0" t="s">
        <v>14</v>
      </c>
      <c r="B328" s="0" t="s">
        <v>4396</v>
      </c>
      <c r="C328" s="0" t="s">
        <v>4397</v>
      </c>
      <c r="D328" s="0" t="s">
        <v>4417</v>
      </c>
      <c r="E328" s="0" t="s">
        <v>4418</v>
      </c>
      <c r="F328" s="0" t="s">
        <v>3509</v>
      </c>
      <c r="G328" s="0" t="s">
        <v>4419</v>
      </c>
    </row>
    <row customHeight="1" ht="11.25">
      <c r="A329" s="0" t="s">
        <v>14</v>
      </c>
      <c r="B329" s="0" t="s">
        <v>4396</v>
      </c>
      <c r="C329" s="0" t="s">
        <v>4397</v>
      </c>
      <c r="D329" s="0" t="s">
        <v>4420</v>
      </c>
      <c r="E329" s="0" t="s">
        <v>4421</v>
      </c>
      <c r="F329" s="0" t="s">
        <v>3509</v>
      </c>
      <c r="G329" s="0" t="s">
        <v>4422</v>
      </c>
    </row>
    <row customHeight="1" ht="11.25">
      <c r="A330" s="0" t="s">
        <v>14</v>
      </c>
      <c r="B330" s="0" t="s">
        <v>4396</v>
      </c>
      <c r="C330" s="0" t="s">
        <v>4397</v>
      </c>
      <c r="D330" s="0" t="s">
        <v>4423</v>
      </c>
      <c r="E330" s="0" t="s">
        <v>4424</v>
      </c>
      <c r="F330" s="0" t="s">
        <v>3509</v>
      </c>
      <c r="G330" s="0" t="s">
        <v>4425</v>
      </c>
    </row>
    <row customHeight="1" ht="11.25">
      <c r="A331" s="0" t="s">
        <v>14</v>
      </c>
      <c r="B331" s="0" t="s">
        <v>4396</v>
      </c>
      <c r="C331" s="0" t="s">
        <v>4397</v>
      </c>
      <c r="D331" s="0" t="s">
        <v>4426</v>
      </c>
      <c r="E331" s="0" t="s">
        <v>4427</v>
      </c>
      <c r="F331" s="0" t="s">
        <v>3509</v>
      </c>
      <c r="G331" s="0" t="s">
        <v>4428</v>
      </c>
    </row>
    <row customHeight="1" ht="11.25">
      <c r="A332" s="0" t="s">
        <v>14</v>
      </c>
      <c r="B332" s="0" t="s">
        <v>4396</v>
      </c>
      <c r="C332" s="0" t="s">
        <v>4397</v>
      </c>
      <c r="D332" s="0" t="s">
        <v>4429</v>
      </c>
      <c r="E332" s="0" t="s">
        <v>4430</v>
      </c>
      <c r="F332" s="0" t="s">
        <v>3509</v>
      </c>
      <c r="G332" s="0" t="s">
        <v>4431</v>
      </c>
    </row>
    <row customHeight="1" ht="11.25">
      <c r="A333" s="0" t="s">
        <v>14</v>
      </c>
      <c r="B333" s="0" t="s">
        <v>4396</v>
      </c>
      <c r="C333" s="0" t="s">
        <v>4397</v>
      </c>
      <c r="D333" s="0" t="s">
        <v>4432</v>
      </c>
      <c r="E333" s="0" t="s">
        <v>4433</v>
      </c>
      <c r="F333" s="0" t="s">
        <v>3509</v>
      </c>
      <c r="G333" s="0" t="s">
        <v>4434</v>
      </c>
    </row>
    <row customHeight="1" ht="11.25">
      <c r="A334" s="0" t="s">
        <v>14</v>
      </c>
      <c r="B334" s="0" t="s">
        <v>100</v>
      </c>
      <c r="C334" s="0" t="s">
        <v>101</v>
      </c>
      <c r="D334" s="0" t="s">
        <v>100</v>
      </c>
      <c r="E334" s="0" t="s">
        <v>101</v>
      </c>
      <c r="F334" s="0" t="s">
        <v>4435</v>
      </c>
      <c r="G334" s="0" t="s">
        <v>99</v>
      </c>
    </row>
    <row customHeight="1" ht="11.25">
      <c r="A335" s="0" t="s">
        <v>14</v>
      </c>
      <c r="B335" s="0" t="s">
        <v>4436</v>
      </c>
      <c r="C335" s="0" t="s">
        <v>4437</v>
      </c>
      <c r="D335" s="0" t="s">
        <v>4436</v>
      </c>
      <c r="E335" s="0" t="s">
        <v>4437</v>
      </c>
      <c r="F335" s="0" t="s">
        <v>4435</v>
      </c>
      <c r="G335" s="0" t="s">
        <v>4438</v>
      </c>
    </row>
    <row customHeight="1" ht="11.25">
      <c r="A336" s="0" t="s">
        <v>14</v>
      </c>
      <c r="B336" s="0" t="s">
        <v>4439</v>
      </c>
      <c r="C336" s="0" t="s">
        <v>4440</v>
      </c>
      <c r="D336" s="0" t="s">
        <v>4439</v>
      </c>
      <c r="E336" s="0" t="s">
        <v>4440</v>
      </c>
      <c r="F336" s="0" t="s">
        <v>4435</v>
      </c>
      <c r="G336" s="0" t="s">
        <v>4441</v>
      </c>
    </row>
    <row customHeight="1" ht="11.25">
      <c r="A337" s="0" t="s">
        <v>14</v>
      </c>
      <c r="B337" s="0" t="s">
        <v>4442</v>
      </c>
      <c r="C337" s="0" t="s">
        <v>4443</v>
      </c>
      <c r="D337" s="0" t="s">
        <v>4442</v>
      </c>
      <c r="E337" s="0" t="s">
        <v>4443</v>
      </c>
      <c r="F337" s="0" t="s">
        <v>4435</v>
      </c>
      <c r="G337" s="0" t="s">
        <v>4444</v>
      </c>
    </row>
    <row customHeight="1" ht="11.25">
      <c r="A338" s="0" t="s">
        <v>14</v>
      </c>
      <c r="B338" s="0" t="s">
        <v>4445</v>
      </c>
      <c r="C338" s="0" t="s">
        <v>4446</v>
      </c>
      <c r="D338" s="0" t="s">
        <v>4445</v>
      </c>
      <c r="E338" s="0" t="s">
        <v>4446</v>
      </c>
      <c r="F338" s="0" t="s">
        <v>4435</v>
      </c>
      <c r="G338" s="0" t="s">
        <v>4447</v>
      </c>
    </row>
    <row customHeight="1" ht="11.25">
      <c r="A339" s="0" t="s">
        <v>14</v>
      </c>
      <c r="B339" s="0" t="s">
        <v>4448</v>
      </c>
      <c r="C339" s="0" t="s">
        <v>4449</v>
      </c>
      <c r="D339" s="0" t="s">
        <v>4448</v>
      </c>
      <c r="E339" s="0" t="s">
        <v>4449</v>
      </c>
      <c r="F339" s="0" t="s">
        <v>4435</v>
      </c>
      <c r="G339" s="0" t="s">
        <v>4450</v>
      </c>
    </row>
    <row customHeight="1" ht="11.25">
      <c r="A340" s="0" t="s">
        <v>14</v>
      </c>
      <c r="B340" s="0" t="s">
        <v>4451</v>
      </c>
      <c r="C340" s="0" t="s">
        <v>4452</v>
      </c>
      <c r="D340" s="0" t="s">
        <v>4453</v>
      </c>
      <c r="E340" s="0" t="s">
        <v>4454</v>
      </c>
      <c r="F340" s="0" t="s">
        <v>4455</v>
      </c>
      <c r="G340" s="0" t="s">
        <v>4456</v>
      </c>
    </row>
    <row customHeight="1" ht="11.25">
      <c r="A341" s="0" t="s">
        <v>14</v>
      </c>
      <c r="B341" s="0" t="s">
        <v>4451</v>
      </c>
      <c r="C341" s="0" t="s">
        <v>4452</v>
      </c>
      <c r="D341" s="0" t="s">
        <v>4457</v>
      </c>
      <c r="E341" s="0" t="s">
        <v>4458</v>
      </c>
      <c r="F341" s="0" t="s">
        <v>4455</v>
      </c>
      <c r="G341" s="0" t="s">
        <v>4459</v>
      </c>
    </row>
    <row customHeight="1" ht="11.25">
      <c r="A342" s="0" t="s">
        <v>14</v>
      </c>
      <c r="B342" s="0" t="s">
        <v>4451</v>
      </c>
      <c r="C342" s="0" t="s">
        <v>4452</v>
      </c>
      <c r="D342" s="0" t="s">
        <v>4460</v>
      </c>
      <c r="E342" s="0" t="s">
        <v>4461</v>
      </c>
      <c r="F342" s="0" t="s">
        <v>4455</v>
      </c>
      <c r="G342" s="0" t="s">
        <v>4462</v>
      </c>
    </row>
    <row customHeight="1" ht="11.25">
      <c r="A343" s="0" t="s">
        <v>14</v>
      </c>
      <c r="B343" s="0" t="s">
        <v>4451</v>
      </c>
      <c r="C343" s="0" t="s">
        <v>4452</v>
      </c>
      <c r="D343" s="0" t="s">
        <v>4463</v>
      </c>
      <c r="E343" s="0" t="s">
        <v>4464</v>
      </c>
      <c r="F343" s="0" t="s">
        <v>4455</v>
      </c>
      <c r="G343" s="0" t="s">
        <v>4465</v>
      </c>
    </row>
    <row customHeight="1" ht="11.25">
      <c r="A344" s="0" t="s">
        <v>14</v>
      </c>
      <c r="B344" s="0" t="s">
        <v>4451</v>
      </c>
      <c r="C344" s="0" t="s">
        <v>4452</v>
      </c>
      <c r="D344" s="0" t="s">
        <v>4466</v>
      </c>
      <c r="E344" s="0" t="s">
        <v>4467</v>
      </c>
      <c r="F344" s="0" t="s">
        <v>4455</v>
      </c>
      <c r="G344" s="0" t="s">
        <v>4468</v>
      </c>
    </row>
    <row customHeight="1" ht="11.25">
      <c r="A345" s="0" t="s">
        <v>14</v>
      </c>
      <c r="B345" s="0" t="s">
        <v>4451</v>
      </c>
      <c r="C345" s="0" t="s">
        <v>4452</v>
      </c>
      <c r="D345" s="0" t="s">
        <v>4469</v>
      </c>
      <c r="E345" s="0" t="s">
        <v>4470</v>
      </c>
      <c r="F345" s="0" t="s">
        <v>4455</v>
      </c>
      <c r="G345" s="0" t="s">
        <v>4471</v>
      </c>
    </row>
    <row customHeight="1" ht="11.25">
      <c r="A346" s="0" t="s">
        <v>14</v>
      </c>
      <c r="B346" s="0" t="s">
        <v>4451</v>
      </c>
      <c r="C346" s="0" t="s">
        <v>4452</v>
      </c>
      <c r="D346" s="0" t="s">
        <v>4472</v>
      </c>
      <c r="E346" s="0" t="s">
        <v>4473</v>
      </c>
      <c r="F346" s="0" t="s">
        <v>4455</v>
      </c>
      <c r="G346" s="0" t="s">
        <v>4474</v>
      </c>
    </row>
    <row customHeight="1" ht="11.25">
      <c r="A347" s="0" t="s">
        <v>14</v>
      </c>
      <c r="B347" s="0" t="s">
        <v>4451</v>
      </c>
      <c r="C347" s="0" t="s">
        <v>4452</v>
      </c>
      <c r="D347" s="0" t="s">
        <v>4475</v>
      </c>
      <c r="E347" s="0" t="s">
        <v>4476</v>
      </c>
      <c r="F347" s="0" t="s">
        <v>4455</v>
      </c>
      <c r="G347" s="0" t="s">
        <v>4477</v>
      </c>
    </row>
    <row customHeight="1" ht="11.25">
      <c r="A348" s="0" t="s">
        <v>14</v>
      </c>
      <c r="B348" s="0" t="s">
        <v>4451</v>
      </c>
      <c r="C348" s="0" t="s">
        <v>4452</v>
      </c>
      <c r="D348" s="0" t="s">
        <v>4478</v>
      </c>
      <c r="E348" s="0" t="s">
        <v>4479</v>
      </c>
      <c r="F348" s="0" t="s">
        <v>4455</v>
      </c>
      <c r="G348" s="0" t="s">
        <v>4480</v>
      </c>
    </row>
    <row customHeight="1" ht="11.25">
      <c r="A349" s="0" t="s">
        <v>14</v>
      </c>
      <c r="B349" s="0" t="s">
        <v>4451</v>
      </c>
      <c r="C349" s="0" t="s">
        <v>4452</v>
      </c>
      <c r="D349" s="0" t="s">
        <v>4451</v>
      </c>
      <c r="E349" s="0" t="s">
        <v>4452</v>
      </c>
      <c r="F349" s="0" t="s">
        <v>4481</v>
      </c>
      <c r="G349" s="0" t="s">
        <v>4482</v>
      </c>
    </row>
    <row customHeight="1" ht="11.25">
      <c r="A350" s="0" t="s">
        <v>14</v>
      </c>
      <c r="B350" s="0" t="s">
        <v>4451</v>
      </c>
      <c r="C350" s="0" t="s">
        <v>4452</v>
      </c>
      <c r="D350" s="0" t="s">
        <v>4451</v>
      </c>
      <c r="E350" s="0" t="s">
        <v>4452</v>
      </c>
      <c r="F350" s="0" t="s">
        <v>4435</v>
      </c>
      <c r="G350" s="0" t="s">
        <v>4483</v>
      </c>
    </row>
    <row customHeight="1" ht="11.25">
      <c r="A351" s="0" t="s">
        <v>14</v>
      </c>
      <c r="B351" s="0" t="s">
        <v>4484</v>
      </c>
      <c r="C351" s="0" t="s">
        <v>4485</v>
      </c>
      <c r="D351" s="0" t="s">
        <v>4484</v>
      </c>
      <c r="E351" s="0" t="s">
        <v>4485</v>
      </c>
      <c r="F351" s="0" t="s">
        <v>4435</v>
      </c>
      <c r="G351" s="0" t="s">
        <v>4486</v>
      </c>
    </row>
    <row customHeight="1" ht="11.25">
      <c r="A352" s="0" t="s">
        <v>14</v>
      </c>
      <c r="B352" s="0" t="s">
        <v>4487</v>
      </c>
      <c r="C352" s="0" t="s">
        <v>4488</v>
      </c>
      <c r="D352" s="0" t="s">
        <v>4487</v>
      </c>
      <c r="E352" s="0" t="s">
        <v>4488</v>
      </c>
      <c r="F352" s="0" t="s">
        <v>4435</v>
      </c>
      <c r="G352" s="0" t="s">
        <v>4489</v>
      </c>
    </row>
    <row customHeight="1" ht="11.25">
      <c r="A353" s="0" t="s">
        <v>14</v>
      </c>
      <c r="B353" s="0" t="s">
        <v>4490</v>
      </c>
      <c r="C353" s="0" t="s">
        <v>4491</v>
      </c>
      <c r="D353" s="0" t="s">
        <v>4490</v>
      </c>
      <c r="E353" s="0" t="s">
        <v>4491</v>
      </c>
      <c r="F353" s="0" t="s">
        <v>4435</v>
      </c>
      <c r="G353" s="0" t="s">
        <v>4492</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3521161-DBEF-6C6D-21D9-3CE47608427A}" mc:Ignorable="x14ac xr xr2 xr3">
  <sheetPr>
    <tabColor rgb="FFFFCC99"/>
  </sheetPr>
  <dimension ref="A1:C3"/>
  <sheetViews>
    <sheetView topLeftCell="A1" showGridLines="0" workbookViewId="0">
      <selection activeCell="A1" sqref="A1"/>
    </sheetView>
  </sheetViews>
  <sheetFormatPr defaultColWidth="9.140625" customHeight="1" defaultRowHeight="11.25"/>
  <cols>
    <col min="1" max="1" style="11395" width="9.140625"/>
    <col min="2" max="2" style="11395" width="84.28125" customWidth="1"/>
    <col min="3" max="3" style="11395" width="9.140625"/>
  </cols>
  <sheetData>
    <row customHeight="1" ht="11.25">
      <c r="A1" s="1080" t="s">
        <v>4572</v>
      </c>
      <c r="B1" s="1080" t="s">
        <v>4573</v>
      </c>
      <c r="C1" s="1080" t="s">
        <v>789</v>
      </c>
    </row>
    <row customHeight="1" ht="11.25">
      <c r="A2" s="1080">
        <v>4189678</v>
      </c>
      <c r="B2" s="1080" t="s">
        <v>4574</v>
      </c>
      <c r="C2" s="1080" t="s">
        <v>4575</v>
      </c>
    </row>
    <row customHeight="1" ht="11.25">
      <c r="A3" s="1080">
        <v>4190415</v>
      </c>
      <c r="B3" s="1080" t="s">
        <v>4576</v>
      </c>
      <c r="C3" s="1080" t="s">
        <v>4575</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2DD4AA5-E56B-313B-F6ED-823CFAE5B50B}" mc:Ignorable="x14ac xr xr2 xr3">
  <sheetPr>
    <tabColor rgb="FFFFCC99"/>
  </sheetPr>
  <dimension ref="A1:E8"/>
  <sheetViews>
    <sheetView topLeftCell="A1" showGridLines="0" workbookViewId="0">
      <selection activeCell="A1" sqref="A1"/>
    </sheetView>
  </sheetViews>
  <sheetFormatPr defaultColWidth="9.140625" customHeight="1" defaultRowHeight="15"/>
  <cols>
    <col min="1" max="1" style="11387" width="38.421875" customWidth="1"/>
    <col min="2" max="5" style="11387" width="9.140625"/>
  </cols>
  <sheetData>
    <row customHeight="1" ht="15">
      <c r="A1" s="371" t="s">
        <v>4577</v>
      </c>
      <c r="B1" s="371" t="s">
        <v>4578</v>
      </c>
      <c r="C1" s="371"/>
      <c r="D1" s="371"/>
      <c r="E1" s="371"/>
    </row>
    <row customHeight="1" ht="15">
      <c r="A2" s="371"/>
      <c r="B2" s="371"/>
      <c r="C2" s="371"/>
      <c r="D2" s="371"/>
      <c r="E2" s="371"/>
    </row>
    <row customHeight="1" ht="15">
      <c r="A3" s="371"/>
      <c r="B3" s="371"/>
      <c r="C3" s="371"/>
      <c r="D3" s="371"/>
      <c r="E3" s="371"/>
    </row>
    <row customHeight="1" ht="15">
      <c r="A4" s="371"/>
      <c r="B4" s="371"/>
      <c r="C4" s="371"/>
      <c r="D4" s="371"/>
      <c r="E4" s="371"/>
    </row>
    <row customHeight="1" ht="15">
      <c r="A5" s="371"/>
      <c r="B5" s="371"/>
      <c r="C5" s="371"/>
      <c r="D5" s="371"/>
      <c r="E5" s="371"/>
    </row>
    <row customHeight="1" ht="15">
      <c r="A6" s="371"/>
      <c r="B6" s="371"/>
      <c r="C6" s="371"/>
      <c r="D6" s="371"/>
      <c r="E6" s="371"/>
    </row>
    <row customHeight="1" ht="15">
      <c r="A7" s="371"/>
      <c r="B7" s="371"/>
      <c r="C7" s="371"/>
      <c r="D7" s="371"/>
      <c r="E7" s="371"/>
    </row>
    <row customHeight="1" ht="15">
      <c r="A8" s="371"/>
      <c r="B8" s="371"/>
      <c r="C8" s="371"/>
      <c r="D8" s="371"/>
      <c r="E8" s="371"/>
    </row>
  </sheetData>
  <sheetProtection formatColumns="0" formatRows="0"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EE308AC-8FD9-D87A-4422-07D7DF3C91C6}" mc:Ignorable="x14ac xr xr2 xr3">
  <sheetPr>
    <tabColor rgb="FFFFCC99"/>
  </sheetPr>
  <dimension ref="A1:E25"/>
  <sheetViews>
    <sheetView topLeftCell="A1" workbookViewId="0">
      <selection activeCell="A1" sqref="A1"/>
    </sheetView>
  </sheetViews>
  <sheetFormatPr customHeight="1" defaultRowHeight="11.25"/>
  <sheetData>
    <row customHeight="1" ht="11.25">
      <c r="A1" s="0" t="s">
        <v>4579</v>
      </c>
      <c r="B1" s="0" t="b">
        <v>1</v>
      </c>
    </row>
    <row customHeight="1" ht="11.25">
      <c r="A2" s="0" t="s">
        <v>4580</v>
      </c>
      <c r="B2" s="0" t="b">
        <v>0</v>
      </c>
    </row>
    <row customHeight="1" ht="11.25">
      <c r="A3" s="0" t="s">
        <v>4581</v>
      </c>
      <c r="B3" s="0" t="b">
        <v>1</v>
      </c>
    </row>
    <row customHeight="1" ht="11.25">
      <c r="A4" s="0" t="s">
        <v>4582</v>
      </c>
      <c r="B4" s="0" t="b">
        <v>0</v>
      </c>
    </row>
    <row customHeight="1" ht="11.25">
      <c r="A5" s="0" t="s">
        <v>4583</v>
      </c>
      <c r="B5" s="0" t="b">
        <v>0</v>
      </c>
    </row>
    <row customHeight="1" ht="11.25">
      <c r="A6" s="0" t="s">
        <v>4584</v>
      </c>
      <c r="B6" s="0" t="b">
        <v>0</v>
      </c>
    </row>
    <row customHeight="1" ht="11.25">
      <c r="A7" s="0" t="s">
        <v>4585</v>
      </c>
      <c r="B7" s="0" t="b">
        <v>0</v>
      </c>
    </row>
    <row customHeight="1" ht="11.25">
      <c r="A8" s="0" t="s">
        <v>4586</v>
      </c>
      <c r="B8" s="0" t="b">
        <v>0</v>
      </c>
    </row>
    <row customHeight="1" ht="11.25">
      <c r="A9" s="0" t="s">
        <v>4587</v>
      </c>
      <c r="B9" s="0" t="b">
        <v>0</v>
      </c>
    </row>
    <row customHeight="1" ht="11.25">
      <c r="A10" s="0" t="s">
        <v>4588</v>
      </c>
      <c r="B10" s="0" t="b">
        <v>0</v>
      </c>
    </row>
    <row customHeight="1" ht="11.25">
      <c r="A11" s="0" t="s">
        <v>4589</v>
      </c>
      <c r="B11" s="0" t="b">
        <v>1</v>
      </c>
    </row>
    <row customHeight="1" ht="11.25">
      <c r="A12" s="0" t="s">
        <v>4590</v>
      </c>
      <c r="B12" s="0" t="b">
        <v>0</v>
      </c>
    </row>
    <row customHeight="1" ht="11.25">
      <c r="A13" s="0" t="s">
        <v>4591</v>
      </c>
      <c r="B13" s="0" t="b">
        <v>0</v>
      </c>
    </row>
    <row customHeight="1" ht="11.25">
      <c r="A14" s="0" t="s">
        <v>4592</v>
      </c>
      <c r="B14" s="0" t="b">
        <v>0</v>
      </c>
    </row>
    <row customHeight="1" ht="11.25">
      <c r="A15" s="0" t="s">
        <v>4593</v>
      </c>
      <c r="B15" s="0" t="b">
        <v>1</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78251A9-A91D-501E-C533-0ED81B4299FC}" mc:Ignorable="x14ac xr xr2 xr3">
  <sheetPr>
    <tabColor rgb="FFFFCC99"/>
  </sheetPr>
  <dimension ref="A1:A1"/>
  <sheetViews>
    <sheetView topLeftCell="A1" showGridLines="0" workbookViewId="0">
      <selection activeCell="A1" sqref="A1"/>
    </sheetView>
  </sheetViews>
  <sheetFormatPr defaultColWidth="9.140625" customHeight="1" defaultRowHeight="12.75"/>
  <cols>
    <col min="1" max="1" style="11389" width="9.140625"/>
  </cols>
  <sheetData>
    <row customHeight="1" ht="12.75">
      <c r="A1" s="298"/>
    </row>
  </sheetData>
  <sheetProtection sort="0" autoFilter="0" insertRows="0" insertColumns="1" deleteRows="0" deleteColumns="0"/>
  <pageMargins left="0.75" right="0.75" top="1.00" bottom="1.00" header="0.50" footer="0.50"/>
  <pageSetup pageOrder="downThenOver" orientation="portrait"/>
  <headerFooter>
    <oddHeader>&amp;L&amp;C&amp;R</oddHeader>
    <oddFooter>&amp;L&amp;C&amp;R</oddFooter>
    <evenHeader>&amp;L&amp;C&amp;R</evenHeader>
    <evenFooter>&amp;L&amp;C&amp;R</evenFooter>
  </headerFooter>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CF04E6B-52BD-1B1A-1317-333C4CE50D2C}" mc:Ignorable="x14ac xr xr2 xr3">
  <sheetPr>
    <tabColor rgb="FFFFCC99"/>
  </sheetPr>
  <dimension ref="A1:B253"/>
  <sheetViews>
    <sheetView topLeftCell="A1" showGridLines="0" workbookViewId="0">
      <selection activeCell="A1" sqref="A1"/>
    </sheetView>
  </sheetViews>
  <sheetFormatPr defaultColWidth="9.140625" customHeight="1" defaultRowHeight="11.25"/>
  <cols>
    <col min="1" max="1" style="11403" width="36.28125" customWidth="1"/>
    <col min="2" max="2" style="11403" width="21.140625" customWidth="1"/>
  </cols>
  <sheetData>
    <row customHeight="1" ht="11.25">
      <c r="A1" s="268" t="s">
        <v>4594</v>
      </c>
      <c r="B1" s="268" t="s">
        <v>4595</v>
      </c>
    </row>
    <row customHeight="1" ht="11.25">
      <c r="A2" s="255" t="s">
        <v>4596</v>
      </c>
      <c r="B2" s="255" t="s">
        <v>4597</v>
      </c>
    </row>
    <row customHeight="1" ht="11.25">
      <c r="A3" s="255" t="s">
        <v>4598</v>
      </c>
      <c r="B3" s="255" t="s">
        <v>4599</v>
      </c>
    </row>
    <row customHeight="1" ht="11.25">
      <c r="A4" s="255" t="s">
        <v>4600</v>
      </c>
      <c r="B4" s="255" t="s">
        <v>4601</v>
      </c>
    </row>
    <row customHeight="1" ht="11.25">
      <c r="A5" s="255" t="s">
        <v>4602</v>
      </c>
      <c r="B5" s="255" t="s">
        <v>4603</v>
      </c>
    </row>
    <row customHeight="1" ht="11.25">
      <c r="A6" s="255" t="s">
        <v>4604</v>
      </c>
      <c r="B6" s="255" t="s">
        <v>4605</v>
      </c>
    </row>
    <row customHeight="1" ht="11.25">
      <c r="A7" s="255" t="s">
        <v>4606</v>
      </c>
      <c r="B7" s="255" t="s">
        <v>4607</v>
      </c>
    </row>
    <row customHeight="1" ht="11.25">
      <c r="A8" s="255" t="s">
        <v>4608</v>
      </c>
      <c r="B8" s="255" t="s">
        <v>4609</v>
      </c>
    </row>
    <row customHeight="1" ht="11.25">
      <c r="A9" s="255" t="s">
        <v>4610</v>
      </c>
      <c r="B9" s="255" t="s">
        <v>4611</v>
      </c>
    </row>
    <row customHeight="1" ht="11.25">
      <c r="A10" s="255" t="s">
        <v>4612</v>
      </c>
      <c r="B10" s="255" t="s">
        <v>4613</v>
      </c>
    </row>
    <row customHeight="1" ht="11.25">
      <c r="A11" s="255" t="s">
        <v>4614</v>
      </c>
      <c r="B11" s="255" t="s">
        <v>4615</v>
      </c>
    </row>
    <row customHeight="1" ht="11.25">
      <c r="A12" s="255" t="s">
        <v>4616</v>
      </c>
      <c r="B12" s="255" t="s">
        <v>4617</v>
      </c>
    </row>
    <row customHeight="1" ht="11.25">
      <c r="A13" s="255" t="s">
        <v>4618</v>
      </c>
      <c r="B13" s="255" t="s">
        <v>4619</v>
      </c>
    </row>
    <row customHeight="1" ht="11.25">
      <c r="A14" s="255" t="s">
        <v>4620</v>
      </c>
      <c r="B14" s="255" t="s">
        <v>4621</v>
      </c>
    </row>
    <row customHeight="1" ht="11.25">
      <c r="A15" s="255" t="s">
        <v>4622</v>
      </c>
      <c r="B15" s="255" t="s">
        <v>4623</v>
      </c>
    </row>
    <row customHeight="1" ht="11.25">
      <c r="A16" s="255" t="s">
        <v>4624</v>
      </c>
      <c r="B16" s="255" t="s">
        <v>4625</v>
      </c>
    </row>
    <row customHeight="1" ht="11.25">
      <c r="A17" s="255" t="s">
        <v>4626</v>
      </c>
      <c r="B17" s="255" t="s">
        <v>4627</v>
      </c>
    </row>
    <row customHeight="1" ht="11.25">
      <c r="A18" s="255" t="s">
        <v>4628</v>
      </c>
      <c r="B18" s="255" t="s">
        <v>4629</v>
      </c>
    </row>
    <row customHeight="1" ht="11.25">
      <c r="A19" s="255" t="s">
        <v>4630</v>
      </c>
      <c r="B19" s="255" t="s">
        <v>4631</v>
      </c>
    </row>
    <row customHeight="1" ht="11.25">
      <c r="A20" s="255" t="s">
        <v>4632</v>
      </c>
      <c r="B20" s="255" t="s">
        <v>4633</v>
      </c>
    </row>
    <row customHeight="1" ht="11.25">
      <c r="A21" s="255" t="s">
        <v>4634</v>
      </c>
      <c r="B21" s="255" t="s">
        <v>4635</v>
      </c>
    </row>
    <row customHeight="1" ht="11.25">
      <c r="A22" s="255" t="s">
        <v>4636</v>
      </c>
      <c r="B22" s="255" t="s">
        <v>4637</v>
      </c>
    </row>
    <row customHeight="1" ht="11.25">
      <c r="A23" s="255" t="s">
        <v>4638</v>
      </c>
      <c r="B23" s="255" t="s">
        <v>4639</v>
      </c>
    </row>
    <row customHeight="1" ht="11.25">
      <c r="A24" s="255" t="s">
        <v>4640</v>
      </c>
      <c r="B24" s="255" t="s">
        <v>4641</v>
      </c>
    </row>
    <row customHeight="1" ht="11.25">
      <c r="A25" s="255" t="s">
        <v>4642</v>
      </c>
      <c r="B25" s="255" t="s">
        <v>4643</v>
      </c>
    </row>
    <row customHeight="1" ht="11.25">
      <c r="A26" s="255" t="s">
        <v>4644</v>
      </c>
      <c r="B26" s="255" t="s">
        <v>4645</v>
      </c>
    </row>
    <row customHeight="1" ht="11.25">
      <c r="A27" s="255" t="s">
        <v>4646</v>
      </c>
      <c r="B27" s="255" t="s">
        <v>4647</v>
      </c>
    </row>
    <row customHeight="1" ht="11.25">
      <c r="A28" s="255" t="s">
        <v>4648</v>
      </c>
      <c r="B28" s="255" t="s">
        <v>4649</v>
      </c>
    </row>
    <row customHeight="1" ht="11.25">
      <c r="A29" s="255" t="s">
        <v>4650</v>
      </c>
      <c r="B29" s="255" t="s">
        <v>4651</v>
      </c>
    </row>
    <row customHeight="1" ht="11.25">
      <c r="A30" s="255" t="s">
        <v>4652</v>
      </c>
      <c r="B30" s="255" t="s">
        <v>4653</v>
      </c>
    </row>
    <row customHeight="1" ht="11.25">
      <c r="A31" s="255" t="s">
        <v>4654</v>
      </c>
      <c r="B31" s="255" t="s">
        <v>4655</v>
      </c>
    </row>
    <row customHeight="1" ht="11.25">
      <c r="A32" s="255" t="s">
        <v>4656</v>
      </c>
      <c r="B32" s="255" t="s">
        <v>4657</v>
      </c>
    </row>
    <row customHeight="1" ht="11.25">
      <c r="A33" s="255" t="s">
        <v>4658</v>
      </c>
      <c r="B33" s="255" t="s">
        <v>4659</v>
      </c>
    </row>
    <row customHeight="1" ht="11.25">
      <c r="A34" s="255" t="s">
        <v>4660</v>
      </c>
      <c r="B34" s="255" t="s">
        <v>4661</v>
      </c>
    </row>
    <row customHeight="1" ht="11.25">
      <c r="A35" s="255" t="s">
        <v>4662</v>
      </c>
      <c r="B35" s="255" t="s">
        <v>4663</v>
      </c>
    </row>
    <row customHeight="1" ht="11.25">
      <c r="A36" s="255" t="s">
        <v>4664</v>
      </c>
      <c r="B36" s="255" t="s">
        <v>4665</v>
      </c>
    </row>
    <row customHeight="1" ht="11.25">
      <c r="A37" s="255" t="s">
        <v>4666</v>
      </c>
      <c r="B37" s="255" t="s">
        <v>4667</v>
      </c>
    </row>
    <row customHeight="1" ht="11.25">
      <c r="A38" s="255" t="s">
        <v>4668</v>
      </c>
      <c r="B38" s="255" t="s">
        <v>4669</v>
      </c>
    </row>
    <row customHeight="1" ht="11.25">
      <c r="A39" s="255" t="s">
        <v>4670</v>
      </c>
      <c r="B39" s="255" t="s">
        <v>4671</v>
      </c>
    </row>
    <row customHeight="1" ht="11.25">
      <c r="A40" s="255" t="s">
        <v>4672</v>
      </c>
      <c r="B40" s="255" t="s">
        <v>4673</v>
      </c>
    </row>
    <row customHeight="1" ht="11.25">
      <c r="A41" s="255" t="s">
        <v>4674</v>
      </c>
      <c r="B41" s="255" t="s">
        <v>4675</v>
      </c>
    </row>
    <row customHeight="1" ht="11.25">
      <c r="A42" s="255" t="s">
        <v>4676</v>
      </c>
      <c r="B42" s="255" t="s">
        <v>4677</v>
      </c>
    </row>
    <row customHeight="1" ht="11.25">
      <c r="A43" s="255" t="s">
        <v>4678</v>
      </c>
      <c r="B43" s="255" t="s">
        <v>4679</v>
      </c>
    </row>
    <row customHeight="1" ht="11.25">
      <c r="A44" s="255" t="s">
        <v>4680</v>
      </c>
      <c r="B44" s="255" t="s">
        <v>4681</v>
      </c>
    </row>
    <row customHeight="1" ht="11.25">
      <c r="A45" s="255" t="s">
        <v>4682</v>
      </c>
      <c r="B45" s="255" t="s">
        <v>4683</v>
      </c>
    </row>
    <row customHeight="1" ht="11.25">
      <c r="A46" s="255" t="s">
        <v>4684</v>
      </c>
      <c r="B46" s="255" t="s">
        <v>4685</v>
      </c>
    </row>
    <row customHeight="1" ht="11.25">
      <c r="A47" s="255" t="s">
        <v>4686</v>
      </c>
      <c r="B47" s="255" t="s">
        <v>4687</v>
      </c>
    </row>
    <row customHeight="1" ht="11.25">
      <c r="A48" s="255" t="s">
        <v>4688</v>
      </c>
      <c r="B48" s="255" t="s">
        <v>4689</v>
      </c>
    </row>
    <row customHeight="1" ht="11.25">
      <c r="A49" s="255" t="s">
        <v>4690</v>
      </c>
      <c r="B49" s="255" t="s">
        <v>4691</v>
      </c>
    </row>
    <row customHeight="1" ht="11.25">
      <c r="A50" s="255" t="s">
        <v>4692</v>
      </c>
      <c r="B50" s="255" t="s">
        <v>4693</v>
      </c>
    </row>
    <row customHeight="1" ht="11.25">
      <c r="A51" s="255" t="s">
        <v>4694</v>
      </c>
      <c r="B51" s="255" t="s">
        <v>4695</v>
      </c>
    </row>
    <row customHeight="1" ht="11.25">
      <c r="A52" s="255" t="s">
        <v>4696</v>
      </c>
      <c r="B52" s="255" t="s">
        <v>4697</v>
      </c>
    </row>
    <row customHeight="1" ht="11.25">
      <c r="A53" s="255" t="s">
        <v>4698</v>
      </c>
      <c r="B53" s="255" t="s">
        <v>4699</v>
      </c>
    </row>
    <row customHeight="1" ht="11.25">
      <c r="A54" s="255" t="s">
        <v>4700</v>
      </c>
      <c r="B54" s="255" t="s">
        <v>4701</v>
      </c>
    </row>
    <row customHeight="1" ht="11.25">
      <c r="A55" s="255" t="s">
        <v>4702</v>
      </c>
      <c r="B55" s="255" t="s">
        <v>4703</v>
      </c>
    </row>
    <row customHeight="1" ht="11.25">
      <c r="A56" s="255" t="s">
        <v>4704</v>
      </c>
      <c r="B56" s="255" t="s">
        <v>4705</v>
      </c>
    </row>
    <row customHeight="1" ht="11.25">
      <c r="A57" s="255" t="s">
        <v>4706</v>
      </c>
      <c r="B57" s="255" t="s">
        <v>4707</v>
      </c>
    </row>
    <row customHeight="1" ht="11.25">
      <c r="A58" s="255" t="s">
        <v>4708</v>
      </c>
      <c r="B58" s="255" t="s">
        <v>4709</v>
      </c>
    </row>
    <row customHeight="1" ht="11.25">
      <c r="A59" s="255" t="s">
        <v>4710</v>
      </c>
      <c r="B59" s="255" t="s">
        <v>4711</v>
      </c>
    </row>
    <row customHeight="1" ht="11.25">
      <c r="A60" s="255" t="s">
        <v>4712</v>
      </c>
      <c r="B60" s="255" t="s">
        <v>4713</v>
      </c>
    </row>
    <row customHeight="1" ht="11.25">
      <c r="A61" s="255"/>
      <c r="B61" s="255" t="s">
        <v>4714</v>
      </c>
    </row>
    <row customHeight="1" ht="11.25">
      <c r="A62" s="255"/>
      <c r="B62" s="255" t="s">
        <v>4715</v>
      </c>
    </row>
    <row customHeight="1" ht="11.25">
      <c r="A63" s="255"/>
      <c r="B63" s="255" t="s">
        <v>4716</v>
      </c>
    </row>
    <row customHeight="1" ht="11.25">
      <c r="A64" s="255"/>
      <c r="B64" s="255" t="s">
        <v>4717</v>
      </c>
    </row>
    <row customHeight="1" ht="11.25">
      <c r="A65" s="255"/>
      <c r="B65" s="255" t="s">
        <v>4718</v>
      </c>
    </row>
    <row customHeight="1" ht="11.25">
      <c r="A66" s="255"/>
      <c r="B66" s="255" t="s">
        <v>4719</v>
      </c>
    </row>
    <row customHeight="1" ht="11.25">
      <c r="A67" s="255"/>
      <c r="B67" s="255" t="s">
        <v>4720</v>
      </c>
    </row>
    <row customHeight="1" ht="11.25">
      <c r="A68" s="255"/>
      <c r="B68" s="255" t="s">
        <v>4721</v>
      </c>
    </row>
    <row customHeight="1" ht="11.25">
      <c r="A69" s="255"/>
      <c r="B69" s="255" t="s">
        <v>4722</v>
      </c>
    </row>
    <row customHeight="1" ht="11.25">
      <c r="A70" s="255"/>
      <c r="B70" s="255" t="s">
        <v>4723</v>
      </c>
    </row>
    <row customHeight="1" ht="11.25">
      <c r="A71" s="255"/>
      <c r="B71" s="255"/>
    </row>
    <row customHeight="1" ht="11.25">
      <c r="A72" s="255"/>
      <c r="B72" s="255"/>
    </row>
    <row customHeight="1" ht="11.25">
      <c r="A73" s="255"/>
      <c r="B73" s="255"/>
    </row>
    <row customHeight="1" ht="11.25">
      <c r="A74" s="255"/>
      <c r="B74" s="255"/>
    </row>
    <row customHeight="1" ht="11.25">
      <c r="A75" s="255"/>
      <c r="B75" s="255"/>
    </row>
    <row customHeight="1" ht="11.25">
      <c r="A76" s="255"/>
      <c r="B76" s="255"/>
    </row>
    <row customHeight="1" ht="11.25">
      <c r="A77" s="255"/>
      <c r="B77" s="255"/>
    </row>
    <row customHeight="1" ht="11.25">
      <c r="A78" s="255"/>
      <c r="B78" s="255"/>
    </row>
    <row customHeight="1" ht="11.25">
      <c r="A79" s="255"/>
      <c r="B79" s="255"/>
    </row>
    <row customHeight="1" ht="11.25">
      <c r="A80" s="255"/>
      <c r="B80" s="255"/>
    </row>
    <row customHeight="1" ht="11.25">
      <c r="A81" s="255"/>
      <c r="B81" s="255"/>
    </row>
    <row customHeight="1" ht="11.25">
      <c r="A82" s="255"/>
      <c r="B82" s="255"/>
    </row>
    <row customHeight="1" ht="11.25">
      <c r="A83" s="255"/>
      <c r="B83" s="255"/>
    </row>
    <row customHeight="1" ht="11.25">
      <c r="A84" s="255"/>
      <c r="B84" s="255"/>
    </row>
    <row customHeight="1" ht="11.25">
      <c r="A85" s="255"/>
      <c r="B85" s="255"/>
    </row>
    <row customHeight="1" ht="11.25">
      <c r="A86" s="255"/>
      <c r="B86" s="255"/>
    </row>
    <row customHeight="1" ht="11.25">
      <c r="A87" s="255"/>
      <c r="B87" s="255"/>
    </row>
    <row customHeight="1" ht="11.25">
      <c r="A88" s="255"/>
      <c r="B88" s="255"/>
    </row>
    <row customHeight="1" ht="11.25">
      <c r="A89" s="255"/>
      <c r="B89" s="255"/>
    </row>
    <row customHeight="1" ht="11.25">
      <c r="A90" s="255"/>
      <c r="B90" s="255"/>
    </row>
    <row customHeight="1" ht="11.25">
      <c r="A91" s="255"/>
      <c r="B91" s="255"/>
    </row>
    <row customHeight="1" ht="11.25">
      <c r="A92" s="255"/>
      <c r="B92" s="255"/>
    </row>
    <row customHeight="1" ht="11.25">
      <c r="A93" s="255"/>
      <c r="B93" s="255"/>
    </row>
    <row customHeight="1" ht="11.25">
      <c r="A94" s="255"/>
      <c r="B94" s="255"/>
    </row>
    <row customHeight="1" ht="11.25">
      <c r="A95" s="255"/>
      <c r="B95" s="255"/>
    </row>
    <row customHeight="1" ht="11.25">
      <c r="A96" s="255"/>
      <c r="B96" s="255"/>
    </row>
    <row customHeight="1" ht="11.25">
      <c r="A97" s="255"/>
      <c r="B97" s="255"/>
    </row>
    <row customHeight="1" ht="11.25">
      <c r="A98" s="255"/>
      <c r="B98" s="255"/>
    </row>
    <row customHeight="1" ht="11.25">
      <c r="A99" s="255"/>
      <c r="B99" s="255"/>
    </row>
    <row customHeight="1" ht="11.25">
      <c r="A100" s="255"/>
      <c r="B100" s="255"/>
    </row>
    <row customHeight="1" ht="11.25">
      <c r="A101" s="255"/>
      <c r="B101" s="255"/>
    </row>
    <row customHeight="1" ht="11.25">
      <c r="A102" s="255"/>
      <c r="B102" s="255"/>
    </row>
    <row customHeight="1" ht="11.25">
      <c r="A103" s="255"/>
      <c r="B103" s="255"/>
    </row>
    <row customHeight="1" ht="11.25">
      <c r="A104" s="255"/>
      <c r="B104" s="255"/>
    </row>
    <row customHeight="1" ht="11.25">
      <c r="A105" s="255"/>
      <c r="B105" s="255"/>
    </row>
    <row customHeight="1" ht="11.25">
      <c r="A106" s="255"/>
      <c r="B106" s="255"/>
    </row>
    <row customHeight="1" ht="11.25">
      <c r="A107" s="255"/>
      <c r="B107" s="255"/>
    </row>
    <row customHeight="1" ht="11.25">
      <c r="A108" s="255"/>
      <c r="B108" s="255"/>
    </row>
    <row customHeight="1" ht="11.25">
      <c r="A109" s="255"/>
      <c r="B109" s="255"/>
    </row>
    <row customHeight="1" ht="11.25">
      <c r="A110" s="255"/>
      <c r="B110" s="255"/>
    </row>
    <row customHeight="1" ht="11.25">
      <c r="A111" s="255"/>
      <c r="B111" s="255"/>
    </row>
    <row customHeight="1" ht="11.25">
      <c r="A112" s="255"/>
      <c r="B112" s="255"/>
    </row>
    <row customHeight="1" ht="11.25">
      <c r="A113" s="255"/>
      <c r="B113" s="255"/>
    </row>
    <row customHeight="1" ht="11.25">
      <c r="A114" s="255"/>
      <c r="B114" s="255"/>
    </row>
    <row customHeight="1" ht="11.25">
      <c r="A115" s="255"/>
      <c r="B115" s="255"/>
    </row>
    <row customHeight="1" ht="11.25">
      <c r="A116" s="255"/>
      <c r="B116" s="255"/>
    </row>
    <row customHeight="1" ht="11.25">
      <c r="A117" s="255"/>
      <c r="B117" s="255"/>
    </row>
    <row customHeight="1" ht="11.25">
      <c r="A118" s="255"/>
      <c r="B118" s="255"/>
    </row>
    <row customHeight="1" ht="11.25">
      <c r="A119" s="255"/>
      <c r="B119" s="255"/>
    </row>
    <row customHeight="1" ht="11.25">
      <c r="A120" s="255"/>
      <c r="B120" s="255"/>
    </row>
    <row customHeight="1" ht="11.25">
      <c r="A121" s="255"/>
      <c r="B121" s="255"/>
    </row>
    <row customHeight="1" ht="11.25">
      <c r="A122" s="255"/>
      <c r="B122" s="255"/>
    </row>
    <row customHeight="1" ht="11.25">
      <c r="A123" s="255"/>
      <c r="B123" s="255"/>
    </row>
    <row customHeight="1" ht="11.25">
      <c r="A124" s="255"/>
      <c r="B124" s="255"/>
    </row>
    <row customHeight="1" ht="11.25">
      <c r="A125" s="255"/>
      <c r="B125" s="255"/>
    </row>
    <row customHeight="1" ht="11.25">
      <c r="A126" s="255"/>
      <c r="B126" s="255"/>
    </row>
    <row customHeight="1" ht="11.25">
      <c r="A127" s="255"/>
      <c r="B127" s="255"/>
    </row>
    <row customHeight="1" ht="11.25">
      <c r="A128" s="255"/>
      <c r="B128" s="255"/>
    </row>
    <row customHeight="1" ht="11.25">
      <c r="A129" s="255"/>
      <c r="B129" s="255"/>
    </row>
    <row customHeight="1" ht="11.25">
      <c r="A130" s="255"/>
      <c r="B130" s="255"/>
    </row>
    <row customHeight="1" ht="11.25">
      <c r="A131" s="255"/>
      <c r="B131" s="255"/>
    </row>
    <row customHeight="1" ht="11.25">
      <c r="A132" s="255"/>
      <c r="B132" s="255"/>
    </row>
    <row customHeight="1" ht="11.25">
      <c r="A133" s="255"/>
      <c r="B133" s="255"/>
    </row>
    <row customHeight="1" ht="11.25">
      <c r="A134" s="255"/>
      <c r="B134" s="255"/>
    </row>
    <row customHeight="1" ht="11.25">
      <c r="A135" s="255"/>
      <c r="B135" s="255"/>
    </row>
    <row customHeight="1" ht="11.25">
      <c r="A136" s="255"/>
      <c r="B136" s="255"/>
    </row>
    <row customHeight="1" ht="11.25">
      <c r="A137" s="255"/>
      <c r="B137" s="255"/>
    </row>
    <row customHeight="1" ht="11.25">
      <c r="A138" s="255"/>
      <c r="B138" s="255"/>
    </row>
    <row customHeight="1" ht="11.25">
      <c r="A139" s="255"/>
      <c r="B139" s="255"/>
    </row>
    <row customHeight="1" ht="11.25">
      <c r="A140" s="255"/>
      <c r="B140" s="255"/>
    </row>
    <row customHeight="1" ht="11.25">
      <c r="A141" s="255"/>
      <c r="B141" s="255"/>
    </row>
    <row customHeight="1" ht="11.25">
      <c r="A142" s="255"/>
      <c r="B142" s="255"/>
    </row>
    <row customHeight="1" ht="11.25">
      <c r="A143" s="255"/>
      <c r="B143" s="255"/>
    </row>
    <row customHeight="1" ht="11.25">
      <c r="A144" s="255"/>
      <c r="B144" s="255"/>
    </row>
    <row customHeight="1" ht="11.25">
      <c r="A145" s="255"/>
      <c r="B145" s="255"/>
    </row>
    <row customHeight="1" ht="11.25">
      <c r="A146" s="255"/>
      <c r="B146" s="255"/>
    </row>
    <row customHeight="1" ht="11.25">
      <c r="A147" s="255"/>
      <c r="B147" s="255"/>
    </row>
    <row customHeight="1" ht="11.25">
      <c r="A148" s="255"/>
      <c r="B148" s="255"/>
    </row>
    <row customHeight="1" ht="11.25">
      <c r="A149" s="255"/>
      <c r="B149" s="255"/>
    </row>
    <row customHeight="1" ht="11.25">
      <c r="A150" s="255"/>
      <c r="B150" s="255"/>
    </row>
    <row customHeight="1" ht="11.25">
      <c r="A151" s="255"/>
      <c r="B151" s="255"/>
    </row>
    <row customHeight="1" ht="11.25">
      <c r="A152" s="255"/>
      <c r="B152" s="255"/>
    </row>
    <row customHeight="1" ht="11.25">
      <c r="A153" s="255"/>
      <c r="B153" s="255"/>
    </row>
    <row customHeight="1" ht="11.25">
      <c r="A154" s="255"/>
      <c r="B154" s="255"/>
    </row>
    <row customHeight="1" ht="11.25">
      <c r="A155" s="255"/>
      <c r="B155" s="255"/>
    </row>
    <row customHeight="1" ht="11.25">
      <c r="A156" s="255"/>
      <c r="B156" s="255"/>
    </row>
    <row customHeight="1" ht="11.25">
      <c r="A157" s="255"/>
      <c r="B157" s="255"/>
    </row>
    <row customHeight="1" ht="11.25">
      <c r="A158" s="255"/>
      <c r="B158" s="255"/>
    </row>
    <row customHeight="1" ht="11.25">
      <c r="A159" s="255"/>
      <c r="B159" s="255"/>
    </row>
    <row customHeight="1" ht="11.25">
      <c r="A160" s="255"/>
      <c r="B160" s="255"/>
    </row>
    <row customHeight="1" ht="11.25">
      <c r="A161" s="255"/>
      <c r="B161" s="255"/>
    </row>
    <row customHeight="1" ht="11.25">
      <c r="A162" s="255"/>
      <c r="B162" s="255"/>
    </row>
    <row customHeight="1" ht="11.25">
      <c r="A163" s="255"/>
      <c r="B163" s="255"/>
    </row>
    <row customHeight="1" ht="11.25">
      <c r="A164" s="255"/>
      <c r="B164" s="255"/>
    </row>
    <row customHeight="1" ht="11.25">
      <c r="A165" s="255"/>
      <c r="B165" s="255"/>
    </row>
    <row customHeight="1" ht="11.25">
      <c r="A166" s="255"/>
      <c r="B166" s="255"/>
    </row>
    <row customHeight="1" ht="11.25">
      <c r="A167" s="255"/>
      <c r="B167" s="255"/>
    </row>
    <row customHeight="1" ht="11.25">
      <c r="A168" s="255"/>
      <c r="B168" s="255"/>
    </row>
    <row customHeight="1" ht="11.25">
      <c r="A169" s="255"/>
      <c r="B169" s="255"/>
    </row>
    <row customHeight="1" ht="11.25">
      <c r="A170" s="255"/>
      <c r="B170" s="255"/>
    </row>
    <row customHeight="1" ht="11.25">
      <c r="A171" s="255"/>
      <c r="B171" s="255"/>
    </row>
    <row customHeight="1" ht="11.25">
      <c r="A172" s="255"/>
      <c r="B172" s="255"/>
    </row>
    <row customHeight="1" ht="11.25">
      <c r="A173" s="255"/>
      <c r="B173" s="255"/>
    </row>
    <row customHeight="1" ht="11.25">
      <c r="A174" s="255"/>
      <c r="B174" s="255"/>
    </row>
    <row customHeight="1" ht="11.25">
      <c r="A175" s="255"/>
      <c r="B175" s="255"/>
    </row>
    <row customHeight="1" ht="11.25">
      <c r="A176" s="255"/>
      <c r="B176" s="255"/>
    </row>
    <row customHeight="1" ht="11.25">
      <c r="A177" s="255"/>
      <c r="B177" s="255"/>
    </row>
    <row customHeight="1" ht="11.25">
      <c r="A178" s="255"/>
      <c r="B178" s="255"/>
    </row>
    <row customHeight="1" ht="11.25">
      <c r="A179" s="255"/>
      <c r="B179" s="255"/>
    </row>
    <row customHeight="1" ht="11.25">
      <c r="A180" s="255"/>
      <c r="B180" s="255"/>
    </row>
    <row customHeight="1" ht="11.25">
      <c r="A181" s="255"/>
      <c r="B181" s="255"/>
    </row>
    <row customHeight="1" ht="11.25">
      <c r="A182" s="255"/>
      <c r="B182" s="255"/>
    </row>
    <row customHeight="1" ht="11.25">
      <c r="A183" s="255"/>
      <c r="B183" s="255"/>
    </row>
    <row customHeight="1" ht="11.25">
      <c r="A184" s="255"/>
      <c r="B184" s="255"/>
    </row>
    <row customHeight="1" ht="11.25">
      <c r="A185" s="255"/>
      <c r="B185" s="255"/>
    </row>
    <row customHeight="1" ht="11.25">
      <c r="A186" s="255"/>
      <c r="B186" s="255"/>
    </row>
    <row customHeight="1" ht="11.25">
      <c r="A187" s="255"/>
      <c r="B187" s="255"/>
    </row>
    <row customHeight="1" ht="11.25">
      <c r="A188" s="255"/>
      <c r="B188" s="255"/>
    </row>
    <row customHeight="1" ht="11.25">
      <c r="A189" s="255"/>
      <c r="B189" s="255"/>
    </row>
    <row customHeight="1" ht="11.25">
      <c r="A190" s="255"/>
      <c r="B190" s="255"/>
    </row>
    <row customHeight="1" ht="11.25">
      <c r="A191" s="255"/>
      <c r="B191" s="255"/>
    </row>
    <row customHeight="1" ht="11.25">
      <c r="A192" s="255"/>
      <c r="B192" s="255"/>
    </row>
    <row customHeight="1" ht="11.25">
      <c r="A193" s="255"/>
      <c r="B193" s="255"/>
    </row>
    <row customHeight="1" ht="11.25">
      <c r="A194" s="255"/>
      <c r="B194" s="255"/>
    </row>
    <row customHeight="1" ht="11.25">
      <c r="A195" s="255"/>
      <c r="B195" s="255"/>
    </row>
    <row customHeight="1" ht="11.25">
      <c r="A196" s="255"/>
      <c r="B196" s="255"/>
    </row>
    <row customHeight="1" ht="11.25">
      <c r="A197" s="255"/>
      <c r="B197" s="255"/>
    </row>
    <row customHeight="1" ht="11.25">
      <c r="A198" s="255"/>
      <c r="B198" s="255"/>
    </row>
    <row customHeight="1" ht="11.25">
      <c r="A199" s="255"/>
      <c r="B199" s="255"/>
    </row>
    <row customHeight="1" ht="11.25">
      <c r="A200" s="255"/>
      <c r="B200" s="255"/>
    </row>
    <row customHeight="1" ht="11.25">
      <c r="A201" s="255"/>
      <c r="B201" s="255"/>
    </row>
    <row customHeight="1" ht="11.25">
      <c r="A202" s="255"/>
      <c r="B202" s="255"/>
    </row>
    <row customHeight="1" ht="11.25">
      <c r="A203" s="255"/>
      <c r="B203" s="255"/>
    </row>
    <row customHeight="1" ht="11.25">
      <c r="A204" s="255"/>
      <c r="B204" s="255"/>
    </row>
    <row customHeight="1" ht="11.25">
      <c r="A205" s="255"/>
      <c r="B205" s="255"/>
    </row>
    <row customHeight="1" ht="11.25">
      <c r="A206" s="255"/>
      <c r="B206" s="255"/>
    </row>
    <row customHeight="1" ht="11.25">
      <c r="A207" s="255"/>
      <c r="B207" s="255"/>
    </row>
    <row customHeight="1" ht="11.25">
      <c r="A208" s="255"/>
      <c r="B208" s="255"/>
    </row>
    <row customHeight="1" ht="11.25">
      <c r="A209" s="255"/>
      <c r="B209" s="255"/>
    </row>
    <row customHeight="1" ht="11.25">
      <c r="A210" s="255"/>
      <c r="B210" s="255"/>
    </row>
    <row customHeight="1" ht="11.25">
      <c r="A211" s="255"/>
      <c r="B211" s="255"/>
    </row>
    <row customHeight="1" ht="11.25">
      <c r="A212" s="255"/>
      <c r="B212" s="255"/>
    </row>
    <row customHeight="1" ht="11.25">
      <c r="A213" s="255"/>
      <c r="B213" s="255"/>
    </row>
    <row customHeight="1" ht="11.25">
      <c r="A214" s="255"/>
      <c r="B214" s="255"/>
    </row>
    <row customHeight="1" ht="11.25">
      <c r="A215" s="255"/>
      <c r="B215" s="255"/>
    </row>
    <row customHeight="1" ht="11.25">
      <c r="A216" s="255"/>
      <c r="B216" s="255"/>
    </row>
    <row customHeight="1" ht="11.25">
      <c r="A217" s="255"/>
      <c r="B217" s="255"/>
    </row>
    <row customHeight="1" ht="11.25">
      <c r="A218" s="255"/>
      <c r="B218" s="255"/>
    </row>
    <row customHeight="1" ht="11.25">
      <c r="A219" s="255"/>
      <c r="B219" s="255"/>
    </row>
    <row customHeight="1" ht="11.25">
      <c r="A220" s="255"/>
      <c r="B220" s="255"/>
    </row>
    <row customHeight="1" ht="11.25">
      <c r="A221" s="255"/>
      <c r="B221" s="255"/>
    </row>
    <row customHeight="1" ht="11.25">
      <c r="A222" s="255"/>
      <c r="B222" s="255"/>
    </row>
    <row customHeight="1" ht="11.25">
      <c r="A223" s="255"/>
      <c r="B223" s="255"/>
    </row>
    <row customHeight="1" ht="11.25">
      <c r="A224" s="255"/>
      <c r="B224" s="255"/>
    </row>
    <row customHeight="1" ht="11.25">
      <c r="A225" s="255"/>
      <c r="B225" s="255"/>
    </row>
    <row customHeight="1" ht="11.25">
      <c r="A226" s="255"/>
      <c r="B226" s="255"/>
    </row>
    <row customHeight="1" ht="11.25">
      <c r="A227" s="255"/>
      <c r="B227" s="255"/>
    </row>
    <row customHeight="1" ht="11.25">
      <c r="A228" s="255"/>
      <c r="B228" s="255"/>
    </row>
    <row customHeight="1" ht="11.25">
      <c r="A229" s="255"/>
      <c r="B229" s="255"/>
    </row>
    <row customHeight="1" ht="11.25">
      <c r="A230" s="255"/>
      <c r="B230" s="255"/>
    </row>
    <row customHeight="1" ht="11.25">
      <c r="A231" s="255"/>
      <c r="B231" s="255"/>
    </row>
    <row customHeight="1" ht="11.25">
      <c r="A232" s="255"/>
      <c r="B232" s="255"/>
    </row>
    <row customHeight="1" ht="11.25">
      <c r="A233" s="255"/>
      <c r="B233" s="255"/>
    </row>
    <row customHeight="1" ht="11.25">
      <c r="A234" s="255"/>
      <c r="B234" s="255"/>
    </row>
    <row customHeight="1" ht="11.25">
      <c r="A235" s="255"/>
      <c r="B235" s="255"/>
    </row>
    <row customHeight="1" ht="11.25">
      <c r="A236" s="255"/>
      <c r="B236" s="255"/>
    </row>
    <row customHeight="1" ht="11.25">
      <c r="A237" s="255"/>
      <c r="B237" s="255"/>
    </row>
    <row customHeight="1" ht="11.25">
      <c r="A238" s="255"/>
      <c r="B238" s="255"/>
    </row>
    <row customHeight="1" ht="11.25">
      <c r="A239" s="255"/>
      <c r="B239" s="255"/>
    </row>
    <row customHeight="1" ht="11.25">
      <c r="A240" s="255"/>
      <c r="B240" s="255"/>
    </row>
    <row customHeight="1" ht="11.25">
      <c r="A241" s="255"/>
      <c r="B241" s="255"/>
    </row>
    <row customHeight="1" ht="11.25">
      <c r="A242" s="255"/>
      <c r="B242" s="255"/>
    </row>
    <row customHeight="1" ht="11.25">
      <c r="A243" s="255"/>
      <c r="B243" s="255"/>
    </row>
    <row customHeight="1" ht="11.25">
      <c r="A244" s="255"/>
      <c r="B244" s="255"/>
    </row>
    <row customHeight="1" ht="11.25">
      <c r="A245" s="255"/>
      <c r="B245" s="255"/>
    </row>
    <row customHeight="1" ht="11.25">
      <c r="A246" s="255"/>
      <c r="B246" s="255"/>
    </row>
    <row customHeight="1" ht="11.25">
      <c r="A247" s="255"/>
      <c r="B247" s="255"/>
    </row>
    <row customHeight="1" ht="11.25">
      <c r="A248" s="255"/>
      <c r="B248" s="255"/>
    </row>
    <row customHeight="1" ht="11.25">
      <c r="A249" s="255"/>
      <c r="B249" s="255"/>
    </row>
    <row customHeight="1" ht="11.25">
      <c r="A250" s="255"/>
      <c r="B250" s="255"/>
    </row>
    <row customHeight="1" ht="11.25">
      <c r="A251" s="255"/>
      <c r="B251" s="255"/>
    </row>
    <row customHeight="1" ht="11.25">
      <c r="A252" s="255"/>
      <c r="B252" s="255"/>
    </row>
    <row customHeight="1" ht="11.25">
      <c r="A253" s="255"/>
      <c r="B253" s="255"/>
    </row>
  </sheetData>
  <sheetProtection formatColumns="0" formatRows="0"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242930C-BDF3-506E-182A-653025D1DAB6}" mc:Ignorable="x14ac xr xr2 xr3">
  <sheetPr>
    <tabColor rgb="FFFFCC99"/>
  </sheetPr>
  <dimension ref="A1:D36"/>
  <sheetViews>
    <sheetView topLeftCell="A1" showGridLines="0" workbookViewId="0">
      <selection activeCell="A1" sqref="A1"/>
    </sheetView>
  </sheetViews>
  <sheetFormatPr defaultColWidth="9.140625" customHeight="1" defaultRowHeight="11.25"/>
  <cols>
    <col min="1" max="1" style="11403" width="3.7109375" customWidth="1"/>
    <col min="2" max="2" style="11403" width="90.7109375" customWidth="1"/>
    <col min="3" max="4" style="11403" width="9.140625"/>
  </cols>
  <sheetData>
    <row customHeight="1" ht="11.25">
      <c r="B1" s="296" t="s">
        <v>4724</v>
      </c>
    </row>
    <row customHeight="1" ht="90">
      <c r="B2" s="297" t="s">
        <v>4725</v>
      </c>
    </row>
    <row customHeight="1" ht="67.5">
      <c r="B3" s="297" t="s">
        <v>4726</v>
      </c>
    </row>
    <row customHeight="1" ht="33.75">
      <c r="B4" s="297" t="s">
        <v>4727</v>
      </c>
    </row>
    <row customHeight="1" ht="11.25">
      <c r="B5" s="297" t="s">
        <v>4728</v>
      </c>
    </row>
    <row customHeight="1" ht="22.5">
      <c r="B6" s="297" t="s">
        <v>4729</v>
      </c>
    </row>
    <row customHeight="1" ht="22.5">
      <c r="B7" s="297" t="s">
        <v>4730</v>
      </c>
    </row>
    <row customHeight="1" ht="22.5">
      <c r="B8" s="297" t="s">
        <v>4731</v>
      </c>
    </row>
    <row customHeight="1" ht="22.5">
      <c r="B9" s="297" t="s">
        <v>4732</v>
      </c>
    </row>
    <row customHeight="1" ht="56.25">
      <c r="B10" s="297" t="s">
        <v>4733</v>
      </c>
    </row>
    <row customHeight="1" ht="12.75">
      <c r="B11" s="367" t="s">
        <v>4734</v>
      </c>
    </row>
    <row customHeight="1" ht="11.25">
      <c r="B12" s="296" t="s">
        <v>4735</v>
      </c>
    </row>
    <row customHeight="1" ht="22.5">
      <c r="B13" s="297" t="s">
        <v>4736</v>
      </c>
    </row>
    <row customHeight="1" ht="67.5">
      <c r="B14" s="297" t="s">
        <v>4737</v>
      </c>
    </row>
    <row customHeight="1" ht="22.5">
      <c r="B15" s="297" t="s">
        <v>4738</v>
      </c>
    </row>
    <row customHeight="1" ht="11.25">
      <c r="B16" s="296" t="s">
        <v>4739</v>
      </c>
      <c r="D16" s="304"/>
    </row>
    <row customHeight="1" ht="33.75">
      <c r="B17" s="297" t="s">
        <v>4740</v>
      </c>
    </row>
    <row customHeight="1" ht="33.75">
      <c r="B18" s="297" t="s">
        <v>4741</v>
      </c>
    </row>
    <row customHeight="1" ht="11.25">
      <c r="B19" s="297" t="s">
        <v>4742</v>
      </c>
    </row>
    <row customHeight="1" ht="33.75">
      <c r="B20" s="297" t="s">
        <v>4743</v>
      </c>
    </row>
    <row customHeight="1" ht="11.25">
      <c r="B21" s="296" t="s">
        <v>4744</v>
      </c>
    </row>
    <row customHeight="1" ht="11.25">
      <c r="B22" s="297" t="s">
        <v>4745</v>
      </c>
    </row>
    <row r="24" customHeight="1" ht="22.5">
      <c r="B24" s="369" t="s">
        <v>4746</v>
      </c>
    </row>
    <row r="26" customHeight="1" ht="11.25">
      <c r="B26" s="296" t="s">
        <v>4747</v>
      </c>
    </row>
    <row customHeight="1" ht="22.5">
      <c r="B27" s="368" t="s">
        <v>1516</v>
      </c>
    </row>
    <row customHeight="1" ht="56.25">
      <c r="B28" s="368" t="s">
        <v>4748</v>
      </c>
    </row>
    <row customHeight="1" ht="11.25">
      <c r="B29" s="418" t="s">
        <v>4749</v>
      </c>
    </row>
    <row customHeight="1" ht="22.5">
      <c r="B30" s="368" t="s">
        <v>4750</v>
      </c>
    </row>
    <row r="32" customHeight="1" ht="11.25">
      <c r="A32" s="395"/>
      <c r="B32" s="396" t="s">
        <v>4751</v>
      </c>
    </row>
    <row customHeight="1" ht="14.25">
      <c r="A33" s="397">
        <v>1</v>
      </c>
      <c r="B33" s="398" t="s">
        <v>4752</v>
      </c>
    </row>
    <row customHeight="1" ht="14.25">
      <c r="A34" s="397">
        <v>2</v>
      </c>
      <c r="B34" s="398" t="s">
        <v>4753</v>
      </c>
    </row>
    <row customHeight="1" ht="11.25">
      <c r="B35" s="396" t="s">
        <v>4754</v>
      </c>
    </row>
    <row customHeight="1" ht="11.25">
      <c r="B36" s="398" t="s">
        <v>4755</v>
      </c>
    </row>
  </sheetData>
  <sheetProtection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1703</vt:i4>
      </vt:variant>
    </vt:vector>
  </HeadingPairs>
  <TitlesOfParts>
    <vt:vector size="1704" baseType="lpstr">
      <vt:lpstr>Инструкция</vt:lpstr>
      <vt:lpstr>B_FHD_CHECK_INDEX_1</vt:lpstr>
      <vt:lpstr>B_FHD_CHECK_INDEX_2</vt:lpstr>
      <vt:lpstr>B_FHD_COSTS_INDEX_1</vt:lpstr>
      <vt:lpstr>B_FHD_COSTS_INDEX_2</vt:lpstr>
      <vt:lpstr>B_FHD_DATA_TOP80_ACTIVITY</vt:lpstr>
      <vt:lpstr>B_FHD_diff_1</vt:lpstr>
      <vt:lpstr>B_FHD_FLAG_DIFFERENTIATION</vt:lpstr>
      <vt:lpstr>B_FHD_FLAG_INDEX_1</vt:lpstr>
      <vt:lpstr>B_FHD_FLAG_INDEX_2</vt:lpstr>
      <vt:lpstr>B_FHD_TKO_DATA_TOP80_ACTIVITY</vt:lpstr>
      <vt:lpstr>B_FHD_TKO_diff_1</vt:lpstr>
      <vt:lpstr>B_FHD_TKO_FLAG_DIFFERENTIATION</vt:lpstr>
      <vt:lpstr>B_FHD_TKO_TRANS_DATA_TOP80_ACTIVITY</vt:lpstr>
      <vt:lpstr>B_FHD_TKO_TRANS_diff_1</vt:lpstr>
      <vt:lpstr>B_FHD_TKO_TRANS_FLAG_DIFFERENTIATION</vt:lpstr>
      <vt:lpstr>B_FHD20_ADD_HL_2_COLUMN_MARKER</vt:lpstr>
      <vt:lpstr>B_FHD20_ADD_HL_3_COLUMN_MARKER</vt:lpstr>
      <vt:lpstr>B_FHD20_ADD_HL_4_COLUMN_MARKER</vt:lpstr>
      <vt:lpstr>B_FHD20_ALL_DATA</vt:lpstr>
      <vt:lpstr>B_FHD20_COSTS_OPS_diff_1</vt:lpstr>
      <vt:lpstr>B_FHD20_COSTS_PH_diff_1</vt:lpstr>
      <vt:lpstr>B_FHD20_DEL_HL_2_COLUMN_MARKER</vt:lpstr>
      <vt:lpstr>B_FHD20_DEL_HL_3_COLUMN_MARKER</vt:lpstr>
      <vt:lpstr>B_FHD20_DEL_HL_4_COLUMN_MARKER</vt:lpstr>
      <vt:lpstr>B_FHD20_diff_1</vt:lpstr>
      <vt:lpstr>B_FHD20_FLAG_FHD</vt:lpstr>
      <vt:lpstr>B_FHD20_NUMBER_COLUMN_MARKER</vt:lpstr>
      <vt:lpstr>B_FHD20_PART_COLUMN_MARKER</vt:lpstr>
      <vt:lpstr>B_KNE_diff_1</vt:lpstr>
      <vt:lpstr>BLOCK_BALANCE_INDICATORS</vt:lpstr>
      <vt:lpstr>BLOCK_BALANCE_TKO_FLAG_TRANS</vt:lpstr>
      <vt:lpstr>BLOCK_CONNECTION_STATE</vt:lpstr>
      <vt:lpstr>BLOCK_DIFF_CS</vt:lpstr>
      <vt:lpstr>BLOCK_DIFFERENTIATION_NOT_TKO</vt:lpstr>
      <vt:lpstr>BLOCK_FIRST_TARIFF</vt:lpstr>
      <vt:lpstr>BLOCK_FIRST_TARIFF_OREG_PUBL</vt:lpstr>
      <vt:lpstr>BLOCK_MAIN_INFO_HEAT</vt:lpstr>
      <vt:lpstr>BLOCK_MAIN_INFO_NOT_TKO</vt:lpstr>
      <vt:lpstr>BLOCK_MAIN_INFO_OBJECT_COLDVSNA</vt:lpstr>
      <vt:lpstr>BLOCK_MAIN_INFO_OBJECT_COMM_COLDVSNA</vt:lpstr>
      <vt:lpstr>BLOCK_MAIN_INFO_OBJECT_COMM_HEAT</vt:lpstr>
      <vt:lpstr>BLOCK_MAIN_INFO_OBJECT_COMM_HOTVSNA</vt:lpstr>
      <vt:lpstr>BLOCK_MAIN_INFO_OBJECT_COMM_VOTV</vt:lpstr>
      <vt:lpstr>BLOCK_MAIN_INFO_OBJECT_HEAT</vt:lpstr>
      <vt:lpstr>BLOCK_MAIN_INFO_OBJECT_HOTVSNA</vt:lpstr>
      <vt:lpstr>BLOCK_MAIN_INFO_OBJECT_VOTV</vt:lpstr>
      <vt:lpstr>BLOCK_NOTE_P_TARIFF_A</vt:lpstr>
      <vt:lpstr>BLOCK_NOTE_P_TARIFF_A_COLDVSNA</vt:lpstr>
      <vt:lpstr>BLOCK_NOTE_P_TARIFF_A_HOTVSNA</vt:lpstr>
      <vt:lpstr>BLOCK_NOTE_P_TARIFF_A_VOTV</vt:lpstr>
      <vt:lpstr>BLOCK_NOTE_P_TARIFF_B</vt:lpstr>
      <vt:lpstr>BLOCK_NOTE_P_TARIFF_B_COLDVSNA</vt:lpstr>
      <vt:lpstr>BLOCK_NOTE_P_TARIFF_B_HOTVSNA</vt:lpstr>
      <vt:lpstr>BLOCK_NOTE_P_TARIFF_B_VOTV</vt:lpstr>
      <vt:lpstr>BLOCK_NOTE_P_TARIFF_C</vt:lpstr>
      <vt:lpstr>BLOCK_NOTE_P_TARIFF_C_COLDVSNA</vt:lpstr>
      <vt:lpstr>BLOCK_NOTE_P_TARIFF_C_HOTVSNA</vt:lpstr>
      <vt:lpstr>BLOCK_NOTE_P_TARIFF_C_VOTV</vt:lpstr>
      <vt:lpstr>BLOCK_NOTE_P_TARIFF_D</vt:lpstr>
      <vt:lpstr>BLOCK_NOTE_P_TARIFF_D_COLDVSNA</vt:lpstr>
      <vt:lpstr>BLOCK_NOTE_P_TARIFF_E_COLDVSNA</vt:lpstr>
      <vt:lpstr>BLOCK_NOTE_P_TARIFF_E1</vt:lpstr>
      <vt:lpstr>BLOCK_NOTE_P_TARIFF_E2</vt:lpstr>
      <vt:lpstr>BLOCK_NOTE_P_TARIFF_F</vt:lpstr>
      <vt:lpstr>BLOCK_NOTE_P_TARIFF_G</vt:lpstr>
      <vt:lpstr>BLOCK_NOTE_R_TARIFF_A</vt:lpstr>
      <vt:lpstr>BLOCK_NOTE_R_TARIFF_A_COLDVSNA</vt:lpstr>
      <vt:lpstr>BLOCK_NOTE_R_TARIFF_A_HOTVSNA</vt:lpstr>
      <vt:lpstr>BLOCK_NOTE_R_TARIFF_A_VOTV</vt:lpstr>
      <vt:lpstr>BLOCK_NOTE_R_TARIFF_B</vt:lpstr>
      <vt:lpstr>BLOCK_NOTE_R_TARIFF_B_COLDVSNA</vt:lpstr>
      <vt:lpstr>BLOCK_NOTE_R_TARIFF_B_HOTVSNA</vt:lpstr>
      <vt:lpstr>BLOCK_NOTE_R_TARIFF_B_VOTV</vt:lpstr>
      <vt:lpstr>BLOCK_NOTE_R_TARIFF_C</vt:lpstr>
      <vt:lpstr>BLOCK_NOTE_R_TARIFF_C_COLDVSNA</vt:lpstr>
      <vt:lpstr>BLOCK_NOTE_R_TARIFF_C_HOTVSNA</vt:lpstr>
      <vt:lpstr>BLOCK_NOTE_R_TARIFF_C_VOTV</vt:lpstr>
      <vt:lpstr>BLOCK_NOTE_R_TARIFF_D</vt:lpstr>
      <vt:lpstr>BLOCK_NOTE_R_TARIFF_D_COLDVSNA</vt:lpstr>
      <vt:lpstr>BLOCK_NOTE_R_TARIFF_E_COLDVSNA</vt:lpstr>
      <vt:lpstr>BLOCK_NOTE_R_TARIFF_E1</vt:lpstr>
      <vt:lpstr>BLOCK_NOTE_R_TARIFF_E2</vt:lpstr>
      <vt:lpstr>BLOCK_NOTE_R_TARIFF_F</vt:lpstr>
      <vt:lpstr>BLOCK_NOTE_R_TARIFF_G</vt:lpstr>
      <vt:lpstr>BLOCK_PERIOD_DATA</vt:lpstr>
      <vt:lpstr>BLOCK_PERIOD_QUARTER</vt:lpstr>
      <vt:lpstr>BLOCK_PERIOD_TWO_DATA</vt:lpstr>
      <vt:lpstr>BLOCK_PERIOD_YEAR</vt:lpstr>
      <vt:lpstr>BLOCK_POK_FHD_COLDVSNA_P1</vt:lpstr>
      <vt:lpstr>BLOCK_POK_FHD_COLDVSNA_P2</vt:lpstr>
      <vt:lpstr>BLOCK_POK_FHD_HEAT_P1</vt:lpstr>
      <vt:lpstr>BLOCK_POK_FHD_HEAT_P2</vt:lpstr>
      <vt:lpstr>BLOCK_POK_FHD_HEAT_P3</vt:lpstr>
      <vt:lpstr>BLOCK_POK_FHD_HEAT_P4</vt:lpstr>
      <vt:lpstr>BLOCK_POK_FHD_HEAT_P5</vt:lpstr>
      <vt:lpstr>BLOCK_POK_FHD_HEAT_P6</vt:lpstr>
      <vt:lpstr>BLOCK_POK_FHD_HOTVSNA_P1</vt:lpstr>
      <vt:lpstr>BLOCK_POK_FHD_HOTVSNA_P2</vt:lpstr>
      <vt:lpstr>BLOCK_POK_FHD_NOT_HEAT_P1</vt:lpstr>
      <vt:lpstr>BLOCK_POK_FHD_NOT_HEAT_P2</vt:lpstr>
      <vt:lpstr>BLOCK_POK_FHD_NOT_HOTVSNA</vt:lpstr>
      <vt:lpstr>BLOCK_POK_FHD_VOTV_P1</vt:lpstr>
      <vt:lpstr>BLOCK_POK_FHD_VSNA</vt:lpstr>
      <vt:lpstr>BLOCK_POK_FHD20_NOT_HEAT</vt:lpstr>
      <vt:lpstr>BLOCK_POK_KNE_COLDVSNA</vt:lpstr>
      <vt:lpstr>BLOCK_POK_KNE_HEAT</vt:lpstr>
      <vt:lpstr>BLOCK_POK_KNE_HOTVSNA</vt:lpstr>
      <vt:lpstr>BLOCK_POK_KNE_VOTV</vt:lpstr>
      <vt:lpstr>BLOCK_PRICE_INDICATORS_HEAT</vt:lpstr>
      <vt:lpstr>BLOCK_PRICE_IST_TE</vt:lpstr>
      <vt:lpstr>BLOCK_PRICE_REQUEST</vt:lpstr>
      <vt:lpstr>BLOCK_PT_COLDVSNA</vt:lpstr>
      <vt:lpstr>BLOCK_PT_HEAT</vt:lpstr>
      <vt:lpstr>BLOCK_PT_HOTVSNA</vt:lpstr>
      <vt:lpstr>BLOCK_PT_VOTV</vt:lpstr>
      <vt:lpstr>BLOCK_TABLE_P_TARIFF_A</vt:lpstr>
      <vt:lpstr>BLOCK_TABLE_P_TARIFF_A_COLDVSNA</vt:lpstr>
      <vt:lpstr>BLOCK_TABLE_P_TARIFF_A_HOTVSNA</vt:lpstr>
      <vt:lpstr>BLOCK_TABLE_P_TARIFF_A_VOTV</vt:lpstr>
      <vt:lpstr>BLOCK_TABLE_P_TARIFF_B</vt:lpstr>
      <vt:lpstr>BLOCK_TABLE_P_TARIFF_B_COLDVSNA</vt:lpstr>
      <vt:lpstr>BLOCK_TABLE_P_TARIFF_B_HOTVSNA</vt:lpstr>
      <vt:lpstr>BLOCK_TABLE_P_TARIFF_B_VOTV</vt:lpstr>
      <vt:lpstr>BLOCK_TABLE_P_TARIFF_C</vt:lpstr>
      <vt:lpstr>BLOCK_TABLE_P_TARIFF_C_COLDVSNA</vt:lpstr>
      <vt:lpstr>BLOCK_TABLE_P_TARIFF_C_HOTVSNA</vt:lpstr>
      <vt:lpstr>BLOCK_TABLE_P_TARIFF_C_VOTV</vt:lpstr>
      <vt:lpstr>BLOCK_TABLE_P_TARIFF_D</vt:lpstr>
      <vt:lpstr>BLOCK_TABLE_P_TARIFF_D_COLDVSNA</vt:lpstr>
      <vt:lpstr>BLOCK_TABLE_P_TARIFF_E_COLDVSNA</vt:lpstr>
      <vt:lpstr>BLOCK_TABLE_P_TARIFF_E1</vt:lpstr>
      <vt:lpstr>BLOCK_TABLE_P_TARIFF_E2</vt:lpstr>
      <vt:lpstr>BLOCK_TABLE_P_TARIFF_F</vt:lpstr>
      <vt:lpstr>BLOCK_TABLE_P_TARIFF_G</vt:lpstr>
      <vt:lpstr>BLOCK_TABLE_R_TARIFF_A</vt:lpstr>
      <vt:lpstr>BLOCK_TABLE_R_TARIFF_A_COLDVSNA</vt:lpstr>
      <vt:lpstr>BLOCK_TABLE_R_TARIFF_A_HOTVSNA</vt:lpstr>
      <vt:lpstr>BLOCK_TABLE_R_TARIFF_A_VOTV</vt:lpstr>
      <vt:lpstr>BLOCK_TABLE_R_TARIFF_B</vt:lpstr>
      <vt:lpstr>BLOCK_TABLE_R_TARIFF_B_COLDVSNA</vt:lpstr>
      <vt:lpstr>BLOCK_TABLE_R_TARIFF_B_HOTVSNA</vt:lpstr>
      <vt:lpstr>BLOCK_TABLE_R_TARIFF_B_VOTV</vt:lpstr>
      <vt:lpstr>BLOCK_TABLE_R_TARIFF_C</vt:lpstr>
      <vt:lpstr>BLOCK_TABLE_R_TARIFF_C_COLDVSNA</vt:lpstr>
      <vt:lpstr>BLOCK_TABLE_R_TARIFF_C_HOTVSNA</vt:lpstr>
      <vt:lpstr>BLOCK_TABLE_R_TARIFF_C_VOTV</vt:lpstr>
      <vt:lpstr>BLOCK_TABLE_R_TARIFF_D</vt:lpstr>
      <vt:lpstr>BLOCK_TABLE_R_TARIFF_D_COLDVSNA</vt:lpstr>
      <vt:lpstr>BLOCK_TABLE_R_TARIFF_E_COLDVSNA</vt:lpstr>
      <vt:lpstr>BLOCK_TABLE_R_TARIFF_E1</vt:lpstr>
      <vt:lpstr>BLOCK_TABLE_R_TARIFF_E2</vt:lpstr>
      <vt:lpstr>BLOCK_TABLE_R_TARIFF_F</vt:lpstr>
      <vt:lpstr>BLOCK_TABLE_R_TARIFF_G</vt:lpstr>
      <vt:lpstr>BLOCK_TEMPLATES_INVEST_TIT</vt:lpstr>
      <vt:lpstr>BLOCK_TERMS_HEAT_P1</vt:lpstr>
      <vt:lpstr>BLOCK_TERMS_NOT_TKO_P1</vt:lpstr>
      <vt:lpstr>BLOCK_TERMS_NOT_TKO_P2</vt:lpstr>
      <vt:lpstr>BLOCK_TERMS_TKO_TRANS</vt:lpstr>
      <vt:lpstr>BLOCK_TERRITORY_INFO</vt:lpstr>
      <vt:lpstr>BLOCK_WARM_ORG_TYPE</vt:lpstr>
      <vt:lpstr>checkCell_List01</vt:lpstr>
      <vt:lpstr>checkCell_List07</vt:lpstr>
      <vt:lpstr>CLASS_TKO_LIST</vt:lpstr>
      <vt:lpstr>code</vt:lpstr>
      <vt:lpstr>CodeTemplateList</vt:lpstr>
      <vt:lpstr>COLDVSNA_FIN_SRC_LIST</vt:lpstr>
      <vt:lpstr>COLDVSNA_FIN_SRC_VLD_LIST</vt:lpstr>
      <vt:lpstr>COLDVSNA_IP_EVENT_CI_STAGE_LIST</vt:lpstr>
      <vt:lpstr>COLDVSNA_IP_EVENT_GROUP_LIST</vt:lpstr>
      <vt:lpstr>COLDVSNA_IP_EVENT_SUBGROUP_1_LIST</vt:lpstr>
      <vt:lpstr>COLDVSNA_IP_EVENT_SUBGROUP_3_LIST</vt:lpstr>
      <vt:lpstr>COLDVSNA_IP_EVENT_SUBGROUP_5_LIST</vt:lpstr>
      <vt:lpstr>COLDVSNA_IP_EVENT_TYPE_LIST</vt:lpstr>
      <vt:lpstr>COLDVSNA_PT_VED_ID</vt:lpstr>
      <vt:lpstr>COLDVSNA_PT_VED_NAME</vt:lpstr>
      <vt:lpstr>COLDVSNA_PT_VED_NAME_LIST</vt:lpstr>
      <vt:lpstr>COLDVSNA_TARIFF_A_COLDVSNA_ADD_HL_COLUMN_MARKER</vt:lpstr>
      <vt:lpstr>COLDVSNA_TARIFF_A_COLDVSNA_DEL_HL_DATA_DIFF_COLUMN_MARKER</vt:lpstr>
      <vt:lpstr>COLDVSNA_TARIFF_A_COLDVSNA_DEL_HL_FLAG_DIFF_COLUMN_MARKER</vt:lpstr>
      <vt:lpstr>COLDVSNA_TARIFF_A_COLDVSNA_DEL_HL_GC_COLUMN_MARKER</vt:lpstr>
      <vt:lpstr>COLDVSNA_TARIFF_A_COLDVSNA_DELETE_PERIOD_ROW_MARKER</vt:lpstr>
      <vt:lpstr>COLDVSNA_TARIFF_A_COLDVSNA_FLAG_BLOCK_COLUMN_MARKER</vt:lpstr>
      <vt:lpstr>COLDVSNA_TARIFF_A_COLDVSNA_FLAG_BLOCK_ROW_MARKER</vt:lpstr>
      <vt:lpstr>COLDVSNA_TARIFF_A_COLDVSNA_NUM_CS_COLUMN_MARKER</vt:lpstr>
      <vt:lpstr>COLDVSNA_TARIFF_A_COLDVSNA_NUM_DATA_DIFF_COLUMN_MARKER</vt:lpstr>
      <vt:lpstr>COLDVSNA_TARIFF_A_COLDVSNA_NUM_FLAG_DIFF_COLUMN_MARKER</vt:lpstr>
      <vt:lpstr>COLDVSNA_TARIFF_A_COLDVSNA_NUM_GC_COLUMN_MARKER</vt:lpstr>
      <vt:lpstr>COLDVSNA_TARIFF_A_COLDVSNA_NUM_NTAR_COLUMN_MARKER</vt:lpstr>
      <vt:lpstr>COLDVSNA_TARIFF_A_COLDVSNA_NUM_TER_COLUMN_MARKER</vt:lpstr>
      <vt:lpstr>COLDVSNA_TARIFF_B_COLDVSNA_ADD_HL_COLUMN_MARKER</vt:lpstr>
      <vt:lpstr>COLDVSNA_TARIFF_B_COLDVSNA_DEL_HL_DATA_DIFF_COLUMN_MARKER</vt:lpstr>
      <vt:lpstr>COLDVSNA_TARIFF_B_COLDVSNA_DEL_HL_FLAG_DIFF_COLUMN_MARKER</vt:lpstr>
      <vt:lpstr>COLDVSNA_TARIFF_B_COLDVSNA_DEL_HL_GC_COLUMN_MARKER</vt:lpstr>
      <vt:lpstr>COLDVSNA_TARIFF_B_COLDVSNA_DELETE_PERIOD_ROW_MARKER</vt:lpstr>
      <vt:lpstr>COLDVSNA_TARIFF_B_COLDVSNA_FLAG_BLOCK_COLUMN_MARKER</vt:lpstr>
      <vt:lpstr>COLDVSNA_TARIFF_B_COLDVSNA_FLAG_BLOCK_ROW_MARKER</vt:lpstr>
      <vt:lpstr>COLDVSNA_TARIFF_B_COLDVSNA_NUM_CS_COLUMN_MARKER</vt:lpstr>
      <vt:lpstr>COLDVSNA_TARIFF_B_COLDVSNA_NUM_DATA_DIFF_COLUMN_MARKER</vt:lpstr>
      <vt:lpstr>COLDVSNA_TARIFF_B_COLDVSNA_NUM_FLAG_DIFF_COLUMN_MARKER</vt:lpstr>
      <vt:lpstr>COLDVSNA_TARIFF_B_COLDVSNA_NUM_GC_COLUMN_MARKER</vt:lpstr>
      <vt:lpstr>COLDVSNA_TARIFF_B_COLDVSNA_NUM_NTAR_COLUMN_MARKER</vt:lpstr>
      <vt:lpstr>COLDVSNA_TARIFF_B_COLDVSNA_NUM_TER_COLUMN_MARKER</vt:lpstr>
      <vt:lpstr>COLDVSNA_TARIFF_C_COLDVSNA_ADD_HL_COLUMN_MARKER</vt:lpstr>
      <vt:lpstr>COLDVSNA_TARIFF_C_COLDVSNA_DEL_HL_DATA_DIFF_COLUMN_MARKER</vt:lpstr>
      <vt:lpstr>COLDVSNA_TARIFF_C_COLDVSNA_DEL_HL_FLAG_DIFF_COLUMN_MARKER</vt:lpstr>
      <vt:lpstr>COLDVSNA_TARIFF_C_COLDVSNA_DEL_HL_GC_COLUMN_MARKER</vt:lpstr>
      <vt:lpstr>COLDVSNA_TARIFF_C_COLDVSNA_DELETE_PERIOD_ROW_MARKER</vt:lpstr>
      <vt:lpstr>COLDVSNA_TARIFF_C_COLDVSNA_FLAG_BLOCK_COLUMN_MARKER</vt:lpstr>
      <vt:lpstr>COLDVSNA_TARIFF_C_COLDVSNA_FLAG_BLOCK_ROW_MARKER</vt:lpstr>
      <vt:lpstr>COLDVSNA_TARIFF_C_COLDVSNA_NUM_CS_COLUMN_MARKER</vt:lpstr>
      <vt:lpstr>COLDVSNA_TARIFF_C_COLDVSNA_NUM_DATA_DIFF_COLUMN_MARKER</vt:lpstr>
      <vt:lpstr>COLDVSNA_TARIFF_C_COLDVSNA_NUM_FLAG_DIFF_COLUMN_MARKER</vt:lpstr>
      <vt:lpstr>COLDVSNA_TARIFF_C_COLDVSNA_NUM_GC_COLUMN_MARKER</vt:lpstr>
      <vt:lpstr>COLDVSNA_TARIFF_C_COLDVSNA_NUM_NTAR_COLUMN_MARKER</vt:lpstr>
      <vt:lpstr>COLDVSNA_TARIFF_C_COLDVSNA_NUM_TER_COLUMN_MARKER</vt:lpstr>
      <vt:lpstr>COLDVSNA_TARIFF_D_COLDVSNA_ADD_HL_COLUMN_MARKER</vt:lpstr>
      <vt:lpstr>COLDVSNA_TARIFF_D_COLDVSNA_DEL_HL_DATA_DIFF_COLUMN_MARKER</vt:lpstr>
      <vt:lpstr>COLDVSNA_TARIFF_D_COLDVSNA_DEL_HL_FLAG_DIFF_COLUMN_MARKER</vt:lpstr>
      <vt:lpstr>COLDVSNA_TARIFF_D_COLDVSNA_DEL_HL_GC_COLUMN_MARKER</vt:lpstr>
      <vt:lpstr>COLDVSNA_TARIFF_D_COLDVSNA_DELETE_PERIOD_ROW_MARKER</vt:lpstr>
      <vt:lpstr>COLDVSNA_TARIFF_D_COLDVSNA_FLAG_BLOCK_COLUMN_MARKER</vt:lpstr>
      <vt:lpstr>COLDVSNA_TARIFF_D_COLDVSNA_FLAG_BLOCK_ROW_MARKER</vt:lpstr>
      <vt:lpstr>COLDVSNA_TARIFF_D_COLDVSNA_NUM_CS_COLUMN_MARKER</vt:lpstr>
      <vt:lpstr>COLDVSNA_TARIFF_D_COLDVSNA_NUM_DATA_DIFF_COLUMN_MARKER</vt:lpstr>
      <vt:lpstr>COLDVSNA_TARIFF_D_COLDVSNA_NUM_FLAG_DIFF_COLUMN_MARKER</vt:lpstr>
      <vt:lpstr>COLDVSNA_TARIFF_D_COLDVSNA_NUM_GC_COLUMN_MARKER</vt:lpstr>
      <vt:lpstr>COLDVSNA_TARIFF_D_COLDVSNA_NUM_NTAR_COLUMN_MARKER</vt:lpstr>
      <vt:lpstr>COLDVSNA_TARIFF_D_COLDVSNA_NUM_TER_COLUMN_MARKER</vt:lpstr>
      <vt:lpstr>COLDVSNA_TARIFF_E_COLDVSNA_ADD_HL_COLUMN_MARKER</vt:lpstr>
      <vt:lpstr>COLDVSNA_TARIFF_E_COLDVSNA_ADD_HL_DIAMETERS_COLUMN_MARKER</vt:lpstr>
      <vt:lpstr>COLDVSNA_TARIFF_E_COLDVSNA_ADD_HL_LEN_COLUMN_MARKER</vt:lpstr>
      <vt:lpstr>COLDVSNA_TARIFF_E_COLDVSNA_ADD_HL_LOAD_COLUMN_MARKER</vt:lpstr>
      <vt:lpstr>COLDVSNA_TARIFF_E_COLDVSNA_ADD_HL_NETS_COLUMN_MARKER</vt:lpstr>
      <vt:lpstr>COLDVSNA_TARIFF_E_COLDVSNA_DEL_HL_DATA_DIFF_COLUMN_MARKER</vt:lpstr>
      <vt:lpstr>COLDVSNA_TARIFF_E_COLDVSNA_DEL_HL_DIAMETERS_COLUMN_MARKER</vt:lpstr>
      <vt:lpstr>COLDVSNA_TARIFF_E_COLDVSNA_DEL_HL_FLAG_DIFF_COLUMN_MARKER</vt:lpstr>
      <vt:lpstr>COLDVSNA_TARIFF_E_COLDVSNA_DEL_HL_GC_COLUMN_MARKER</vt:lpstr>
      <vt:lpstr>COLDVSNA_TARIFF_E_COLDVSNA_DEL_HL_LEN_COLUMN_MARKER</vt:lpstr>
      <vt:lpstr>COLDVSNA_TARIFF_E_COLDVSNA_DEL_HL_LOAD_COLUMN_MARKER</vt:lpstr>
      <vt:lpstr>COLDVSNA_TARIFF_E_COLDVSNA_DEL_HL_NETS_COLUMN_MARKER</vt:lpstr>
      <vt:lpstr>COLDVSNA_TARIFF_E_COLDVSNA_DELETE_PERIOD_ROW_MARKER</vt:lpstr>
      <vt:lpstr>COLDVSNA_TARIFF_E_COLDVSNA_FLAG_BLOCK_COLUMN_MARKER</vt:lpstr>
      <vt:lpstr>COLDVSNA_TARIFF_E_COLDVSNA_FLAG_BLOCK_ROW_MARKER</vt:lpstr>
      <vt:lpstr>COLDVSNA_TARIFF_E_COLDVSNA_NUM_CS_COLUMN_MARKER</vt:lpstr>
      <vt:lpstr>COLDVSNA_TARIFF_E_COLDVSNA_NUM_DATA_DIFF_COLUMN_MARKER</vt:lpstr>
      <vt:lpstr>COLDVSNA_TARIFF_E_COLDVSNA_NUM_DIAMETERS_COLUMN_MARKER</vt:lpstr>
      <vt:lpstr>COLDVSNA_TARIFF_E_COLDVSNA_NUM_FLAG_DIFF_COLUMN_MARKER</vt:lpstr>
      <vt:lpstr>COLDVSNA_TARIFF_E_COLDVSNA_NUM_GC_COLUMN_MARKER</vt:lpstr>
      <vt:lpstr>COLDVSNA_TARIFF_E_COLDVSNA_NUM_LEN_COLUMN_MARKER</vt:lpstr>
      <vt:lpstr>COLDVSNA_TARIFF_E_COLDVSNA_NUM_LOAD_COLUMN_MARKER</vt:lpstr>
      <vt:lpstr>COLDVSNA_TARIFF_E_COLDVSNA_NUM_NETS_COLUMN_MARKER</vt:lpstr>
      <vt:lpstr>COLDVSNA_TARIFF_E_COLDVSNA_NUM_NTAR_COLUMN_MARKER</vt:lpstr>
      <vt:lpstr>COLDVSNA_TARIFF_E_COLDVSNA_NUM_TER_COLUMN_MARKER</vt:lpstr>
      <vt:lpstr>cross_without_borders</vt:lpstr>
      <vt:lpstr>CS_ID</vt:lpstr>
      <vt:lpstr>CURRENT_DATE</vt:lpstr>
      <vt:lpstr>DATA_URL</vt:lpstr>
      <vt:lpstr>DESCRIPTION_TERRITORY</vt:lpstr>
      <vt:lpstr>DIFFERENTIATION_AREA</vt:lpstr>
      <vt:lpstr>DIFFERENTIATION_AREA_ID</vt:lpstr>
      <vt:lpstr>DIFFERENTIATION_CheckC</vt:lpstr>
      <vt:lpstr>DIFFERENTIATION_fieldMarker</vt:lpstr>
      <vt:lpstr>DIFFERENTIATION_ID</vt:lpstr>
      <vt:lpstr>DIFFERENTIATION_ID_DIFF</vt:lpstr>
      <vt:lpstr>DIFFERENTIATION_SYSTEM</vt:lpstr>
      <vt:lpstr>DIFFERENTIATION_TARIFF_AREA_ID</vt:lpstr>
      <vt:lpstr>DIFFERENTIATION_TARIFF_VD_ID</vt:lpstr>
      <vt:lpstr>DIFFERENTIATION_TARIFF_VTAR_ID</vt:lpstr>
      <vt:lpstr>DIFFERENTIATION_TKO_ADD_HL_CLASS_TKO_COLUMN_MARKER</vt:lpstr>
      <vt:lpstr>DIFFERENTIATION_TKO_ADD_HL_NTAR_COLUMN_MARKER</vt:lpstr>
      <vt:lpstr>DIFFERENTIATION_TKO_ADD_HL_TER_COLUMN_MARKER</vt:lpstr>
      <vt:lpstr>DIFFERENTIATION_TKO_ADD_HL_TO_COLUMN_MARKER</vt:lpstr>
      <vt:lpstr>DIFFERENTIATION_TKO_ADD_HL_TYPE_TKO_COLUMN_MARKER</vt:lpstr>
      <vt:lpstr>DIFFERENTIATION_TKO_ADD_HL_VTAR_COLUMN_MARKER</vt:lpstr>
      <vt:lpstr>DIFFERENTIATION_TKO_AREA_ID</vt:lpstr>
      <vt:lpstr>DIFFERENTIATION_TKO_DEL_HL_CLASS_TKO_COLUMN_MARKER</vt:lpstr>
      <vt:lpstr>DIFFERENTIATION_TKO_DEL_HL_NTAR_COLUMN_MARKER</vt:lpstr>
      <vt:lpstr>DIFFERENTIATION_TKO_DEL_HL_TER_COLUMN_MARKER</vt:lpstr>
      <vt:lpstr>DIFFERENTIATION_TKO_DEL_HL_TO_COLUMN_MARKER</vt:lpstr>
      <vt:lpstr>DIFFERENTIATION_TKO_DEL_HL_TYPE_TKO_COLUMN_MARKER</vt:lpstr>
      <vt:lpstr>DIFFERENTIATION_TKO_FLAG_DIFF_CLASS_TKO_ETC_COLUMN_MARKER</vt:lpstr>
      <vt:lpstr>DIFFERENTIATION_TKO_FLAG_DIFF_CLASS_TKO_TARIFF_COLUMN_MARKER</vt:lpstr>
      <vt:lpstr>DIFFERENTIATION_TKO_FLAG_DIFF_TER_ETC_COLUMN_MARKER</vt:lpstr>
      <vt:lpstr>DIFFERENTIATION_TKO_FLAG_DIFF_TER_TARIFF_COLUMN_MARKER</vt:lpstr>
      <vt:lpstr>DIFFERENTIATION_TKO_FLAG_DIFF_TO_ETC_COLUMN_MARKER</vt:lpstr>
      <vt:lpstr>DIFFERENTIATION_TKO_FLAG_DIFF_TO_TARIFF_COLUMN_MARKER</vt:lpstr>
      <vt:lpstr>DIFFERENTIATION_TKO_FLAG_DIFF_TYPE_TKO_ETC_COLUMN_MARKER</vt:lpstr>
      <vt:lpstr>DIFFERENTIATION_TKO_FLAG_DIFF_TYPE_TKO_TARIFF_COLUMN_MARKER</vt:lpstr>
      <vt:lpstr>DIFFERENTIATION_TKO_FLAG_VTAR_COLUMN_MARKER</vt:lpstr>
      <vt:lpstr>DIFFERENTIATION_TKO_TER_ID</vt:lpstr>
      <vt:lpstr>DIFFERENTIATION_UNMERGE_AREA</vt:lpstr>
      <vt:lpstr>DIFFERENTIATION_UNMERGE_SYSTEM</vt:lpstr>
      <vt:lpstr>DIFFERENTIATION_UNMERGE_VD</vt:lpstr>
      <vt:lpstr>DIFFERENTIATION_VD</vt:lpstr>
      <vt:lpstr>DIFFERENTIATION_VD_ID</vt:lpstr>
      <vt:lpstr>ED_DATE</vt:lpstr>
      <vt:lpstr>ED_DATE_PARKING</vt:lpstr>
      <vt:lpstr>ED_LINK</vt:lpstr>
      <vt:lpstr>EndDateList</vt:lpstr>
      <vt:lpstr>et_B_FHD20_1</vt:lpstr>
      <vt:lpstr>et_B_FHD20_1_HEAT</vt:lpstr>
      <vt:lpstr>et_B_FHD20_1_NOT_HEAT</vt:lpstr>
      <vt:lpstr>et_B_FHD20_2</vt:lpstr>
      <vt:lpstr>et_B_FHD20_3</vt:lpstr>
      <vt:lpstr>et_B_FHD20_4</vt:lpstr>
      <vt:lpstr>et_CHANGE_INFO</vt:lpstr>
      <vt:lpstr>et_COLDVSNA_TARIFF_A_COLDVSNA_CS</vt:lpstr>
      <vt:lpstr>et_COLDVSNA_TARIFF_A_COLDVSNA_DATA_DIFF</vt:lpstr>
      <vt:lpstr>et_COLDVSNA_TARIFF_A_COLDVSNA_FLAG_DIFF</vt:lpstr>
      <vt:lpstr>et_COLDVSNA_TARIFF_A_COLDVSNA_GC</vt:lpstr>
      <vt:lpstr>et_COLDVSNA_TARIFF_A_COLDVSNA_NTAR</vt:lpstr>
      <vt:lpstr>et_COLDVSNA_TARIFF_A_COLDVSNA_PERIOD_COLOR</vt:lpstr>
      <vt:lpstr>et_COLDVSNA_TARIFF_A_COLDVSNA_PERIOD_NOT_COLOR</vt:lpstr>
      <vt:lpstr>et_COLDVSNA_TARIFF_A_COLDVSNA_TER</vt:lpstr>
      <vt:lpstr>et_COLDVSNA_TARIFF_A_COLDVSNA_TN</vt:lpstr>
      <vt:lpstr>et_COLDVSNA_TARIFF_B_COLDVSNA_CS</vt:lpstr>
      <vt:lpstr>et_COLDVSNA_TARIFF_B_COLDVSNA_DATA_DIFF</vt:lpstr>
      <vt:lpstr>et_COLDVSNA_TARIFF_B_COLDVSNA_FLAG_DIFF</vt:lpstr>
      <vt:lpstr>et_COLDVSNA_TARIFF_B_COLDVSNA_GC</vt:lpstr>
      <vt:lpstr>et_COLDVSNA_TARIFF_B_COLDVSNA_NTAR</vt:lpstr>
      <vt:lpstr>et_COLDVSNA_TARIFF_B_COLDVSNA_PERIOD_COLOR</vt:lpstr>
      <vt:lpstr>et_COLDVSNA_TARIFF_B_COLDVSNA_PERIOD_NOT_COLOR</vt:lpstr>
      <vt:lpstr>et_COLDVSNA_TARIFF_B_COLDVSNA_TER</vt:lpstr>
      <vt:lpstr>et_COLDVSNA_TARIFF_C_COLDVSNA_CS</vt:lpstr>
      <vt:lpstr>et_COLDVSNA_TARIFF_C_COLDVSNA_DATA_DIFF</vt:lpstr>
      <vt:lpstr>et_COLDVSNA_TARIFF_C_COLDVSNA_FLAG_DIFF</vt:lpstr>
      <vt:lpstr>et_COLDVSNA_TARIFF_C_COLDVSNA_GC</vt:lpstr>
      <vt:lpstr>et_COLDVSNA_TARIFF_C_COLDVSNA_NTAR</vt:lpstr>
      <vt:lpstr>et_COLDVSNA_TARIFF_C_COLDVSNA_PERIOD_COLOR</vt:lpstr>
      <vt:lpstr>et_COLDVSNA_TARIFF_C_COLDVSNA_PERIOD_NOT_COLOR</vt:lpstr>
      <vt:lpstr>et_COLDVSNA_TARIFF_C_COLDVSNA_TER</vt:lpstr>
      <vt:lpstr>et_COLDVSNA_TARIFF_D_COLDVSNA_CS</vt:lpstr>
      <vt:lpstr>et_COLDVSNA_TARIFF_D_COLDVSNA_DATA_DIFF</vt:lpstr>
      <vt:lpstr>et_COLDVSNA_TARIFF_D_COLDVSNA_FLAG_DIFF</vt:lpstr>
      <vt:lpstr>et_COLDVSNA_TARIFF_D_COLDVSNA_GC</vt:lpstr>
      <vt:lpstr>et_COLDVSNA_TARIFF_D_COLDVSNA_NTAR</vt:lpstr>
      <vt:lpstr>et_COLDVSNA_TARIFF_D_COLDVSNA_PERIOD_COLOR</vt:lpstr>
      <vt:lpstr>et_COLDVSNA_TARIFF_D_COLDVSNA_PERIOD_NOT_COLOR</vt:lpstr>
      <vt:lpstr>et_COLDVSNA_TARIFF_D_COLDVSNA_TER</vt:lpstr>
      <vt:lpstr>et_COLDVSNA_TARIFF_E_COLDVSNA_CS</vt:lpstr>
      <vt:lpstr>et_COLDVSNA_TARIFF_E_COLDVSNA_DATA_DIFF</vt:lpstr>
      <vt:lpstr>et_COLDVSNA_TARIFF_E_COLDVSNA_DIAMETERS</vt:lpstr>
      <vt:lpstr>et_COLDVSNA_TARIFF_E_COLDVSNA_FLAG_DIFF</vt:lpstr>
      <vt:lpstr>et_COLDVSNA_TARIFF_E_COLDVSNA_GC</vt:lpstr>
      <vt:lpstr>et_COLDVSNA_TARIFF_E_COLDVSNA_LEN</vt:lpstr>
      <vt:lpstr>et_COLDVSNA_TARIFF_E_COLDVSNA_LOAD</vt:lpstr>
      <vt:lpstr>et_COLDVSNA_TARIFF_E_COLDVSNA_NETS</vt:lpstr>
      <vt:lpstr>et_COLDVSNA_TARIFF_E_COLDVSNA_NTAR</vt:lpstr>
      <vt:lpstr>et_COLDVSNA_TARIFF_E_COLDVSNA_PERIOD_COLOR</vt:lpstr>
      <vt:lpstr>et_COLDVSNA_TARIFF_E_COLDVSNA_PERIOD_NOT_COLOR</vt:lpstr>
      <vt:lpstr>et_COLDVSNA_TARIFF_E_COLDVSNA_TER</vt:lpstr>
      <vt:lpstr>et_Comm</vt:lpstr>
      <vt:lpstr>et_DIFFERENTIATION_AREA</vt:lpstr>
      <vt:lpstr>et_DIFFERENTIATION_SYSTEM</vt:lpstr>
      <vt:lpstr>et_DIFFERENTIATION_TARIFF_COLOR</vt:lpstr>
      <vt:lpstr>et_DIFFERENTIATION_TARIFF_CS</vt:lpstr>
      <vt:lpstr>et_DIFFERENTIATION_TARIFF_IST_TE</vt:lpstr>
      <vt:lpstr>et_DIFFERENTIATION_TARIFF_NOT_COLOR</vt:lpstr>
      <vt:lpstr>et_DIFFERENTIATION_TARIFF_NOT_HEAT_COLOR</vt:lpstr>
      <vt:lpstr>et_DIFFERENTIATION_TARIFF_NOT_HEAT_CS</vt:lpstr>
      <vt:lpstr>et_DIFFERENTIATION_TARIFF_NOT_HEAT_NTAR</vt:lpstr>
      <vt:lpstr>et_DIFFERENTIATION_TARIFF_NOT_HEAT_TER</vt:lpstr>
      <vt:lpstr>et_DIFFERENTIATION_TARIFF_NOT_HEAT_VTAR</vt:lpstr>
      <vt:lpstr>et_DIFFERENTIATION_TARIFF_NTAR</vt:lpstr>
      <vt:lpstr>et_DIFFERENTIATION_TARIFF_TER</vt:lpstr>
      <vt:lpstr>et_DIFFERENTIATION_TARIFF_VTAR</vt:lpstr>
      <vt:lpstr>et_DIFFERENTIATION_TKO_CLASS_TKO</vt:lpstr>
      <vt:lpstr>et_DIFFERENTIATION_TKO_COLOR</vt:lpstr>
      <vt:lpstr>et_DIFFERENTIATION_TKO_NOT_COLOR</vt:lpstr>
      <vt:lpstr>et_DIFFERENTIATION_TKO_NTAR</vt:lpstr>
      <vt:lpstr>et_DIFFERENTIATION_TKO_TER</vt:lpstr>
      <vt:lpstr>et_DIFFERENTIATION_TKO_TO</vt:lpstr>
      <vt:lpstr>et_DIFFERENTIATION_TKO_TYPE_TKO</vt:lpstr>
      <vt:lpstr>et_DIFFERENTIATION_TKO_VTAR</vt:lpstr>
      <vt:lpstr>et_DIFFERENTIATION_VD</vt:lpstr>
      <vt:lpstr>et_ED</vt:lpstr>
      <vt:lpstr>et_HEAT_TARIFF_A_CS</vt:lpstr>
      <vt:lpstr>et_HEAT_TARIFF_A_GC</vt:lpstr>
      <vt:lpstr>et_HEAT_TARIFF_A_IST_TE</vt:lpstr>
      <vt:lpstr>et_HEAT_TARIFF_A_NTAR</vt:lpstr>
      <vt:lpstr>et_HEAT_TARIFF_A_PERIOD_COLOR</vt:lpstr>
      <vt:lpstr>et_HEAT_TARIFF_A_PERIOD_NOT_COLOR</vt:lpstr>
      <vt:lpstr>et_HEAT_TARIFF_A_SCHEME</vt:lpstr>
      <vt:lpstr>et_HEAT_TARIFF_A_TER</vt:lpstr>
      <vt:lpstr>et_HEAT_TARIFF_A_TN</vt:lpstr>
      <vt:lpstr>et_HEAT_TARIFF_B_CS</vt:lpstr>
      <vt:lpstr>et_HEAT_TARIFF_B_GC</vt:lpstr>
      <vt:lpstr>et_HEAT_TARIFF_B_IST_TE</vt:lpstr>
      <vt:lpstr>et_HEAT_TARIFF_B_NTAR</vt:lpstr>
      <vt:lpstr>et_HEAT_TARIFF_B_PERIOD_COLOR</vt:lpstr>
      <vt:lpstr>et_HEAT_TARIFF_B_PERIOD_NOT_COLOR</vt:lpstr>
      <vt:lpstr>et_HEAT_TARIFF_B_SCHEME</vt:lpstr>
      <vt:lpstr>et_HEAT_TARIFF_B_TER</vt:lpstr>
      <vt:lpstr>et_HEAT_TARIFF_B_TN</vt:lpstr>
      <vt:lpstr>et_HEAT_TARIFF_C_CS</vt:lpstr>
      <vt:lpstr>et_HEAT_TARIFF_C_GC</vt:lpstr>
      <vt:lpstr>et_HEAT_TARIFF_C_IST_TE</vt:lpstr>
      <vt:lpstr>et_HEAT_TARIFF_C_NTAR</vt:lpstr>
      <vt:lpstr>et_HEAT_TARIFF_C_PERIOD_COLOR</vt:lpstr>
      <vt:lpstr>et_HEAT_TARIFF_C_PERIOD_NOT_COLOR</vt:lpstr>
      <vt:lpstr>et_HEAT_TARIFF_C_SCHEME</vt:lpstr>
      <vt:lpstr>et_HEAT_TARIFF_C_TER</vt:lpstr>
      <vt:lpstr>et_HEAT_TARIFF_C_TN</vt:lpstr>
      <vt:lpstr>et_HEAT_TARIFF_D_CONS</vt:lpstr>
      <vt:lpstr>et_HEAT_TARIFF_D_CS</vt:lpstr>
      <vt:lpstr>et_HEAT_TARIFF_D_GC</vt:lpstr>
      <vt:lpstr>et_HEAT_TARIFF_D_IST_TE</vt:lpstr>
      <vt:lpstr>et_HEAT_TARIFF_D_NTAR</vt:lpstr>
      <vt:lpstr>et_HEAT_TARIFF_D_PERIOD_COLOR</vt:lpstr>
      <vt:lpstr>et_HEAT_TARIFF_D_PERIOD_NOT_COLOR</vt:lpstr>
      <vt:lpstr>et_HEAT_TARIFF_D_SCHEME</vt:lpstr>
      <vt:lpstr>et_HEAT_TARIFF_D_TER</vt:lpstr>
      <vt:lpstr>et_HEAT_TARIFF_D_TN</vt:lpstr>
      <vt:lpstr>et_HEAT_TARIFF_E1_CS</vt:lpstr>
      <vt:lpstr>et_HEAT_TARIFF_E1_GC</vt:lpstr>
      <vt:lpstr>et_HEAT_TARIFF_E1_IST_TE</vt:lpstr>
      <vt:lpstr>et_HEAT_TARIFF_E1_NTAR</vt:lpstr>
      <vt:lpstr>et_HEAT_TARIFF_E1_PERIOD_COLOR</vt:lpstr>
      <vt:lpstr>et_HEAT_TARIFF_E1_PERIOD_NOT_COLOR</vt:lpstr>
      <vt:lpstr>et_HEAT_TARIFF_E1_SCHEME</vt:lpstr>
      <vt:lpstr>et_HEAT_TARIFF_E1_TER</vt:lpstr>
      <vt:lpstr>et_HEAT_TARIFF_E1_TN</vt:lpstr>
      <vt:lpstr>et_HEAT_TARIFF_E2_CS</vt:lpstr>
      <vt:lpstr>et_HEAT_TARIFF_E2_GC</vt:lpstr>
      <vt:lpstr>et_HEAT_TARIFF_E2_IST_TE</vt:lpstr>
      <vt:lpstr>et_HEAT_TARIFF_E2_NTAR</vt:lpstr>
      <vt:lpstr>et_HEAT_TARIFF_E2_PERIOD_COLOR</vt:lpstr>
      <vt:lpstr>et_HEAT_TARIFF_E2_PERIOD_NOT_COLOR</vt:lpstr>
      <vt:lpstr>et_HEAT_TARIFF_E2_SCHEME</vt:lpstr>
      <vt:lpstr>et_HEAT_TARIFF_E2_TER</vt:lpstr>
      <vt:lpstr>et_HEAT_TARIFF_E2_TN</vt:lpstr>
      <vt:lpstr>et_HEAT_TARIFF_F_CS</vt:lpstr>
      <vt:lpstr>et_HEAT_TARIFF_F_GC</vt:lpstr>
      <vt:lpstr>et_HEAT_TARIFF_F_IST_TE</vt:lpstr>
      <vt:lpstr>et_HEAT_TARIFF_F_NTAR</vt:lpstr>
      <vt:lpstr>et_HEAT_TARIFF_F_PERIOD_COLOR</vt:lpstr>
      <vt:lpstr>et_HEAT_TARIFF_F_PERIOD_NOT_COLOR</vt:lpstr>
      <vt:lpstr>et_HEAT_TARIFF_F_SCHEME</vt:lpstr>
      <vt:lpstr>et_HEAT_TARIFF_F_TER</vt:lpstr>
      <vt:lpstr>et_HEAT_TARIFF_F_TN</vt:lpstr>
      <vt:lpstr>et_HEAT_TARIFF_G_CS</vt:lpstr>
      <vt:lpstr>et_HEAT_TARIFF_G_DIAMETERS</vt:lpstr>
      <vt:lpstr>et_HEAT_TARIFF_G_GC</vt:lpstr>
      <vt:lpstr>et_HEAT_TARIFF_G_IST_TE</vt:lpstr>
      <vt:lpstr>et_HEAT_TARIFF_G_LOAD</vt:lpstr>
      <vt:lpstr>et_HEAT_TARIFF_G_NETS</vt:lpstr>
      <vt:lpstr>et_HEAT_TARIFF_G_NTAR</vt:lpstr>
      <vt:lpstr>et_HEAT_TARIFF_G_PERIOD_COLOR</vt:lpstr>
      <vt:lpstr>et_HEAT_TARIFF_G_PERIOD_NOT_COLOR</vt:lpstr>
      <vt:lpstr>et_HEAT_TARIFF_G_SCHEME</vt:lpstr>
      <vt:lpstr>et_HEAT_TARIFF_G_TER</vt:lpstr>
      <vt:lpstr>et_HEAT_TARIFF_G_TN</vt:lpstr>
      <vt:lpstr>et_hor_B_FHD_1</vt:lpstr>
      <vt:lpstr>et_hor_B_FHD_2</vt:lpstr>
      <vt:lpstr>et_hor_B_FHD_3</vt:lpstr>
      <vt:lpstr>et_hor_B_FHD_4</vt:lpstr>
      <vt:lpstr>et_hor_B_FHD_5</vt:lpstr>
      <vt:lpstr>et_hor_B_FHD_6</vt:lpstr>
      <vt:lpstr>et_hor_B_FHD_TKO_2</vt:lpstr>
      <vt:lpstr>et_hor_B_FHD_TKO_TRANS_2</vt:lpstr>
      <vt:lpstr>et_hor_Q_LIMIT_1</vt:lpstr>
      <vt:lpstr>et_hor_Q_LIMIT_2</vt:lpstr>
      <vt:lpstr>et_hor_Q_LIMIT_3</vt:lpstr>
      <vt:lpstr>et_hor_Q_LIMIT_4</vt:lpstr>
      <vt:lpstr>et_hor_Q_TP_1</vt:lpstr>
      <vt:lpstr>et_HOTVSNA_TARIFF_A_HOTVSNA_CS</vt:lpstr>
      <vt:lpstr>et_HOTVSNA_TARIFF_A_HOTVSNA_DATA_DIFF</vt:lpstr>
      <vt:lpstr>et_HOTVSNA_TARIFF_A_HOTVSNA_FLAG_DIFF</vt:lpstr>
      <vt:lpstr>et_HOTVSNA_TARIFF_A_HOTVSNA_GC</vt:lpstr>
      <vt:lpstr>et_HOTVSNA_TARIFF_A_HOTVSNA_NTAR</vt:lpstr>
      <vt:lpstr>et_HOTVSNA_TARIFF_A_HOTVSNA_PERIOD_COLOR</vt:lpstr>
      <vt:lpstr>et_HOTVSNA_TARIFF_A_HOTVSNA_PERIOD_NOT_COLOR</vt:lpstr>
      <vt:lpstr>et_HOTVSNA_TARIFF_A_HOTVSNA_TER</vt:lpstr>
      <vt:lpstr>et_HOTVSNA_TARIFF_A_HOTVSNA_TN</vt:lpstr>
      <vt:lpstr>et_HOTVSNA_TARIFF_B_HOTVSNA_CS</vt:lpstr>
      <vt:lpstr>et_HOTVSNA_TARIFF_B_HOTVSNA_DATA_DIFF</vt:lpstr>
      <vt:lpstr>et_HOTVSNA_TARIFF_B_HOTVSNA_FLAG_DIFF</vt:lpstr>
      <vt:lpstr>et_HOTVSNA_TARIFF_B_HOTVSNA_GC</vt:lpstr>
      <vt:lpstr>et_HOTVSNA_TARIFF_B_HOTVSNA_NTAR</vt:lpstr>
      <vt:lpstr>et_HOTVSNA_TARIFF_B_HOTVSNA_PERIOD_COLOR</vt:lpstr>
      <vt:lpstr>et_HOTVSNA_TARIFF_B_HOTVSNA_PERIOD_NOT_COLOR</vt:lpstr>
      <vt:lpstr>et_HOTVSNA_TARIFF_B_HOTVSNA_TER</vt:lpstr>
      <vt:lpstr>et_HOTVSNA_TARIFF_B_HOTVSNA_TN</vt:lpstr>
      <vt:lpstr>et_HOTVSNA_TARIFF_C_HOTVSNA_CS</vt:lpstr>
      <vt:lpstr>et_HOTVSNA_TARIFF_C_HOTVSNA_DATA_DIFF</vt:lpstr>
      <vt:lpstr>et_HOTVSNA_TARIFF_C_HOTVSNA_DIAMETERS</vt:lpstr>
      <vt:lpstr>et_HOTVSNA_TARIFF_C_HOTVSNA_FLAG_DIFF</vt:lpstr>
      <vt:lpstr>et_HOTVSNA_TARIFF_C_HOTVSNA_GC</vt:lpstr>
      <vt:lpstr>et_HOTVSNA_TARIFF_C_HOTVSNA_LEN</vt:lpstr>
      <vt:lpstr>et_HOTVSNA_TARIFF_C_HOTVSNA_LOAD</vt:lpstr>
      <vt:lpstr>et_HOTVSNA_TARIFF_C_HOTVSNA_NETS</vt:lpstr>
      <vt:lpstr>et_HOTVSNA_TARIFF_C_HOTVSNA_NTAR</vt:lpstr>
      <vt:lpstr>et_HOTVSNA_TARIFF_C_HOTVSNA_PERIOD_COLOR</vt:lpstr>
      <vt:lpstr>et_HOTVSNA_TARIFF_C_HOTVSNA_PERIOD_NOT_COLOR</vt:lpstr>
      <vt:lpstr>et_HOTVSNA_TARIFF_C_HOTVSNA_TER</vt:lpstr>
      <vt:lpstr>et_IP_DETAILED</vt:lpstr>
      <vt:lpstr>et_IP_DETAILED_EVENT</vt:lpstr>
      <vt:lpstr>et_IP_DETAILED_IST_FIN</vt:lpstr>
      <vt:lpstr>et_IP_DETAILED_OBJECT</vt:lpstr>
      <vt:lpstr>et_IP_DETAILED_YEAR</vt:lpstr>
      <vt:lpstr>et_IP_MAIN</vt:lpstr>
      <vt:lpstr>et_IP_MAIN_PROPERTY</vt:lpstr>
      <vt:lpstr>et_IP_QRE</vt:lpstr>
      <vt:lpstr>et_IP_QRE_CLAIM</vt:lpstr>
      <vt:lpstr>et_List02</vt:lpstr>
      <vt:lpstr>et_List02_1_wd</vt:lpstr>
      <vt:lpstr>et_List02_2_wd</vt:lpstr>
      <vt:lpstr>et_List02_3_wd</vt:lpstr>
      <vt:lpstr>et_List02_4_wd</vt:lpstr>
      <vt:lpstr>et_List02_changeColor_1</vt:lpstr>
      <vt:lpstr>et_List02_changeColor_1_wd</vt:lpstr>
      <vt:lpstr>et_List02_changeColor_2</vt:lpstr>
      <vt:lpstr>et_List02_changeColor_2_wd</vt:lpstr>
      <vt:lpstr>et_List02_changeColor_3</vt:lpstr>
      <vt:lpstr>et_List02_changeColor_3_wd</vt:lpstr>
      <vt:lpstr>et_List02_changeColor_4</vt:lpstr>
      <vt:lpstr>et_List02_changeColor_4_wd</vt:lpstr>
      <vt:lpstr>et_List02_wd</vt:lpstr>
      <vt:lpstr>et_ORG_INFO_1</vt:lpstr>
      <vt:lpstr>et_ORG_INFO_2</vt:lpstr>
      <vt:lpstr>et_ORG_TERRITORY_MO</vt:lpstr>
      <vt:lpstr>et_ORG_TERRITORY_MO_FLAG_INTERNET</vt:lpstr>
      <vt:lpstr>et_ORG_TERRITORY_MO_LINK</vt:lpstr>
      <vt:lpstr>et_ORG_VD</vt:lpstr>
      <vt:lpstr>et_ORG_VD_COLDVSNA</vt:lpstr>
      <vt:lpstr>et_ORG_VD_FIRST_SYSTEM</vt:lpstr>
      <vt:lpstr>et_ORG_VD_HEAT</vt:lpstr>
      <vt:lpstr>et_ORG_VD_HOTVSNA</vt:lpstr>
      <vt:lpstr>et_ORG_VD_TKO_ACTIVITY</vt:lpstr>
      <vt:lpstr>et_ORG_VD_TKO_TYPE_OBJECT</vt:lpstr>
      <vt:lpstr>et_ORG_VD_VOTV</vt:lpstr>
      <vt:lpstr>et_P_PROCEDURE_TC_1</vt:lpstr>
      <vt:lpstr>et_P_PROCEDURE_TC_2</vt:lpstr>
      <vt:lpstr>et_P_PROCEDURE_TC_3</vt:lpstr>
      <vt:lpstr>et_P_PROCEDURE_TC_4</vt:lpstr>
      <vt:lpstr>et_P_PROCEDURE_TC_5</vt:lpstr>
      <vt:lpstr>et_P_T_TERMS</vt:lpstr>
      <vt:lpstr>et_Q_TP_DIFFERENTIATION</vt:lpstr>
      <vt:lpstr>et_QRE</vt:lpstr>
      <vt:lpstr>et_QRE_CLAIM</vt:lpstr>
      <vt:lpstr>et_R_B_Purch</vt:lpstr>
      <vt:lpstr>et_ROIV_CASE_case</vt:lpstr>
      <vt:lpstr>et_ROIV_INFO_phone</vt:lpstr>
      <vt:lpstr>et_ROIV_ORG_org</vt:lpstr>
      <vt:lpstr>et_ROIV_OTV_DL</vt:lpstr>
      <vt:lpstr>et_ROIV_OTV_org</vt:lpstr>
      <vt:lpstr>et_TERMS</vt:lpstr>
      <vt:lpstr>et_TERRITORY_AREA</vt:lpstr>
      <vt:lpstr>et_TERRITORY_MO</vt:lpstr>
      <vt:lpstr>et_ver_B_FHD_DIFFERENTIATION</vt:lpstr>
      <vt:lpstr>et_ver_B_FHD_TKO_DIFFERENTIATION</vt:lpstr>
      <vt:lpstr>et_ver_B_FHD_TKO_TRANS_DIFFERENTIATION</vt:lpstr>
      <vt:lpstr>et_ver_B_KNE_DIFFERENTIATION</vt:lpstr>
      <vt:lpstr>et_ver_COLDVSNA_TARIFF_A_COLDVSNA</vt:lpstr>
      <vt:lpstr>et_ver_COLDVSNA_TARIFF_B_COLDVSNA</vt:lpstr>
      <vt:lpstr>et_ver_COLDVSNA_TARIFF_C_COLDVSNA</vt:lpstr>
      <vt:lpstr>et_ver_COLDVSNA_TARIFF_D_COLDVSNA</vt:lpstr>
      <vt:lpstr>et_ver_COLDVSNA_TARIFF_E_COLDVSNA</vt:lpstr>
      <vt:lpstr>et_ver_HEAT_TARIFF_A</vt:lpstr>
      <vt:lpstr>et_ver_HEAT_TARIFF_B</vt:lpstr>
      <vt:lpstr>et_ver_HEAT_TARIFF_C</vt:lpstr>
      <vt:lpstr>et_ver_HEAT_TARIFF_D</vt:lpstr>
      <vt:lpstr>et_ver_HEAT_TARIFF_E1</vt:lpstr>
      <vt:lpstr>et_ver_HEAT_TARIFF_E2</vt:lpstr>
      <vt:lpstr>et_ver_HEAT_TARIFF_F</vt:lpstr>
      <vt:lpstr>et_ver_HEAT_TARIFF_G</vt:lpstr>
      <vt:lpstr>et_ver_HOTVSNA_TARIFF_A_HOTVSNA</vt:lpstr>
      <vt:lpstr>et_ver_HOTVSNA_TARIFF_B_HOTVSNA</vt:lpstr>
      <vt:lpstr>et_ver_HOTVSNA_TARIFF_C_HOTVSNA</vt:lpstr>
      <vt:lpstr>et_ver_IP_FIN_PLAN</vt:lpstr>
      <vt:lpstr>et_ver_IP_FIN_PLAN_YEAR</vt:lpstr>
      <vt:lpstr>et_ver_Q_LIMIT_DIFFERENTIATION</vt:lpstr>
      <vt:lpstr>et_ver_Q_PH_DIFFERENTIATION</vt:lpstr>
      <vt:lpstr>et_ver_Q_TP_DIFFERENTIATION</vt:lpstr>
      <vt:lpstr>et_ver_VOTV_TARIFF_A_VOTV</vt:lpstr>
      <vt:lpstr>et_ver_VOTV_TARIFF_B_VOTV</vt:lpstr>
      <vt:lpstr>et_ver_VOTV_TARIFF_C_VOTV</vt:lpstr>
      <vt:lpstr>et_VOTV_TARIFF_A_VOTV_CS</vt:lpstr>
      <vt:lpstr>et_VOTV_TARIFF_A_VOTV_DATA_DIFF</vt:lpstr>
      <vt:lpstr>et_VOTV_TARIFF_A_VOTV_FLAG_DIFF</vt:lpstr>
      <vt:lpstr>et_VOTV_TARIFF_A_VOTV_GC</vt:lpstr>
      <vt:lpstr>et_VOTV_TARIFF_A_VOTV_NTAR</vt:lpstr>
      <vt:lpstr>et_VOTV_TARIFF_A_VOTV_PERIOD_COLOR</vt:lpstr>
      <vt:lpstr>et_VOTV_TARIFF_A_VOTV_PERIOD_NOT_COLOR</vt:lpstr>
      <vt:lpstr>et_VOTV_TARIFF_A_VOTV_TER</vt:lpstr>
      <vt:lpstr>et_VOTV_TARIFF_A_VOTV_TN</vt:lpstr>
      <vt:lpstr>et_VOTV_TARIFF_B_VOTV_CS</vt:lpstr>
      <vt:lpstr>et_VOTV_TARIFF_B_VOTV_DATA_DIFF</vt:lpstr>
      <vt:lpstr>et_VOTV_TARIFF_B_VOTV_FLAG_DIFF</vt:lpstr>
      <vt:lpstr>et_VOTV_TARIFF_B_VOTV_GC</vt:lpstr>
      <vt:lpstr>et_VOTV_TARIFF_B_VOTV_NTAR</vt:lpstr>
      <vt:lpstr>et_VOTV_TARIFF_B_VOTV_PERIOD_COLOR</vt:lpstr>
      <vt:lpstr>et_VOTV_TARIFF_B_VOTV_PERIOD_NOT_COLOR</vt:lpstr>
      <vt:lpstr>et_VOTV_TARIFF_B_VOTV_TER</vt:lpstr>
      <vt:lpstr>et_VOTV_TARIFF_B_VOTV_TN</vt:lpstr>
      <vt:lpstr>et_VOTV_TARIFF_C_VOTV_CS</vt:lpstr>
      <vt:lpstr>et_VOTV_TARIFF_C_VOTV_DATA_DIFF</vt:lpstr>
      <vt:lpstr>et_VOTV_TARIFF_C_VOTV_DIAMETERS</vt:lpstr>
      <vt:lpstr>et_VOTV_TARIFF_C_VOTV_FLAG_DIFF</vt:lpstr>
      <vt:lpstr>et_VOTV_TARIFF_C_VOTV_GC</vt:lpstr>
      <vt:lpstr>et_VOTV_TARIFF_C_VOTV_LEN</vt:lpstr>
      <vt:lpstr>et_VOTV_TARIFF_C_VOTV_LOAD</vt:lpstr>
      <vt:lpstr>et_VOTV_TARIFF_C_VOTV_NETS</vt:lpstr>
      <vt:lpstr>et_VOTV_TARIFF_C_VOTV_NTAR</vt:lpstr>
      <vt:lpstr>et_VOTV_TARIFF_C_VOTV_PERIOD_COLOR</vt:lpstr>
      <vt:lpstr>et_VOTV_TARIFF_C_VOTV_PERIOD_NOT_COLOR</vt:lpstr>
      <vt:lpstr>et_VOTV_TARIFF_C_VOTV_TER</vt:lpstr>
      <vt:lpstr>f_quart</vt:lpstr>
      <vt:lpstr>f_year</vt:lpstr>
      <vt:lpstr>FHD_NAME_FORM</vt:lpstr>
      <vt:lpstr>FHD_NOTE_P_1</vt:lpstr>
      <vt:lpstr>FHD_NOTE_P_10</vt:lpstr>
      <vt:lpstr>FHD_NOTE_P_11</vt:lpstr>
      <vt:lpstr>FHD_NOTE_P_12</vt:lpstr>
      <vt:lpstr>FHD_NOTE_P_13</vt:lpstr>
      <vt:lpstr>FHD_NOTE_P_14</vt:lpstr>
      <vt:lpstr>FHD_NOTE_P_15</vt:lpstr>
      <vt:lpstr>FHD_NOTE_P_16</vt:lpstr>
      <vt:lpstr>FHD_NOTE_P_17</vt:lpstr>
      <vt:lpstr>FHD_NOTE_P_18</vt:lpstr>
      <vt:lpstr>FHD_NOTE_P_19</vt:lpstr>
      <vt:lpstr>FHD_NOTE_P_2</vt:lpstr>
      <vt:lpstr>FHD_NOTE_P_20</vt:lpstr>
      <vt:lpstr>FHD_NOTE_P_21</vt:lpstr>
      <vt:lpstr>FHD_NOTE_P_22</vt:lpstr>
      <vt:lpstr>FHD_NOTE_P_23</vt:lpstr>
      <vt:lpstr>FHD_NOTE_P_24</vt:lpstr>
      <vt:lpstr>FHD_NOTE_P_25</vt:lpstr>
      <vt:lpstr>FHD_NOTE_P_26</vt:lpstr>
      <vt:lpstr>FHD_NOTE_P_27</vt:lpstr>
      <vt:lpstr>FHD_NOTE_P_28</vt:lpstr>
      <vt:lpstr>FHD_NOTE_P_29</vt:lpstr>
      <vt:lpstr>FHD_NOTE_P_3</vt:lpstr>
      <vt:lpstr>FHD_NOTE_P_30</vt:lpstr>
      <vt:lpstr>FHD_NOTE_P_31</vt:lpstr>
      <vt:lpstr>FHD_NOTE_P_32</vt:lpstr>
      <vt:lpstr>FHD_NOTE_P_33</vt:lpstr>
      <vt:lpstr>FHD_NOTE_P_34</vt:lpstr>
      <vt:lpstr>FHD_NOTE_P_35</vt:lpstr>
      <vt:lpstr>FHD_NOTE_P_36</vt:lpstr>
      <vt:lpstr>FHD_NOTE_P_37</vt:lpstr>
      <vt:lpstr>FHD_NOTE_P_38</vt:lpstr>
      <vt:lpstr>FHD_NOTE_P_39</vt:lpstr>
      <vt:lpstr>FHD_NOTE_P_4</vt:lpstr>
      <vt:lpstr>FHD_NOTE_P_40</vt:lpstr>
      <vt:lpstr>FHD_NOTE_P_41</vt:lpstr>
      <vt:lpstr>FHD_NOTE_P_42</vt:lpstr>
      <vt:lpstr>FHD_NOTE_P_43</vt:lpstr>
      <vt:lpstr>FHD_NOTE_P_44</vt:lpstr>
      <vt:lpstr>FHD_NOTE_P_45</vt:lpstr>
      <vt:lpstr>FHD_NOTE_P_46</vt:lpstr>
      <vt:lpstr>FHD_NOTE_P_47</vt:lpstr>
      <vt:lpstr>FHD_NOTE_P_48</vt:lpstr>
      <vt:lpstr>FHD_NOTE_P_49</vt:lpstr>
      <vt:lpstr>FHD_NOTE_P_5</vt:lpstr>
      <vt:lpstr>FHD_NOTE_P_50</vt:lpstr>
      <vt:lpstr>FHD_NOTE_P_51</vt:lpstr>
      <vt:lpstr>FHD_NOTE_P_52</vt:lpstr>
      <vt:lpstr>FHD_NOTE_P_53</vt:lpstr>
      <vt:lpstr>FHD_NOTE_P_54</vt:lpstr>
      <vt:lpstr>FHD_NOTE_P_55</vt:lpstr>
      <vt:lpstr>FHD_NOTE_P_56</vt:lpstr>
      <vt:lpstr>FHD_NOTE_P_57</vt:lpstr>
      <vt:lpstr>FHD_NOTE_P_58</vt:lpstr>
      <vt:lpstr>FHD_NOTE_P_59</vt:lpstr>
      <vt:lpstr>FHD_NOTE_P_6</vt:lpstr>
      <vt:lpstr>FHD_NOTE_P_60</vt:lpstr>
      <vt:lpstr>FHD_NOTE_P_61</vt:lpstr>
      <vt:lpstr>FHD_NOTE_P_62</vt:lpstr>
      <vt:lpstr>FHD_NOTE_P_63</vt:lpstr>
      <vt:lpstr>FHD_NOTE_P_64</vt:lpstr>
      <vt:lpstr>FHD_NOTE_P_65</vt:lpstr>
      <vt:lpstr>FHD_NOTE_P_66</vt:lpstr>
      <vt:lpstr>FHD_NOTE_P_67</vt:lpstr>
      <vt:lpstr>FHD_NOTE_P_68</vt:lpstr>
      <vt:lpstr>FHD_NOTE_P_69</vt:lpstr>
      <vt:lpstr>FHD_NOTE_P_7</vt:lpstr>
      <vt:lpstr>FHD_NOTE_P_70</vt:lpstr>
      <vt:lpstr>FHD_NOTE_P_71</vt:lpstr>
      <vt:lpstr>FHD_NOTE_P_72</vt:lpstr>
      <vt:lpstr>FHD_NOTE_P_73</vt:lpstr>
      <vt:lpstr>FHD_NOTE_P_74</vt:lpstr>
      <vt:lpstr>FHD_NOTE_P_75</vt:lpstr>
      <vt:lpstr>FHD_NOTE_P_76</vt:lpstr>
      <vt:lpstr>FHD_NOTE_P_77</vt:lpstr>
      <vt:lpstr>FHD_NOTE_P_78</vt:lpstr>
      <vt:lpstr>FHD_NOTE_P_79</vt:lpstr>
      <vt:lpstr>FHD_NOTE_P_8</vt:lpstr>
      <vt:lpstr>FHD_NOTE_P_80</vt:lpstr>
      <vt:lpstr>FHD_NOTE_P_81</vt:lpstr>
      <vt:lpstr>FHD_NOTE_P_82</vt:lpstr>
      <vt:lpstr>FHD_NOTE_P_83</vt:lpstr>
      <vt:lpstr>FHD_NOTE_P_84</vt:lpstr>
      <vt:lpstr>FHD_NOTE_P_9</vt:lpstr>
      <vt:lpstr>FHD_NUM_P_1</vt:lpstr>
      <vt:lpstr>FHD_NUM_P_10</vt:lpstr>
      <vt:lpstr>FHD_NUM_P_11</vt:lpstr>
      <vt:lpstr>FHD_NUM_P_12</vt:lpstr>
      <vt:lpstr>FHD_NUM_P_13</vt:lpstr>
      <vt:lpstr>FHD_NUM_P_14</vt:lpstr>
      <vt:lpstr>FHD_NUM_P_15</vt:lpstr>
      <vt:lpstr>FHD_NUM_P_16</vt:lpstr>
      <vt:lpstr>FHD_NUM_P_17</vt:lpstr>
      <vt:lpstr>FHD_NUM_P_18</vt:lpstr>
      <vt:lpstr>FHD_NUM_P_19</vt:lpstr>
      <vt:lpstr>FHD_NUM_P_2</vt:lpstr>
      <vt:lpstr>FHD_NUM_P_20</vt:lpstr>
      <vt:lpstr>FHD_NUM_P_21</vt:lpstr>
      <vt:lpstr>FHD_NUM_P_22</vt:lpstr>
      <vt:lpstr>FHD_NUM_P_23</vt:lpstr>
      <vt:lpstr>FHD_NUM_P_24</vt:lpstr>
      <vt:lpstr>FHD_NUM_P_25</vt:lpstr>
      <vt:lpstr>FHD_NUM_P_26</vt:lpstr>
      <vt:lpstr>FHD_NUM_P_27</vt:lpstr>
      <vt:lpstr>FHD_NUM_P_28</vt:lpstr>
      <vt:lpstr>FHD_NUM_P_29</vt:lpstr>
      <vt:lpstr>FHD_NUM_P_3</vt:lpstr>
      <vt:lpstr>FHD_NUM_P_30</vt:lpstr>
      <vt:lpstr>FHD_NUM_P_31</vt:lpstr>
      <vt:lpstr>FHD_NUM_P_32</vt:lpstr>
      <vt:lpstr>FHD_NUM_P_33</vt:lpstr>
      <vt:lpstr>FHD_NUM_P_34</vt:lpstr>
      <vt:lpstr>FHD_NUM_P_35</vt:lpstr>
      <vt:lpstr>FHD_NUM_P_36</vt:lpstr>
      <vt:lpstr>FHD_NUM_P_37</vt:lpstr>
      <vt:lpstr>FHD_NUM_P_38</vt:lpstr>
      <vt:lpstr>FHD_NUM_P_39</vt:lpstr>
      <vt:lpstr>FHD_NUM_P_4</vt:lpstr>
      <vt:lpstr>FHD_NUM_P_40</vt:lpstr>
      <vt:lpstr>FHD_NUM_P_41</vt:lpstr>
      <vt:lpstr>FHD_NUM_P_42</vt:lpstr>
      <vt:lpstr>FHD_NUM_P_43</vt:lpstr>
      <vt:lpstr>FHD_NUM_P_44</vt:lpstr>
      <vt:lpstr>FHD_NUM_P_45</vt:lpstr>
      <vt:lpstr>FHD_NUM_P_46</vt:lpstr>
      <vt:lpstr>FHD_NUM_P_47</vt:lpstr>
      <vt:lpstr>FHD_NUM_P_48</vt:lpstr>
      <vt:lpstr>FHD_NUM_P_49</vt:lpstr>
      <vt:lpstr>FHD_NUM_P_5</vt:lpstr>
      <vt:lpstr>FHD_NUM_P_50</vt:lpstr>
      <vt:lpstr>FHD_NUM_P_51</vt:lpstr>
      <vt:lpstr>FHD_NUM_P_52</vt:lpstr>
      <vt:lpstr>FHD_NUM_P_53</vt:lpstr>
      <vt:lpstr>FHD_NUM_P_54</vt:lpstr>
      <vt:lpstr>FHD_NUM_P_55</vt:lpstr>
      <vt:lpstr>FHD_NUM_P_56</vt:lpstr>
      <vt:lpstr>FHD_NUM_P_57</vt:lpstr>
      <vt:lpstr>FHD_NUM_P_58</vt:lpstr>
      <vt:lpstr>FHD_NUM_P_59</vt:lpstr>
      <vt:lpstr>FHD_NUM_P_6</vt:lpstr>
      <vt:lpstr>FHD_NUM_P_60</vt:lpstr>
      <vt:lpstr>FHD_NUM_P_61</vt:lpstr>
      <vt:lpstr>FHD_NUM_P_62</vt:lpstr>
      <vt:lpstr>FHD_NUM_P_63</vt:lpstr>
      <vt:lpstr>FHD_NUM_P_64</vt:lpstr>
      <vt:lpstr>FHD_NUM_P_65</vt:lpstr>
      <vt:lpstr>FHD_NUM_P_66</vt:lpstr>
      <vt:lpstr>FHD_NUM_P_67</vt:lpstr>
      <vt:lpstr>FHD_NUM_P_68</vt:lpstr>
      <vt:lpstr>FHD_NUM_P_69</vt:lpstr>
      <vt:lpstr>FHD_NUM_P_7</vt:lpstr>
      <vt:lpstr>FHD_NUM_P_70</vt:lpstr>
      <vt:lpstr>FHD_NUM_P_71</vt:lpstr>
      <vt:lpstr>FHD_NUM_P_72</vt:lpstr>
      <vt:lpstr>FHD_NUM_P_73</vt:lpstr>
      <vt:lpstr>FHD_NUM_P_74</vt:lpstr>
      <vt:lpstr>FHD_NUM_P_75</vt:lpstr>
      <vt:lpstr>FHD_NUM_P_76</vt:lpstr>
      <vt:lpstr>FHD_NUM_P_77</vt:lpstr>
      <vt:lpstr>FHD_NUM_P_78</vt:lpstr>
      <vt:lpstr>FHD_NUM_P_79</vt:lpstr>
      <vt:lpstr>FHD_NUM_P_8</vt:lpstr>
      <vt:lpstr>FHD_NUM_P_80</vt:lpstr>
      <vt:lpstr>FHD_NUM_P_81</vt:lpstr>
      <vt:lpstr>FHD_NUM_P_82</vt:lpstr>
      <vt:lpstr>FHD_NUM_P_83</vt:lpstr>
      <vt:lpstr>FHD_NUM_P_84</vt:lpstr>
      <vt:lpstr>FHD_NUM_P_9</vt:lpstr>
      <vt:lpstr>FHD_NUM_P_A</vt:lpstr>
      <vt:lpstr>FHD_P_1</vt:lpstr>
      <vt:lpstr>FHD_P_10</vt:lpstr>
      <vt:lpstr>FHD_P_11</vt:lpstr>
      <vt:lpstr>FHD_P_12</vt:lpstr>
      <vt:lpstr>FHD_P_13</vt:lpstr>
      <vt:lpstr>FHD_P_14</vt:lpstr>
      <vt:lpstr>FHD_P_15</vt:lpstr>
      <vt:lpstr>FHD_P_16</vt:lpstr>
      <vt:lpstr>FHD_P_17</vt:lpstr>
      <vt:lpstr>FHD_P_18</vt:lpstr>
      <vt:lpstr>FHD_P_19</vt:lpstr>
      <vt:lpstr>FHD_P_2</vt:lpstr>
      <vt:lpstr>FHD_P_20</vt:lpstr>
      <vt:lpstr>FHD_P_21</vt:lpstr>
      <vt:lpstr>FHD_P_22</vt:lpstr>
      <vt:lpstr>FHD_P_23</vt:lpstr>
      <vt:lpstr>FHD_P_24</vt:lpstr>
      <vt:lpstr>FHD_P_25</vt:lpstr>
      <vt:lpstr>FHD_P_26</vt:lpstr>
      <vt:lpstr>FHD_P_27</vt:lpstr>
      <vt:lpstr>FHD_P_28</vt:lpstr>
      <vt:lpstr>FHD_P_29</vt:lpstr>
      <vt:lpstr>FHD_P_3</vt:lpstr>
      <vt:lpstr>FHD_P_30</vt:lpstr>
      <vt:lpstr>FHD_P_31</vt:lpstr>
      <vt:lpstr>FHD_P_32</vt:lpstr>
      <vt:lpstr>FHD_P_33</vt:lpstr>
      <vt:lpstr>FHD_P_34</vt:lpstr>
      <vt:lpstr>FHD_P_35</vt:lpstr>
      <vt:lpstr>FHD_P_36</vt:lpstr>
      <vt:lpstr>FHD_P_37</vt:lpstr>
      <vt:lpstr>FHD_P_38</vt:lpstr>
      <vt:lpstr>FHD_P_39</vt:lpstr>
      <vt:lpstr>FHD_P_4</vt:lpstr>
      <vt:lpstr>FHD_P_40</vt:lpstr>
      <vt:lpstr>FHD_P_41</vt:lpstr>
      <vt:lpstr>FHD_P_42</vt:lpstr>
      <vt:lpstr>FHD_P_43</vt:lpstr>
      <vt:lpstr>FHD_P_44</vt:lpstr>
      <vt:lpstr>FHD_P_45</vt:lpstr>
      <vt:lpstr>FHD_P_46</vt:lpstr>
      <vt:lpstr>FHD_P_47</vt:lpstr>
      <vt:lpstr>FHD_P_48</vt:lpstr>
      <vt:lpstr>FHD_P_49</vt:lpstr>
      <vt:lpstr>FHD_P_5</vt:lpstr>
      <vt:lpstr>FHD_P_50</vt:lpstr>
      <vt:lpstr>FHD_P_51</vt:lpstr>
      <vt:lpstr>FHD_P_52</vt:lpstr>
      <vt:lpstr>FHD_P_53</vt:lpstr>
      <vt:lpstr>FHD_P_54</vt:lpstr>
      <vt:lpstr>FHD_P_55</vt:lpstr>
      <vt:lpstr>FHD_P_56</vt:lpstr>
      <vt:lpstr>FHD_P_57</vt:lpstr>
      <vt:lpstr>FHD_P_58</vt:lpstr>
      <vt:lpstr>FHD_P_59</vt:lpstr>
      <vt:lpstr>FHD_P_6</vt:lpstr>
      <vt:lpstr>FHD_P_60</vt:lpstr>
      <vt:lpstr>FHD_P_61</vt:lpstr>
      <vt:lpstr>FHD_P_62</vt:lpstr>
      <vt:lpstr>FHD_P_63</vt:lpstr>
      <vt:lpstr>FHD_P_64</vt:lpstr>
      <vt:lpstr>FHD_P_65</vt:lpstr>
      <vt:lpstr>FHD_P_66</vt:lpstr>
      <vt:lpstr>FHD_P_67</vt:lpstr>
      <vt:lpstr>FHD_P_68</vt:lpstr>
      <vt:lpstr>FHD_P_69</vt:lpstr>
      <vt:lpstr>FHD_P_7</vt:lpstr>
      <vt:lpstr>FHD_P_70</vt:lpstr>
      <vt:lpstr>FHD_P_71</vt:lpstr>
      <vt:lpstr>FHD_P_72</vt:lpstr>
      <vt:lpstr>FHD_P_73</vt:lpstr>
      <vt:lpstr>FHD_P_74</vt:lpstr>
      <vt:lpstr>FHD_P_75</vt:lpstr>
      <vt:lpstr>FHD_P_76</vt:lpstr>
      <vt:lpstr>FHD_P_77</vt:lpstr>
      <vt:lpstr>FHD_P_78</vt:lpstr>
      <vt:lpstr>FHD_P_79</vt:lpstr>
      <vt:lpstr>FHD_P_8</vt:lpstr>
      <vt:lpstr>FHD_P_80</vt:lpstr>
      <vt:lpstr>FHD_P_81</vt:lpstr>
      <vt:lpstr>FHD_P_82</vt:lpstr>
      <vt:lpstr>FHD_P_83</vt:lpstr>
      <vt:lpstr>FHD_P_84</vt:lpstr>
      <vt:lpstr>FHD_P_9</vt:lpstr>
      <vt:lpstr>FHD_P_A</vt:lpstr>
      <vt:lpstr>FHD20_NAME_FORM</vt:lpstr>
      <vt:lpstr>fil</vt:lpstr>
      <vt:lpstr>HEAT_FIN_SRC_LIST</vt:lpstr>
      <vt:lpstr>HEAT_FIN_SRC_VLD_LIST</vt:lpstr>
      <vt:lpstr>HEAT_IP_EVENT_CI_STAGE_LIST</vt:lpstr>
      <vt:lpstr>HEAT_IP_EVENT_GROUP_LIST</vt:lpstr>
      <vt:lpstr>HEAT_IP_EVENT_SUBGROUP_1_LIST</vt:lpstr>
      <vt:lpstr>HEAT_IP_EVENT_SUBGROUP_3_LIST</vt:lpstr>
      <vt:lpstr>HEAT_IP_EVENT_SUBGROUP_5_LIST</vt:lpstr>
      <vt:lpstr>HEAT_IP_EVENT_TYPE_LIST</vt:lpstr>
      <vt:lpstr>HEAT_PT_SCHEME</vt:lpstr>
      <vt:lpstr>HEAT_PT_TARIFF_ID</vt:lpstr>
      <vt:lpstr>HEAT_PT_TARIFF_NAME</vt:lpstr>
      <vt:lpstr>HEAT_PT_TARIFF_NAME_LIST</vt:lpstr>
      <vt:lpstr>HEAT_PT_VED_ID</vt:lpstr>
      <vt:lpstr>HEAT_PT_VED_NAME</vt:lpstr>
      <vt:lpstr>HEAT_PT_VED_NAME_LIST</vt:lpstr>
      <vt:lpstr>HEAT_TARIFF_A_ADD_HL_COLUMN_MARKER</vt:lpstr>
      <vt:lpstr>HEAT_TARIFF_A_DEL_HL_GC_COLUMN_MARKER</vt:lpstr>
      <vt:lpstr>HEAT_TARIFF_A_DEL_HL_SCHEME_COLUMN_MARKER</vt:lpstr>
      <vt:lpstr>HEAT_TARIFF_A_DEL_HL_TN_COLUMN_MARKER</vt:lpstr>
      <vt:lpstr>HEAT_TARIFF_A_DELETE_PERIOD_ROW_MARKER</vt:lpstr>
      <vt:lpstr>HEAT_TARIFF_A_FLAG_BLOCK_COLUMN_MARKER</vt:lpstr>
      <vt:lpstr>HEAT_TARIFF_A_FLAG_BLOCK_ROW_MARKER</vt:lpstr>
      <vt:lpstr>HEAT_TARIFF_A_NUM_CS_COLUMN_MARKER</vt:lpstr>
      <vt:lpstr>HEAT_TARIFF_A_NUM_GC_COLUMN_MARKER</vt:lpstr>
      <vt:lpstr>HEAT_TARIFF_A_NUM_IST_TE_COLUMN_MARKER</vt:lpstr>
      <vt:lpstr>HEAT_TARIFF_A_NUM_NTAR_COLUMN_MARKER</vt:lpstr>
      <vt:lpstr>HEAT_TARIFF_A_NUM_SCHEME_COLUMN_MARKER</vt:lpstr>
      <vt:lpstr>HEAT_TARIFF_A_NUM_TER_COLUMN_MARKER</vt:lpstr>
      <vt:lpstr>HEAT_TARIFF_A_NUM_TN_COLUMN_MARKER</vt:lpstr>
      <vt:lpstr>HEAT_TARIFF_B_ADD_HL_COLUMN_MARKER</vt:lpstr>
      <vt:lpstr>HEAT_TARIFF_B_DEL_HL_GC_COLUMN_MARKER</vt:lpstr>
      <vt:lpstr>HEAT_TARIFF_B_DEL_HL_SCHEME_COLUMN_MARKER</vt:lpstr>
      <vt:lpstr>HEAT_TARIFF_B_DEL_HL_TN_COLUMN_MARKER</vt:lpstr>
      <vt:lpstr>HEAT_TARIFF_B_DELETE_PERIOD_ROW_MARKER</vt:lpstr>
      <vt:lpstr>HEAT_TARIFF_B_FLAG_BLOCK_COLUMN_MARKER</vt:lpstr>
      <vt:lpstr>HEAT_TARIFF_B_FLAG_BLOCK_ROW_MARKER</vt:lpstr>
      <vt:lpstr>HEAT_TARIFF_B_NUM_CS_COLUMN_MARKER</vt:lpstr>
      <vt:lpstr>HEAT_TARIFF_B_NUM_GC_COLUMN_MARKER</vt:lpstr>
      <vt:lpstr>HEAT_TARIFF_B_NUM_IST_TE_COLUMN_MARKER</vt:lpstr>
      <vt:lpstr>HEAT_TARIFF_B_NUM_NTAR_COLUMN_MARKER</vt:lpstr>
      <vt:lpstr>HEAT_TARIFF_B_NUM_SCHEME_COLUMN_MARKER</vt:lpstr>
      <vt:lpstr>HEAT_TARIFF_B_NUM_TER_COLUMN_MARKER</vt:lpstr>
      <vt:lpstr>HEAT_TARIFF_B_NUM_TN_COLUMN_MARKER</vt:lpstr>
      <vt:lpstr>HEAT_TARIFF_C_ADD_HL_COLUMN_MARKER</vt:lpstr>
      <vt:lpstr>HEAT_TARIFF_C_DEL_HL_GC_COLUMN_MARKER</vt:lpstr>
      <vt:lpstr>HEAT_TARIFF_C_DEL_HL_SCHEME_COLUMN_MARKER</vt:lpstr>
      <vt:lpstr>HEAT_TARIFF_C_DEL_HL_TN_COLUMN_MARKER</vt:lpstr>
      <vt:lpstr>HEAT_TARIFF_C_DELETE_PERIOD_ROW_MARKER</vt:lpstr>
      <vt:lpstr>HEAT_TARIFF_C_FLAG_BLOCK_COLUMN_MARKER</vt:lpstr>
      <vt:lpstr>HEAT_TARIFF_C_FLAG_BLOCK_ROW_MARKER</vt:lpstr>
      <vt:lpstr>HEAT_TARIFF_C_NUM_CS_COLUMN_MARKER</vt:lpstr>
      <vt:lpstr>HEAT_TARIFF_C_NUM_GC_COLUMN_MARKER</vt:lpstr>
      <vt:lpstr>HEAT_TARIFF_C_NUM_IST_TE_COLUMN_MARKER</vt:lpstr>
      <vt:lpstr>HEAT_TARIFF_C_NUM_NTAR_COLUMN_MARKER</vt:lpstr>
      <vt:lpstr>HEAT_TARIFF_C_NUM_SCHEME_COLUMN_MARKER</vt:lpstr>
      <vt:lpstr>HEAT_TARIFF_C_NUM_TER_COLUMN_MARKER</vt:lpstr>
      <vt:lpstr>HEAT_TARIFF_C_NUM_TN_COLUMN_MARKER</vt:lpstr>
      <vt:lpstr>HEAT_TARIFF_D_ADD_HL_COLUMN_MARKER</vt:lpstr>
      <vt:lpstr>HEAT_TARIFF_D_DEL_HL_CONS_COLUMN_MARKER</vt:lpstr>
      <vt:lpstr>HEAT_TARIFF_D_DEL_HL_GC_COLUMN_MARKER</vt:lpstr>
      <vt:lpstr>HEAT_TARIFF_D_DEL_HL_SCHEME_COLUMN_MARKER</vt:lpstr>
      <vt:lpstr>HEAT_TARIFF_D_DEL_HL_TN_COLUMN_MARKER</vt:lpstr>
      <vt:lpstr>HEAT_TARIFF_D_DELETE_PERIOD_ROW_MARKER</vt:lpstr>
      <vt:lpstr>HEAT_TARIFF_D_FLAG_BLOCK_COLUMN_MARKER</vt:lpstr>
      <vt:lpstr>HEAT_TARIFF_D_FLAG_BLOCK_ROW_MARKER</vt:lpstr>
      <vt:lpstr>HEAT_TARIFF_D_NUM_CONS_COLUMN_MARKER</vt:lpstr>
      <vt:lpstr>HEAT_TARIFF_D_NUM_CS_COLUMN_MARKER</vt:lpstr>
      <vt:lpstr>HEAT_TARIFF_D_NUM_GC_COLUMN_MARKER</vt:lpstr>
      <vt:lpstr>HEAT_TARIFF_D_NUM_IST_TE_COLUMN_MARKER</vt:lpstr>
      <vt:lpstr>HEAT_TARIFF_D_NUM_NTAR_COLUMN_MARKER</vt:lpstr>
      <vt:lpstr>HEAT_TARIFF_D_NUM_SCHEME_COLUMN_MARKER</vt:lpstr>
      <vt:lpstr>HEAT_TARIFF_D_NUM_TER_COLUMN_MARKER</vt:lpstr>
      <vt:lpstr>HEAT_TARIFF_D_NUM_TN_COLUMN_MARKER</vt:lpstr>
      <vt:lpstr>HEAT_TARIFF_E1_ADD_HL_COLUMN_MARKER</vt:lpstr>
      <vt:lpstr>HEAT_TARIFF_E1_DEL_HL_GC_COLUMN_MARKER</vt:lpstr>
      <vt:lpstr>HEAT_TARIFF_E1_DEL_HL_SCHEME_COLUMN_MARKER</vt:lpstr>
      <vt:lpstr>HEAT_TARIFF_E1_DEL_HL_TN_COLUMN_MARKER</vt:lpstr>
      <vt:lpstr>HEAT_TARIFF_E1_DELETE_PERIOD_ROW_MARKER</vt:lpstr>
      <vt:lpstr>HEAT_TARIFF_E1_FLAG_BLOCK_COLUMN_MARKER</vt:lpstr>
      <vt:lpstr>HEAT_TARIFF_E1_FLAG_BLOCK_ROW_MARKER</vt:lpstr>
      <vt:lpstr>HEAT_TARIFF_E1_NUM_CS_COLUMN_MARKER</vt:lpstr>
      <vt:lpstr>HEAT_TARIFF_E1_NUM_GC_COLUMN_MARKER</vt:lpstr>
      <vt:lpstr>HEAT_TARIFF_E1_NUM_IST_TE_COLUMN_MARKER</vt:lpstr>
      <vt:lpstr>HEAT_TARIFF_E1_NUM_NTAR_COLUMN_MARKER</vt:lpstr>
      <vt:lpstr>HEAT_TARIFF_E1_NUM_SCHEME_COLUMN_MARKER</vt:lpstr>
      <vt:lpstr>HEAT_TARIFF_E1_NUM_TER_COLUMN_MARKER</vt:lpstr>
      <vt:lpstr>HEAT_TARIFF_E1_NUM_TN_COLUMN_MARKER</vt:lpstr>
      <vt:lpstr>HEAT_TARIFF_E2_ADD_HL_COLUMN_MARKER</vt:lpstr>
      <vt:lpstr>HEAT_TARIFF_E2_DEL_HL_GC_COLUMN_MARKER</vt:lpstr>
      <vt:lpstr>HEAT_TARIFF_E2_DEL_HL_SCHEME_COLUMN_MARKER</vt:lpstr>
      <vt:lpstr>HEAT_TARIFF_E2_DEL_HL_TN_COLUMN_MARKER</vt:lpstr>
      <vt:lpstr>HEAT_TARIFF_E2_DELETE_PERIOD_ROW_MARKER</vt:lpstr>
      <vt:lpstr>HEAT_TARIFF_E2_FLAG_BLOCK_COLUMN_MARKER</vt:lpstr>
      <vt:lpstr>HEAT_TARIFF_E2_FLAG_BLOCK_ROW_MARKER</vt:lpstr>
      <vt:lpstr>HEAT_TARIFF_E2_NUM_CS_COLUMN_MARKER</vt:lpstr>
      <vt:lpstr>HEAT_TARIFF_E2_NUM_GC_COLUMN_MARKER</vt:lpstr>
      <vt:lpstr>HEAT_TARIFF_E2_NUM_IST_TE_COLUMN_MARKER</vt:lpstr>
      <vt:lpstr>HEAT_TARIFF_E2_NUM_NTAR_COLUMN_MARKER</vt:lpstr>
      <vt:lpstr>HEAT_TARIFF_E2_NUM_SCHEME_COLUMN_MARKER</vt:lpstr>
      <vt:lpstr>HEAT_TARIFF_E2_NUM_TER_COLUMN_MARKER</vt:lpstr>
      <vt:lpstr>HEAT_TARIFF_E2_NUM_TN_COLUMN_MARKER</vt:lpstr>
      <vt:lpstr>HEAT_TARIFF_F_ADD_HL_COLUMN_MARKER</vt:lpstr>
      <vt:lpstr>HEAT_TARIFF_F_DEL_HL_GC_COLUMN_MARKER</vt:lpstr>
      <vt:lpstr>HEAT_TARIFF_F_DEL_HL_SCHEME_COLUMN_MARKER</vt:lpstr>
      <vt:lpstr>HEAT_TARIFF_F_DEL_HL_TN_COLUMN_MARKER</vt:lpstr>
      <vt:lpstr>HEAT_TARIFF_F_DELETE_PERIOD_ROW_MARKER</vt:lpstr>
      <vt:lpstr>HEAT_TARIFF_F_FLAG_BLOCK_COLUMN_MARKER</vt:lpstr>
      <vt:lpstr>HEAT_TARIFF_F_FLAG_BLOCK_ROW_MARKER</vt:lpstr>
      <vt:lpstr>HEAT_TARIFF_F_NUM_CS_COLUMN_MARKER</vt:lpstr>
      <vt:lpstr>HEAT_TARIFF_F_NUM_GC_COLUMN_MARKER</vt:lpstr>
      <vt:lpstr>HEAT_TARIFF_F_NUM_IST_TE_COLUMN_MARKER</vt:lpstr>
      <vt:lpstr>HEAT_TARIFF_F_NUM_NTAR_COLUMN_MARKER</vt:lpstr>
      <vt:lpstr>HEAT_TARIFF_F_NUM_SCHEME_COLUMN_MARKER</vt:lpstr>
      <vt:lpstr>HEAT_TARIFF_F_NUM_TER_COLUMN_MARKER</vt:lpstr>
      <vt:lpstr>HEAT_TARIFF_F_NUM_TN_COLUMN_MARKER</vt:lpstr>
      <vt:lpstr>HEAT_TARIFF_G_ADD_HL_COLUMN_MARKER</vt:lpstr>
      <vt:lpstr>HEAT_TARIFF_G_ADD_HL_DIAMETERS_COLUMN_MARKER</vt:lpstr>
      <vt:lpstr>HEAT_TARIFF_G_ADD_HL_LOAD_COLUMN_MARKER</vt:lpstr>
      <vt:lpstr>HEAT_TARIFF_G_ADD_HL_NETS_COLUMN_MARKER</vt:lpstr>
      <vt:lpstr>HEAT_TARIFF_G_DEL_HL_DIAMETERS_COLUMN_MARKER</vt:lpstr>
      <vt:lpstr>HEAT_TARIFF_G_DEL_HL_GC_COLUMN_MARKER</vt:lpstr>
      <vt:lpstr>HEAT_TARIFF_G_DEL_HL_LOAD_COLUMN_MARKER</vt:lpstr>
      <vt:lpstr>HEAT_TARIFF_G_DEL_HL_NETS_COLUMN_MARKER</vt:lpstr>
      <vt:lpstr>HEAT_TARIFF_G_DEL_HL_SCHEME_COLUMN_MARKER</vt:lpstr>
      <vt:lpstr>HEAT_TARIFF_G_DEL_HL_TN_COLUMN_MARKER</vt:lpstr>
      <vt:lpstr>HEAT_TARIFF_G_DELETE_PERIOD_ROW_MARKER</vt:lpstr>
      <vt:lpstr>HEAT_TARIFF_G_FLAG_BLOCK_COLUMN_MARKER</vt:lpstr>
      <vt:lpstr>HEAT_TARIFF_G_FLAG_BLOCK_ROW_MARKER</vt:lpstr>
      <vt:lpstr>HEAT_TARIFF_G_NUM_CS_COLUMN_MARKER</vt:lpstr>
      <vt:lpstr>HEAT_TARIFF_G_NUM_DIAMETERS_COLUMN_MARKER</vt:lpstr>
      <vt:lpstr>HEAT_TARIFF_G_NUM_GC_COLUMN_MARKER</vt:lpstr>
      <vt:lpstr>HEAT_TARIFF_G_NUM_IST_TE_COLUMN_MARKER</vt:lpstr>
      <vt:lpstr>HEAT_TARIFF_G_NUM_LOAD_COLUMN_MARKER</vt:lpstr>
      <vt:lpstr>HEAT_TARIFF_G_NUM_NETS_COLUMN_MARKER</vt:lpstr>
      <vt:lpstr>HEAT_TARIFF_G_NUM_NTAR_COLUMN_MARKER</vt:lpstr>
      <vt:lpstr>HEAT_TARIFF_G_NUM_SCHEME_COLUMN_MARKER</vt:lpstr>
      <vt:lpstr>HEAT_TARIFF_G_NUM_TER_COLUMN_MARKER</vt:lpstr>
      <vt:lpstr>HEAT_TARIFF_G_NUM_TN_COLUMN_MARKER</vt:lpstr>
      <vt:lpstr>HOTVSNA_FIN_SRC_LIST</vt:lpstr>
      <vt:lpstr>HOTVSNA_FIN_SRC_VLD_LIST</vt:lpstr>
      <vt:lpstr>HOTVSNA_IP_EVENT_CI_STAGE_LIST</vt:lpstr>
      <vt:lpstr>HOTVSNA_IP_EVENT_GROUP_LIST</vt:lpstr>
      <vt:lpstr>HOTVSNA_IP_EVENT_SUBGROUP_1_LIST</vt:lpstr>
      <vt:lpstr>HOTVSNA_IP_EVENT_SUBGROUP_3_LIST</vt:lpstr>
      <vt:lpstr>HOTVSNA_IP_EVENT_SUBGROUP_5_LIST</vt:lpstr>
      <vt:lpstr>HOTVSNA_IP_EVENT_TYPE_LIST</vt:lpstr>
      <vt:lpstr>HOTVSNA_PT_VED_ID</vt:lpstr>
      <vt:lpstr>HOTVSNA_PT_VED_NAME</vt:lpstr>
      <vt:lpstr>HOTVSNA_PT_VED_NAME_LIST</vt:lpstr>
      <vt:lpstr>HOTVSNA_TARIFF_A_HOTVSNA_ADD_HL_COLUMN_MARKER</vt:lpstr>
      <vt:lpstr>HOTVSNA_TARIFF_A_HOTVSNA_DEL_HL_DATA_DIFF_COLUMN_MARKER</vt:lpstr>
      <vt:lpstr>HOTVSNA_TARIFF_A_HOTVSNA_DEL_HL_FLAG_DIFF_COLUMN_MARKER</vt:lpstr>
      <vt:lpstr>HOTVSNA_TARIFF_A_HOTVSNA_DEL_HL_GC_COLUMN_MARKER</vt:lpstr>
      <vt:lpstr>HOTVSNA_TARIFF_A_HOTVSNA_DELETE_PERIOD_ROW_MARKER</vt:lpstr>
      <vt:lpstr>HOTVSNA_TARIFF_A_HOTVSNA_FLAG_BLOCK_COLUMN_MARKER</vt:lpstr>
      <vt:lpstr>HOTVSNA_TARIFF_A_HOTVSNA_FLAG_BLOCK_ROW_MARKER</vt:lpstr>
      <vt:lpstr>HOTVSNA_TARIFF_A_HOTVSNA_NUM_CS_COLUMN_MARKER</vt:lpstr>
      <vt:lpstr>HOTVSNA_TARIFF_A_HOTVSNA_NUM_DATA_DIFF_COLUMN_MARKER</vt:lpstr>
      <vt:lpstr>HOTVSNA_TARIFF_A_HOTVSNA_NUM_FLAG_DIFF_COLUMN_MARKER</vt:lpstr>
      <vt:lpstr>HOTVSNA_TARIFF_A_HOTVSNA_NUM_GC_COLUMN_MARKER</vt:lpstr>
      <vt:lpstr>HOTVSNA_TARIFF_A_HOTVSNA_NUM_NTAR_COLUMN_MARKER</vt:lpstr>
      <vt:lpstr>HOTVSNA_TARIFF_A_HOTVSNA_NUM_TER_COLUMN_MARKER</vt:lpstr>
      <vt:lpstr>HOTVSNA_TARIFF_B_HOTVSNA_ADD_HL_COLUMN_MARKER</vt:lpstr>
      <vt:lpstr>HOTVSNA_TARIFF_B_HOTVSNA_DEL_HL_DATA_DIFF_COLUMN_MARKER</vt:lpstr>
      <vt:lpstr>HOTVSNA_TARIFF_B_HOTVSNA_DEL_HL_FLAG_DIFF_COLUMN_MARKER</vt:lpstr>
      <vt:lpstr>HOTVSNA_TARIFF_B_HOTVSNA_DEL_HL_GC_COLUMN_MARKER</vt:lpstr>
      <vt:lpstr>HOTVSNA_TARIFF_B_HOTVSNA_DELETE_PERIOD_ROW_MARKER</vt:lpstr>
      <vt:lpstr>HOTVSNA_TARIFF_B_HOTVSNA_FLAG_BLOCK_COLUMN_MARKER</vt:lpstr>
      <vt:lpstr>HOTVSNA_TARIFF_B_HOTVSNA_FLAG_BLOCK_ROW_MARKER</vt:lpstr>
      <vt:lpstr>HOTVSNA_TARIFF_B_HOTVSNA_NUM_CS_COLUMN_MARKER</vt:lpstr>
      <vt:lpstr>HOTVSNA_TARIFF_B_HOTVSNA_NUM_DATA_DIFF_COLUMN_MARKER</vt:lpstr>
      <vt:lpstr>HOTVSNA_TARIFF_B_HOTVSNA_NUM_FLAG_DIFF_COLUMN_MARKER</vt:lpstr>
      <vt:lpstr>HOTVSNA_TARIFF_B_HOTVSNA_NUM_GC_COLUMN_MARKER</vt:lpstr>
      <vt:lpstr>HOTVSNA_TARIFF_B_HOTVSNA_NUM_NTAR_COLUMN_MARKER</vt:lpstr>
      <vt:lpstr>HOTVSNA_TARIFF_B_HOTVSNA_NUM_TER_COLUMN_MARKER</vt:lpstr>
      <vt:lpstr>HOTVSNA_TARIFF_C_HOTVSNA_ADD_HL_COLUMN_MARKER</vt:lpstr>
      <vt:lpstr>HOTVSNA_TARIFF_C_HOTVSNA_ADD_HL_DIAMETERS_COLUMN_MARKER</vt:lpstr>
      <vt:lpstr>HOTVSNA_TARIFF_C_HOTVSNA_ADD_HL_LEN_COLUMN_MARKER</vt:lpstr>
      <vt:lpstr>HOTVSNA_TARIFF_C_HOTVSNA_ADD_HL_LOAD_COLUMN_MARKER</vt:lpstr>
      <vt:lpstr>HOTVSNA_TARIFF_C_HOTVSNA_ADD_HL_NETS_COLUMN_MARKER</vt:lpstr>
      <vt:lpstr>HOTVSNA_TARIFF_C_HOTVSNA_DEL_HL_DATA_DIFF_COLUMN_MARKER</vt:lpstr>
      <vt:lpstr>HOTVSNA_TARIFF_C_HOTVSNA_DEL_HL_DIAMETERS_COLUMN_MARKER</vt:lpstr>
      <vt:lpstr>HOTVSNA_TARIFF_C_HOTVSNA_DEL_HL_FLAG_DIFF_COLUMN_MARKER</vt:lpstr>
      <vt:lpstr>HOTVSNA_TARIFF_C_HOTVSNA_DEL_HL_GC_COLUMN_MARKER</vt:lpstr>
      <vt:lpstr>HOTVSNA_TARIFF_C_HOTVSNA_DEL_HL_LEN_COLUMN_MARKER</vt:lpstr>
      <vt:lpstr>HOTVSNA_TARIFF_C_HOTVSNA_DEL_HL_LOAD_COLUMN_MARKER</vt:lpstr>
      <vt:lpstr>HOTVSNA_TARIFF_C_HOTVSNA_DEL_HL_NETS_COLUMN_MARKER</vt:lpstr>
      <vt:lpstr>HOTVSNA_TARIFF_C_HOTVSNA_DELETE_PERIOD_ROW_MARKER</vt:lpstr>
      <vt:lpstr>HOTVSNA_TARIFF_C_HOTVSNA_FLAG_BLOCK_COLUMN_MARKER</vt:lpstr>
      <vt:lpstr>HOTVSNA_TARIFF_C_HOTVSNA_FLAG_BLOCK_ROW_MARKER</vt:lpstr>
      <vt:lpstr>HOTVSNA_TARIFF_C_HOTVSNA_NUM_CS_COLUMN_MARKER</vt:lpstr>
      <vt:lpstr>HOTVSNA_TARIFF_C_HOTVSNA_NUM_DATA_DIFF_COLUMN_MARKER</vt:lpstr>
      <vt:lpstr>HOTVSNA_TARIFF_C_HOTVSNA_NUM_DIAMETERS_COLUMN_MARKER</vt:lpstr>
      <vt:lpstr>HOTVSNA_TARIFF_C_HOTVSNA_NUM_FLAG_DIFF_COLUMN_MARKER</vt:lpstr>
      <vt:lpstr>HOTVSNA_TARIFF_C_HOTVSNA_NUM_GC_COLUMN_MARKER</vt:lpstr>
      <vt:lpstr>HOTVSNA_TARIFF_C_HOTVSNA_NUM_LEN_COLUMN_MARKER</vt:lpstr>
      <vt:lpstr>HOTVSNA_TARIFF_C_HOTVSNA_NUM_LOAD_COLUMN_MARKER</vt:lpstr>
      <vt:lpstr>HOTVSNA_TARIFF_C_HOTVSNA_NUM_NETS_COLUMN_MARKER</vt:lpstr>
      <vt:lpstr>HOTVSNA_TARIFF_C_HOTVSNA_NUM_NTAR_COLUMN_MARKER</vt:lpstr>
      <vt:lpstr>HOTVSNA_TARIFF_C_HOTVSNA_NUM_TER_COLUMN_MARKER</vt:lpstr>
      <vt:lpstr>Info_Diff</vt:lpstr>
      <vt:lpstr>Info_Diff1</vt:lpstr>
      <vt:lpstr>Info_FilFlag</vt:lpstr>
      <vt:lpstr>Info_ForMOInListMO</vt:lpstr>
      <vt:lpstr>Info_ForMRInListMO</vt:lpstr>
      <vt:lpstr>Info_ForSKIInListMO</vt:lpstr>
      <vt:lpstr>Info_ForSKINumberInListMO</vt:lpstr>
      <vt:lpstr>Info_NoteStandarts</vt:lpstr>
      <vt:lpstr>Info_NoUpdates</vt:lpstr>
      <vt:lpstr>Info_PeriodInTitle</vt:lpstr>
      <vt:lpstr>Info_PrDiff</vt:lpstr>
      <vt:lpstr>Info_PublicationNotDisclosed</vt:lpstr>
      <vt:lpstr>Info_PublicationPdf</vt:lpstr>
      <vt:lpstr>Info_PublicationWeb</vt:lpstr>
      <vt:lpstr>Info_T_Podkl</vt:lpstr>
      <vt:lpstr>Info_TarName</vt:lpstr>
      <vt:lpstr>Info_TerExcludeHelp_1</vt:lpstr>
      <vt:lpstr>Info_TerExcludeHelp_2</vt:lpstr>
      <vt:lpstr>Info_TitleFil</vt:lpstr>
      <vt:lpstr>Info_TitleFlagCrossSubsidization</vt:lpstr>
      <vt:lpstr>Info_TitleFlagIstPubl</vt:lpstr>
      <vt:lpstr>Info_TitleFlagTwoPartTariff</vt:lpstr>
      <vt:lpstr>Info_TitleGroupRates</vt:lpstr>
      <vt:lpstr>Info_TitleKindPublication</vt:lpstr>
      <vt:lpstr>Info_TitleKindsOfGoods</vt:lpstr>
      <vt:lpstr>Info_TitlePublication</vt:lpstr>
      <vt:lpstr>Info_TitleType</vt:lpstr>
      <vt:lpstr>inn</vt:lpstr>
      <vt:lpstr>IP_CLAIM_LIST</vt:lpstr>
      <vt:lpstr>IP_DETAILED_ADD_HL_EVENT_COLUMN_MARKER</vt:lpstr>
      <vt:lpstr>IP_DETAILED_ADD_HL_IST_FIN_COLUMN_MARKER</vt:lpstr>
      <vt:lpstr>IP_DETAILED_ADD_HL_OBJECT_COLUMN_MARKER</vt:lpstr>
      <vt:lpstr>IP_DETAILED_DATA_KS</vt:lpstr>
      <vt:lpstr>IP_DETAILED_EVENT_MARKER</vt:lpstr>
      <vt:lpstr>IP_DETAILED_EVENT_SUBGROUP_COLUMN_MARKER</vt:lpstr>
      <vt:lpstr>IP_DETAILED_EVENT_SUBGROUP_RANGE_COLUMN_MARKER</vt:lpstr>
      <vt:lpstr>IP_DETAILED_FLAG_KS</vt:lpstr>
      <vt:lpstr>IP_DETAILED_FLAG_OBJECT</vt:lpstr>
      <vt:lpstr>IP_DETAILED_GROUP_MARKER</vt:lpstr>
      <vt:lpstr>IP_DETAILED_IST_FIN_FACT_COLUMN_MARKER</vt:lpstr>
      <vt:lpstr>IP_DETAILED_LIST_IP_ID</vt:lpstr>
      <vt:lpstr>IP_DETAILED_MONTH_FACT_COLUMN_MARKER</vt:lpstr>
      <vt:lpstr>IP_DETAILED_MONTH_PLAN_COLUMN_MARKER</vt:lpstr>
      <vt:lpstr>IP_DETAILED_NAME_EVENT_COLUMN_MARKER</vt:lpstr>
      <vt:lpstr>IP_DETAILED_YEAR_FACT_COLUMN_MARKER</vt:lpstr>
      <vt:lpstr>IP_DETAILED_YEAR_PLAN_COLUMN_MARKER</vt:lpstr>
      <vt:lpstr>IP_FIN_PLAN_LIST_ID_MARKER_ROW</vt:lpstr>
      <vt:lpstr>IP_FIN_PLAN_NAME_IP_MARKER_ROW</vt:lpstr>
      <vt:lpstr>IP_FIN_PLAN_YEAR_MARKER_ROW</vt:lpstr>
      <vt:lpstr>IP_ID</vt:lpstr>
      <vt:lpstr>IP_MAIN_ADD_HL_PROPERTY_COLUMN_MARKER</vt:lpstr>
      <vt:lpstr>IP_MAIN_APPROVAL_DATE</vt:lpstr>
      <vt:lpstr>IP_MAIN_CHANGE_DATE</vt:lpstr>
      <vt:lpstr>IP_MAIN_CLAIM</vt:lpstr>
      <vt:lpstr>IP_MAIN_DATE_PARKING</vt:lpstr>
      <vt:lpstr>IP_MAIN_DELETE_HL_COLUMN_MARKER</vt:lpstr>
      <vt:lpstr>IP_MAIN_DIFFERENTIATION_EVENTS_FLAG</vt:lpstr>
      <vt:lpstr>IP_MAIN_END_DATE</vt:lpstr>
      <vt:lpstr>IP_MAIN_FLAG_KS</vt:lpstr>
      <vt:lpstr>IP_MAIN_FLAG_KS_COLUMN_MARKER</vt:lpstr>
      <vt:lpstr>IP_MAIN_IP_FIN_PLAN_VISIBLE_FLAG</vt:lpstr>
      <vt:lpstr>IP_MAIN_LIST_IP_ID</vt:lpstr>
      <vt:lpstr>IP_MAIN_LIST_NAME_IP</vt:lpstr>
      <vt:lpstr>IP_MAIN_PERIOD_REALIZ_DATE</vt:lpstr>
      <vt:lpstr>IP_MAIN_PR_IP_CHANGE_DATE</vt:lpstr>
      <vt:lpstr>IP_MAIN_PR_IP_DATE</vt:lpstr>
      <vt:lpstr>IP_MAIN_START_DATE</vt:lpstr>
      <vt:lpstr>IP_QRE_ADD_HL_CLAIM_COLUMN_MARKER</vt:lpstr>
      <vt:lpstr>IP_QRE_ADD_HL_COLUMN_MARKER</vt:lpstr>
      <vt:lpstr>IP_QRE_DELETE_HL_COLUMN_MARKER</vt:lpstr>
      <vt:lpstr>IP_QRE_LIST_IP_ID</vt:lpstr>
      <vt:lpstr>IP_QRE_NUM_COLUMN_MARKER</vt:lpstr>
      <vt:lpstr>IP_QRE_OTKO_FEATURES_BLOCK</vt:lpstr>
      <vt:lpstr>IP_QRE_VOTV_FEATURES_BLOCK</vt:lpstr>
      <vt:lpstr>IP_QRE_VSNA_FEATURES_BLOCK</vt:lpstr>
      <vt:lpstr>IP_QRE_WARM_FEATURES_BLOCK</vt:lpstr>
      <vt:lpstr>IST_TE_ID</vt:lpstr>
      <vt:lpstr>kind_group_rates</vt:lpstr>
      <vt:lpstr>kind_group_rates_load</vt:lpstr>
      <vt:lpstr>kind_group_rates_load_ETS</vt:lpstr>
      <vt:lpstr>kind_group_rates_load_filter</vt:lpstr>
      <vt:lpstr>kind_group_rates_load_filter_ETS</vt:lpstr>
      <vt:lpstr>kind_of_activity_WARM</vt:lpstr>
      <vt:lpstr>kind_of_cons</vt:lpstr>
      <vt:lpstr>kind_of_control_method</vt:lpstr>
      <vt:lpstr>kind_of_control_method_filter</vt:lpstr>
      <vt:lpstr>kind_of_data_type</vt:lpstr>
      <vt:lpstr>kind_of_diameters</vt:lpstr>
      <vt:lpstr>kind_of_diameters2</vt:lpstr>
      <vt:lpstr>kind_of_diff</vt:lpstr>
      <vt:lpstr>kind_of_fuel</vt:lpstr>
      <vt:lpstr>kind_of_fuels</vt:lpstr>
      <vt:lpstr>kind_of_heat_transfer</vt:lpstr>
      <vt:lpstr>kind_of_heat_transfer2</vt:lpstr>
      <vt:lpstr>kind_of_heat_transfer3</vt:lpstr>
      <vt:lpstr>kind_of_load</vt:lpstr>
      <vt:lpstr>kind_of_load2</vt:lpstr>
      <vt:lpstr>kind_of_load3</vt:lpstr>
      <vt:lpstr>kind_of_load4</vt:lpstr>
      <vt:lpstr>kind_of_NDS</vt:lpstr>
      <vt:lpstr>kind_of_NDS_tariff</vt:lpstr>
      <vt:lpstr>kind_of_NDS_tariff_people</vt:lpstr>
      <vt:lpstr>kind_of_nets</vt:lpstr>
      <vt:lpstr>kind_of_org_type</vt:lpstr>
      <vt:lpstr>kind_of_power_te_unit</vt:lpstr>
      <vt:lpstr>kind_of_publication</vt:lpstr>
      <vt:lpstr>kind_of_purchase_method</vt:lpstr>
      <vt:lpstr>kind_of_scheme_in</vt:lpstr>
      <vt:lpstr>kind_of_scheme_in2</vt:lpstr>
      <vt:lpstr>kind_of_tariff_unit</vt:lpstr>
      <vt:lpstr>kind_of_unit</vt:lpstr>
      <vt:lpstr>kind_of_volume_te_unit</vt:lpstr>
      <vt:lpstr>kind_of_zak</vt:lpstr>
      <vt:lpstr>KNE_NAME_FORM</vt:lpstr>
      <vt:lpstr>kpp</vt:lpstr>
      <vt:lpstr>LINK_RANGE</vt:lpstr>
      <vt:lpstr>List_H</vt:lpstr>
      <vt:lpstr>List_M</vt:lpstr>
      <vt:lpstr>LIST_MR_MO_OKTMO</vt:lpstr>
      <vt:lpstr>LIST_MR_MO_OKTMO_FILTER</vt:lpstr>
      <vt:lpstr>ListForms</vt:lpstr>
      <vt:lpstr>logical</vt:lpstr>
      <vt:lpstr>MONTH</vt:lpstr>
      <vt:lpstr>MONTH_IP_LIST</vt:lpstr>
      <vt:lpstr>nalog</vt:lpstr>
      <vt:lpstr>name_rates_4</vt:lpstr>
      <vt:lpstr>name_rates_4_filter</vt:lpstr>
      <vt:lpstr>name_rates_8</vt:lpstr>
      <vt:lpstr>name_rates_8_filter</vt:lpstr>
      <vt:lpstr>NameTemplatesInListMO</vt:lpstr>
      <vt:lpstr>NameTemplatesInTitle</vt:lpstr>
      <vt:lpstr>NameTemplatesInTitleList</vt:lpstr>
      <vt:lpstr>NTAR_ID</vt:lpstr>
      <vt:lpstr>org</vt:lpstr>
      <vt:lpstr>Org_Address</vt:lpstr>
      <vt:lpstr>ORG_END_DATE</vt:lpstr>
      <vt:lpstr>ORG_INFO_DATE_OGRN</vt:lpstr>
      <vt:lpstr>ORG_INFO_DATE_PARKING</vt:lpstr>
      <vt:lpstr>ORG_INFO_DATE_UNI_TS</vt:lpstr>
      <vt:lpstr>ORG_INFO_EMAIL</vt:lpstr>
      <vt:lpstr>ORG_INFO_ET</vt:lpstr>
      <vt:lpstr>ORG_INFO_FLAG_INVEST</vt:lpstr>
      <vt:lpstr>ORG_INFO_NAME_FORM</vt:lpstr>
      <vt:lpstr>ORG_INFO_P_NOTE_MAIN</vt:lpstr>
      <vt:lpstr>ORG_INFO_RESP_EMAIL</vt:lpstr>
      <vt:lpstr>ORG_INFO_URL</vt:lpstr>
      <vt:lpstr>Org_main</vt:lpstr>
      <vt:lpstr>ORG_START_DATE</vt:lpstr>
      <vt:lpstr>ORG_TERRITORY_FIRST_MO</vt:lpstr>
      <vt:lpstr>ORG_TERRITORY_FLAG_INTERNET</vt:lpstr>
      <vt:lpstr>ORG_TERRITORY_LINK</vt:lpstr>
      <vt:lpstr>ORG_TERRITORY_NAME_COL</vt:lpstr>
      <vt:lpstr>ORG_TERRITORY_POINT_NUMBER_1</vt:lpstr>
      <vt:lpstr>ORG_VD_EM</vt:lpstr>
      <vt:lpstr>ORG_VD_FIRST_ROW</vt:lpstr>
      <vt:lpstr>ORG_VD_FIRST_SYSTEM</vt:lpstr>
      <vt:lpstr>ORG_VD_SYSTEM</vt:lpstr>
      <vt:lpstr>ORG_VD_TKO_ADD_HL_ACTIVITY_COLUMN_MARKER</vt:lpstr>
      <vt:lpstr>ORG_VD_TKO_ADD_HL_TYPE_OBJECT_COLUMN_MARKER</vt:lpstr>
      <vt:lpstr>ORG_VD_TKO_DEL_HL_ACTIVITY_COLUMN_MARKER</vt:lpstr>
      <vt:lpstr>ORG_VD_TKO_DEL_HL_TYPE_OBJECT_COLUMN_MARKER</vt:lpstr>
      <vt:lpstr>ORG_VD_TKO_VD</vt:lpstr>
      <vt:lpstr>ORG_VD_TKO_VD_ID</vt:lpstr>
      <vt:lpstr>ORG_VD_VD</vt:lpstr>
      <vt:lpstr>ORG_VD_VD_ID</vt:lpstr>
      <vt:lpstr>OTKO_FIN_SRC_LIST</vt:lpstr>
      <vt:lpstr>OTKO_FIN_SRC_VLD_LIST</vt:lpstr>
      <vt:lpstr>OTKO_IP_EVENT_CI_STAGE_LIST</vt:lpstr>
      <vt:lpstr>OTKO_IP_EVENT_GROUP_LIST</vt:lpstr>
      <vt:lpstr>OTKO_IP_EVENT_TYPE_LIST</vt:lpstr>
      <vt:lpstr>otv_lico_name</vt:lpstr>
      <vt:lpstr>P_T_TERMS_LINK</vt:lpstr>
      <vt:lpstr>pCng_P_T_TERMS_1</vt:lpstr>
      <vt:lpstr>pCng_P_T_TERMS_2</vt:lpstr>
      <vt:lpstr>pCng_P_T_TERMS_3</vt:lpstr>
      <vt:lpstr>pCng_P_T_TERMS_4</vt:lpstr>
      <vt:lpstr>pDel_CHANGE_INFO</vt:lpstr>
      <vt:lpstr>pDel_Comm</vt:lpstr>
      <vt:lpstr>pDel_DIFFERENTIATION_AREA</vt:lpstr>
      <vt:lpstr>pDel_DIFFERENTIATION_SYSTEM</vt:lpstr>
      <vt:lpstr>pDel_DIFFERENTIATION_VD</vt:lpstr>
      <vt:lpstr>pDel_ED</vt:lpstr>
      <vt:lpstr>pDel_IP_DETAILED_EVENT</vt:lpstr>
      <vt:lpstr>pDel_IP_DETAILED_IST_FIN</vt:lpstr>
      <vt:lpstr>pDel_IP_DETAILED_OBJECT</vt:lpstr>
      <vt:lpstr>pDel_IP_MAIN</vt:lpstr>
      <vt:lpstr>pDel_IP_MAIN_PROPERTY</vt:lpstr>
      <vt:lpstr>pDel_IP_QRE_CLAIM</vt:lpstr>
      <vt:lpstr>pDel_List07</vt:lpstr>
      <vt:lpstr>pDel_LT_AREA</vt:lpstr>
      <vt:lpstr>pDel_LT_MO</vt:lpstr>
      <vt:lpstr>pDel_ORG_INFO</vt:lpstr>
      <vt:lpstr>pDel_ORG_TERRITORY</vt:lpstr>
      <vt:lpstr>pDel_ORG_VD</vt:lpstr>
      <vt:lpstr>pDel_P_PROCEDURE_TC</vt:lpstr>
      <vt:lpstr>pDel_P_T_TERMS</vt:lpstr>
      <vt:lpstr>pDel_R_B_Purch</vt:lpstr>
      <vt:lpstr>periodEnd</vt:lpstr>
      <vt:lpstr>PeriodIsEmpty</vt:lpstr>
      <vt:lpstr>PeriodIsEmptyList</vt:lpstr>
      <vt:lpstr>periodStart</vt:lpstr>
      <vt:lpstr>pHeader_B_FHD</vt:lpstr>
      <vt:lpstr>pHeader_B_FHD_TKO</vt:lpstr>
      <vt:lpstr>pHeader_B_FHD_TKO_TRANS</vt:lpstr>
      <vt:lpstr>pHeader_B_KNE</vt:lpstr>
      <vt:lpstr>pHeader_Q_LIMIT</vt:lpstr>
      <vt:lpstr>pHeader_Q_PH</vt:lpstr>
      <vt:lpstr>pHeader_Q_TP</vt:lpstr>
      <vt:lpstr>pHeader_ver_B_FHD</vt:lpstr>
      <vt:lpstr>pHeader_ver_B_FHD_TKO</vt:lpstr>
      <vt:lpstr>pHeader_ver_B_FHD_TKO_TRANS</vt:lpstr>
      <vt:lpstr>pHeader_ver_B_KNE</vt:lpstr>
      <vt:lpstr>pHeader_ver_P_PROCEDURE_TC</vt:lpstr>
      <vt:lpstr>pHeader_ver_Q_LIMIT</vt:lpstr>
      <vt:lpstr>pIns_B_FHD_1</vt:lpstr>
      <vt:lpstr>pIns_B_FHD_2</vt:lpstr>
      <vt:lpstr>pIns_B_FHD_3</vt:lpstr>
      <vt:lpstr>pIns_B_FHD_4</vt:lpstr>
      <vt:lpstr>pIns_B_FHD_5</vt:lpstr>
      <vt:lpstr>pIns_B_FHD_6</vt:lpstr>
      <vt:lpstr>pIns_B_FHD_DIFFERENTIATION</vt:lpstr>
      <vt:lpstr>pIns_B_FHD_TKO_2</vt:lpstr>
      <vt:lpstr>pIns_B_FHD_TKO_DIFFERENTIATION</vt:lpstr>
      <vt:lpstr>pIns_B_FHD_TKO_TRANS_2</vt:lpstr>
      <vt:lpstr>pIns_B_FHD_TKO_TRANS_DIFFERENTIATION</vt:lpstr>
      <vt:lpstr>pIns_B_FHD20_DIFFERENTIATION</vt:lpstr>
      <vt:lpstr>pIns_B_KNE_DIFFERENTIATION</vt:lpstr>
      <vt:lpstr>pIns_CHANGE_INFO</vt:lpstr>
      <vt:lpstr>pIns_Comm</vt:lpstr>
      <vt:lpstr>pIns_ED</vt:lpstr>
      <vt:lpstr>pIns_IP_DETAILED</vt:lpstr>
      <vt:lpstr>pIns_IP_FIN_PLAN</vt:lpstr>
      <vt:lpstr>pIns_IP_MAIN</vt:lpstr>
      <vt:lpstr>pIns_IP_QRE</vt:lpstr>
      <vt:lpstr>pIns_List07</vt:lpstr>
      <vt:lpstr>pIns_LT_AREA</vt:lpstr>
      <vt:lpstr>pIns_ORG_INFO_1</vt:lpstr>
      <vt:lpstr>pIns_ORG_INFO_2</vt:lpstr>
      <vt:lpstr>pIns_ORG_TERRITORY</vt:lpstr>
      <vt:lpstr>pIns_ORG_VD_1</vt:lpstr>
      <vt:lpstr>pIns_ORG_VD_2</vt:lpstr>
      <vt:lpstr>pIns_ORG_VD_TKO_1</vt:lpstr>
      <vt:lpstr>pIns_P_PROCEDURE_TC_1</vt:lpstr>
      <vt:lpstr>pIns_P_PROCEDURE_TC_2</vt:lpstr>
      <vt:lpstr>pIns_P_PROCEDURE_TC_3</vt:lpstr>
      <vt:lpstr>pIns_P_PROCEDURE_TC_4</vt:lpstr>
      <vt:lpstr>pIns_P_PROCEDURE_TC_5</vt:lpstr>
      <vt:lpstr>pIns_P_T_TERMS_1</vt:lpstr>
      <vt:lpstr>pIns_P_T_TERMS_2</vt:lpstr>
      <vt:lpstr>pIns_P_T_TERMS_3</vt:lpstr>
      <vt:lpstr>pIns_P_T_TERMS_4</vt:lpstr>
      <vt:lpstr>pIns_PT_VTAR_A</vt:lpstr>
      <vt:lpstr>pIns_PT_VTAR_A_COLDVSNA</vt:lpstr>
      <vt:lpstr>pIns_PT_VTAR_A_HOTVSNA</vt:lpstr>
      <vt:lpstr>pIns_PT_VTAR_A_VOTV</vt:lpstr>
      <vt:lpstr>pIns_PT_VTAR_B</vt:lpstr>
      <vt:lpstr>pIns_PT_VTAR_B_COLDVSNA</vt:lpstr>
      <vt:lpstr>pIns_PT_VTAR_B_HOTVSNA</vt:lpstr>
      <vt:lpstr>pIns_PT_VTAR_B_VOTV</vt:lpstr>
      <vt:lpstr>pIns_PT_VTAR_C</vt:lpstr>
      <vt:lpstr>pIns_PT_VTAR_C_COLDVSNA</vt:lpstr>
      <vt:lpstr>pIns_PT_VTAR_C_HOTVSNA</vt:lpstr>
      <vt:lpstr>pIns_PT_VTAR_C_VOTV</vt:lpstr>
      <vt:lpstr>pIns_PT_VTAR_D</vt:lpstr>
      <vt:lpstr>pIns_PT_VTAR_D_COLDVSNA</vt:lpstr>
      <vt:lpstr>pIns_PT_VTAR_E_COLDVSNA</vt:lpstr>
      <vt:lpstr>pIns_PT_VTAR_E1</vt:lpstr>
      <vt:lpstr>pIns_PT_VTAR_E2</vt:lpstr>
      <vt:lpstr>pIns_PT_VTAR_F</vt:lpstr>
      <vt:lpstr>pIns_PT_VTAR_G</vt:lpstr>
      <vt:lpstr>pIns_Q_LIMIT_1</vt:lpstr>
      <vt:lpstr>pIns_Q_LIMIT_2</vt:lpstr>
      <vt:lpstr>pIns_Q_LIMIT_3</vt:lpstr>
      <vt:lpstr>pIns_Q_LIMIT_4</vt:lpstr>
      <vt:lpstr>pIns_Q_LIMIT_DIFFERENTIATION</vt:lpstr>
      <vt:lpstr>pIns_Q_PH_DIFFERENTIATION</vt:lpstr>
      <vt:lpstr>pIns_Q_TP_1</vt:lpstr>
      <vt:lpstr>pIns_Q_TP_DIFFERENTIATION</vt:lpstr>
      <vt:lpstr>pIns_R_B_Purch_1</vt:lpstr>
      <vt:lpstr>pIns_ROIV_CASE_case</vt:lpstr>
      <vt:lpstr>pIns_ROIV_INFO_phone</vt:lpstr>
      <vt:lpstr>pIns_ROIV_ORG_org</vt:lpstr>
      <vt:lpstr>pIns_ROIV_OTV_org</vt:lpstr>
      <vt:lpstr>pIns_ver_COLDVSNA_TARIFF_A_COLDVSNA</vt:lpstr>
      <vt:lpstr>pIns_ver_COLDVSNA_TARIFF_B_COLDVSNA</vt:lpstr>
      <vt:lpstr>pIns_ver_COLDVSNA_TARIFF_C_COLDVSNA</vt:lpstr>
      <vt:lpstr>pIns_ver_COLDVSNA_TARIFF_D_COLDVSNA</vt:lpstr>
      <vt:lpstr>pIns_ver_COLDVSNA_TARIFF_E_COLDVSNA</vt:lpstr>
      <vt:lpstr>pIns_ver_HEAT_TARIFF_A</vt:lpstr>
      <vt:lpstr>pIns_ver_HEAT_TARIFF_B</vt:lpstr>
      <vt:lpstr>pIns_ver_HEAT_TARIFF_C</vt:lpstr>
      <vt:lpstr>pIns_ver_HEAT_TARIFF_D</vt:lpstr>
      <vt:lpstr>pIns_ver_HEAT_TARIFF_E1</vt:lpstr>
      <vt:lpstr>pIns_ver_HEAT_TARIFF_E2</vt:lpstr>
      <vt:lpstr>pIns_ver_HEAT_TARIFF_F</vt:lpstr>
      <vt:lpstr>pIns_ver_HEAT_TARIFF_G</vt:lpstr>
      <vt:lpstr>pIns_ver_HOTVSNA_TARIFF_A_HOTVSNA</vt:lpstr>
      <vt:lpstr>pIns_ver_HOTVSNA_TARIFF_B_HOTVSNA</vt:lpstr>
      <vt:lpstr>pIns_ver_HOTVSNA_TARIFF_C_HOTVSNA</vt:lpstr>
      <vt:lpstr>pIns_ver_VOTV_TARIFF_A_VOTV</vt:lpstr>
      <vt:lpstr>pIns_ver_VOTV_TARIFF_B_VOTV</vt:lpstr>
      <vt:lpstr>pIns_ver_VOTV_TARIFF_C_VOTV</vt:lpstr>
      <vt:lpstr>pNote_LIMIT</vt:lpstr>
      <vt:lpstr>pNote_Q_PH</vt:lpstr>
      <vt:lpstr>PROCEDURE_TC_NAME_FORM</vt:lpstr>
      <vt:lpstr>PT_ADD_HL_CS_COLUMN_MARKER</vt:lpstr>
      <vt:lpstr>PT_ADD_HL_IST_TE_COLUMN_MARKER</vt:lpstr>
      <vt:lpstr>PT_ADD_HL_NTAR_COLUMN_MARKER</vt:lpstr>
      <vt:lpstr>PT_ADD_HL_TER_COLUMN_MARKER</vt:lpstr>
      <vt:lpstr>PT_ADD_HL_VTAR_COLUMN_MARKER</vt:lpstr>
      <vt:lpstr>pt_cs_1</vt:lpstr>
      <vt:lpstr>pt_cs_10</vt:lpstr>
      <vt:lpstr>pt_cs_11</vt:lpstr>
      <vt:lpstr>pt_cs_12</vt:lpstr>
      <vt:lpstr>pt_cs_13</vt:lpstr>
      <vt:lpstr>pt_cs_14</vt:lpstr>
      <vt:lpstr>pt_cs_15</vt:lpstr>
      <vt:lpstr>pt_cs_16</vt:lpstr>
      <vt:lpstr>pt_cs_17</vt:lpstr>
      <vt:lpstr>pt_cs_18</vt:lpstr>
      <vt:lpstr>pt_cs_19</vt:lpstr>
      <vt:lpstr>pt_cs_2</vt:lpstr>
      <vt:lpstr>pt_cs_3</vt:lpstr>
      <vt:lpstr>pt_cs_4</vt:lpstr>
      <vt:lpstr>pt_cs_4i</vt:lpstr>
      <vt:lpstr>pt_cs_4p</vt:lpstr>
      <vt:lpstr>pt_cs_5</vt:lpstr>
      <vt:lpstr>pt_cs_6</vt:lpstr>
      <vt:lpstr>pt_cs_7</vt:lpstr>
      <vt:lpstr>pt_cs_8</vt:lpstr>
      <vt:lpstr>pt_cs_9</vt:lpstr>
      <vt:lpstr>PT_DEL_HL_CS_COLUMN_MARKER</vt:lpstr>
      <vt:lpstr>PT_DEL_HL_IST_TE_COLUMN_MARKER</vt:lpstr>
      <vt:lpstr>PT_DEL_HL_NTAR_COLUMN_MARKER</vt:lpstr>
      <vt:lpstr>PT_DEL_HL_TER_COLUMN_MARKER</vt:lpstr>
      <vt:lpstr>PT_DEL_HL_VTAR_COLUMN_MARKER</vt:lpstr>
      <vt:lpstr>PT_DIAMETERS_2_LIST</vt:lpstr>
      <vt:lpstr>PT_DIAMETERS_LIST</vt:lpstr>
      <vt:lpstr>PT_DIFFERENTIATION_CS</vt:lpstr>
      <vt:lpstr>PT_DIFFERENTIATION_CS_ID</vt:lpstr>
      <vt:lpstr>PT_DIFFERENTIATION_IST_TE</vt:lpstr>
      <vt:lpstr>PT_DIFFERENTIATION_IST_TE_ID</vt:lpstr>
      <vt:lpstr>PT_DIFFERENTIATION_NTAR</vt:lpstr>
      <vt:lpstr>PT_DIFFERENTIATION_NTAR_ID</vt:lpstr>
      <vt:lpstr>PT_DIFFERENTIATION_NUM_CS</vt:lpstr>
      <vt:lpstr>PT_DIFFERENTIATION_NUM_IST_TE</vt:lpstr>
      <vt:lpstr>PT_DIFFERENTIATION_NUM_NTAR</vt:lpstr>
      <vt:lpstr>PT_DIFFERENTIATION_NUM_TER</vt:lpstr>
      <vt:lpstr>PT_DIFFERENTIATION_TER</vt:lpstr>
      <vt:lpstr>PT_DIFFERENTIATION_TER_ID</vt:lpstr>
      <vt:lpstr>PT_DIFFERENTIATION_VDET</vt:lpstr>
      <vt:lpstr>PT_DIFFERENTIATION_VTAR</vt:lpstr>
      <vt:lpstr>PT_DIFFERENTIATION_VTAR_ID</vt:lpstr>
      <vt:lpstr>PT_FLAG_CS_COLUMN_MARKER</vt:lpstr>
      <vt:lpstr>PT_FLAG_IST_TE_COLUMN_MARKER</vt:lpstr>
      <vt:lpstr>PT_FLAG_TER_COLUMN_MARKER</vt:lpstr>
      <vt:lpstr>PT_FLAG_VTAR_COLUMN_MARKER</vt:lpstr>
      <vt:lpstr>PT_GROUP_CONSUMER_LIST</vt:lpstr>
      <vt:lpstr>pt_ist_te_1</vt:lpstr>
      <vt:lpstr>pt_ist_te_2</vt:lpstr>
      <vt:lpstr>pt_ist_te_3</vt:lpstr>
      <vt:lpstr>pt_ist_te_4</vt:lpstr>
      <vt:lpstr>pt_ist_te_4i</vt:lpstr>
      <vt:lpstr>pt_ist_te_4p</vt:lpstr>
      <vt:lpstr>pt_ist_te_5</vt:lpstr>
      <vt:lpstr>pt_ist_te_6</vt:lpstr>
      <vt:lpstr>pt_ist_te_7</vt:lpstr>
      <vt:lpstr>pt_ist_te_8</vt:lpstr>
      <vt:lpstr>PT_LOAD_LIST</vt:lpstr>
      <vt:lpstr>PT_NETS_LIST</vt:lpstr>
      <vt:lpstr>pt_ntar_1</vt:lpstr>
      <vt:lpstr>pt_ntar_10</vt:lpstr>
      <vt:lpstr>pt_ntar_11</vt:lpstr>
      <vt:lpstr>pt_ntar_12</vt:lpstr>
      <vt:lpstr>pt_ntar_13</vt:lpstr>
      <vt:lpstr>pt_ntar_14</vt:lpstr>
      <vt:lpstr>pt_ntar_15</vt:lpstr>
      <vt:lpstr>pt_ntar_16</vt:lpstr>
      <vt:lpstr>pt_ntar_17</vt:lpstr>
      <vt:lpstr>pt_ntar_18</vt:lpstr>
      <vt:lpstr>pt_ntar_19</vt:lpstr>
      <vt:lpstr>pt_ntar_2</vt:lpstr>
      <vt:lpstr>pt_ntar_3</vt:lpstr>
      <vt:lpstr>pt_ntar_4</vt:lpstr>
      <vt:lpstr>pt_ntar_4i</vt:lpstr>
      <vt:lpstr>pt_ntar_4p</vt:lpstr>
      <vt:lpstr>pt_ntar_5</vt:lpstr>
      <vt:lpstr>pt_ntar_6</vt:lpstr>
      <vt:lpstr>pt_ntar_7</vt:lpstr>
      <vt:lpstr>pt_ntar_8</vt:lpstr>
      <vt:lpstr>pt_ntar_9</vt:lpstr>
      <vt:lpstr>PT_P_FORM_COLDVSNA_4_NAME_FORM</vt:lpstr>
      <vt:lpstr>PT_P_FORM_COLDVSNA_5_NAME_FORM</vt:lpstr>
      <vt:lpstr>PT_P_FORM_HEAT_21_NAME_FORM</vt:lpstr>
      <vt:lpstr>PT_P_FORM_HEAT_22_NAME_FORM</vt:lpstr>
      <vt:lpstr>PT_P_FORM_HEAT_4_NAME_FORM</vt:lpstr>
      <vt:lpstr>PT_P_FORM_HEAT_5_NAME_FORM</vt:lpstr>
      <vt:lpstr>PT_P_FORM_HEAT_6_NAME_FORM</vt:lpstr>
      <vt:lpstr>PT_P_FORM_HEAT_7_NAME_FORM</vt:lpstr>
      <vt:lpstr>PT_P_FORM_HOTVSNA_4_NAME_FORM</vt:lpstr>
      <vt:lpstr>PT_P_FORM_HOTVSNA_5_NAME_FORM</vt:lpstr>
      <vt:lpstr>PT_P_FORM_VOTV_4_NAME_FORM</vt:lpstr>
      <vt:lpstr>PT_P_FORM_VOTV_5_NAME_FORM</vt:lpstr>
      <vt:lpstr>PT_R_FORM_COLDVSNA_16_NAME_FORM</vt:lpstr>
      <vt:lpstr>PT_R_FORM_COLDVSNA_17_NAME_FORM</vt:lpstr>
      <vt:lpstr>PT_R_FORM_HEAT_21_NAME_FORM</vt:lpstr>
      <vt:lpstr>PT_R_FORM_HEAT_22_NAME_FORM</vt:lpstr>
      <vt:lpstr>PT_R_FORM_HEAT_23_NAME_FORM</vt:lpstr>
      <vt:lpstr>PT_R_FORM_HEAT_24_NAME_FORM</vt:lpstr>
      <vt:lpstr>PT_R_FORM_HOTVSNA_16_NAME_FORM</vt:lpstr>
      <vt:lpstr>PT_R_FORM_HOTVSNA_17_NAME_FORM</vt:lpstr>
      <vt:lpstr>PT_R_FORM_VOTV_16_NAME_FORM</vt:lpstr>
      <vt:lpstr>PT_R_FORM_VOTV_17_NAME_FORM</vt:lpstr>
      <vt:lpstr>PT_SCHEME_LIST</vt:lpstr>
      <vt:lpstr>pt_ter_1</vt:lpstr>
      <vt:lpstr>pt_ter_10</vt:lpstr>
      <vt:lpstr>pt_ter_11</vt:lpstr>
      <vt:lpstr>pt_ter_12</vt:lpstr>
      <vt:lpstr>pt_ter_13</vt:lpstr>
      <vt:lpstr>pt_ter_14</vt:lpstr>
      <vt:lpstr>pt_ter_15</vt:lpstr>
      <vt:lpstr>pt_ter_16</vt:lpstr>
      <vt:lpstr>pt_ter_17</vt:lpstr>
      <vt:lpstr>pt_ter_18</vt:lpstr>
      <vt:lpstr>pt_ter_19</vt:lpstr>
      <vt:lpstr>pt_ter_2</vt:lpstr>
      <vt:lpstr>pt_ter_3</vt:lpstr>
      <vt:lpstr>pt_ter_4</vt:lpstr>
      <vt:lpstr>pt_ter_4i</vt:lpstr>
      <vt:lpstr>pt_ter_4p</vt:lpstr>
      <vt:lpstr>pt_ter_5</vt:lpstr>
      <vt:lpstr>pt_ter_6</vt:lpstr>
      <vt:lpstr>pt_ter_7</vt:lpstr>
      <vt:lpstr>pt_ter_8</vt:lpstr>
      <vt:lpstr>pt_ter_9</vt:lpstr>
      <vt:lpstr>PT_TN_LIST</vt:lpstr>
      <vt:lpstr>PT_VDET_COLUMN_MARKER</vt:lpstr>
      <vt:lpstr>PURCH_NAME_FORM</vt:lpstr>
      <vt:lpstr>Q_LIMIT_CheckC</vt:lpstr>
      <vt:lpstr>Q_LIMIT_diff_1</vt:lpstr>
      <vt:lpstr>Q_LIMIT_p3</vt:lpstr>
      <vt:lpstr>Q_LIMIT_p4</vt:lpstr>
      <vt:lpstr>Q_PH_diff_1</vt:lpstr>
      <vt:lpstr>Q_TP_COUNT_REFUSAL</vt:lpstr>
      <vt:lpstr>Q_TP_diff_1</vt:lpstr>
      <vt:lpstr>QRE_METHOD_LIST</vt:lpstr>
      <vt:lpstr>QUARTER</vt:lpstr>
      <vt:lpstr>REESTR_LINK_RANGE</vt:lpstr>
      <vt:lpstr>REESTR_VT_RANGE</vt:lpstr>
      <vt:lpstr>REGION</vt:lpstr>
      <vt:lpstr>region_name</vt:lpstr>
      <vt:lpstr>RegulatoryPeriod</vt:lpstr>
      <vt:lpstr>ReportPeriod</vt:lpstr>
      <vt:lpstr>ROIV_CASE_ADD_HL_CASE_COLUMN_MARKER</vt:lpstr>
      <vt:lpstr>ROIV_CASE_DEL_HL_CASE_COLUMN_MARKER</vt:lpstr>
      <vt:lpstr>ROIV_CASE_NUM_CASE_COLUMN_MARKER</vt:lpstr>
      <vt:lpstr>ROIV_INFO_DEL_HL_PHONE_COLUMN_MARKER</vt:lpstr>
      <vt:lpstr>ROIV_INFO_NAME</vt:lpstr>
      <vt:lpstr>ROIV_INFO_NUM_PHONE_COLUMN_MARKER</vt:lpstr>
      <vt:lpstr>ROIV_ORG_DEL_HL_ORG_COLUMN_MARKER</vt:lpstr>
      <vt:lpstr>ROIV_ORG_INN_COLUMN_MARKER</vt:lpstr>
      <vt:lpstr>ROIV_ORG_KPP_COLUMN_MARKER</vt:lpstr>
      <vt:lpstr>ROIV_ORG_NAME_ORG_COLUMN_MARKER</vt:lpstr>
      <vt:lpstr>ROIV_ORG_NUM_ORG_COLUMN_MARKER</vt:lpstr>
      <vt:lpstr>ROIV_ORG_TECH_ORG_ID_COLUMN_MARKER</vt:lpstr>
      <vt:lpstr>ROIV_OTV_ADD_HL_DL_COLUMN_MARKER</vt:lpstr>
      <vt:lpstr>ROIV_OTV_DEL_HL_DL_COLUMN_MARKER</vt:lpstr>
      <vt:lpstr>ROIV_OTV_DEL_HL_ORG_COLUMN_MARKER</vt:lpstr>
      <vt:lpstr>ROIV_OTV_INN_COLUMN_MARKER</vt:lpstr>
      <vt:lpstr>ROIV_OTV_NAME_ORG_COLUMN_MARKER</vt:lpstr>
      <vt:lpstr>ROIV_OTV_NUM_DL_COLUMN_MARKER</vt:lpstr>
      <vt:lpstr>ROIV_OTV_NUM_ORG_COLUMN_MARKER</vt:lpstr>
      <vt:lpstr>ROIV_OTV_TECH_ORG_ID_COLUMN_MARKER</vt:lpstr>
      <vt:lpstr>SKI_number</vt:lpstr>
      <vt:lpstr>StartDateList</vt:lpstr>
      <vt:lpstr>TECH_ORG_ID</vt:lpstr>
      <vt:lpstr>TEMPLATE_DATA_POINT</vt:lpstr>
      <vt:lpstr>TEMPLATE_DATA_POINT_FHD</vt:lpstr>
      <vt:lpstr>TEMPLATE_GROUP</vt:lpstr>
      <vt:lpstr>TEMPLATE_NAME_FORM_LIST</vt:lpstr>
      <vt:lpstr>TEMPLATE_NOTE_POINT</vt:lpstr>
      <vt:lpstr>TEMPLATE_NOTE_POINT_FHD</vt:lpstr>
      <vt:lpstr>TEMPLATE_NUMBER_FORM_LIST</vt:lpstr>
      <vt:lpstr>TEMPLATE_NUMBER_POINT_FHD</vt:lpstr>
      <vt:lpstr>TEMPLATE_ORG_DATA_POINT</vt:lpstr>
      <vt:lpstr>TEMPLATE_SPHERE</vt:lpstr>
      <vt:lpstr>TEMPLATE_SPHERE_LIST</vt:lpstr>
      <vt:lpstr>TEMPLATE_SPHERE_LIST_FOR_NOTE</vt:lpstr>
      <vt:lpstr>TEMPLATE_SPHERE_LIST_FOR_NPA</vt:lpstr>
      <vt:lpstr>TEMPLATE_SPHERE_RUS</vt:lpstr>
      <vt:lpstr>TEMPLATE_SPHERE_RUS_2</vt:lpstr>
      <vt:lpstr>TemplateState</vt:lpstr>
      <vt:lpstr>ter_1</vt:lpstr>
      <vt:lpstr>TER_ID</vt:lpstr>
      <vt:lpstr>TERMS_LINK</vt:lpstr>
      <vt:lpstr>TERMS_NAME_FORM</vt:lpstr>
      <vt:lpstr>TERMS_NUM_CONTRACT_COLUMN_MARKER</vt:lpstr>
      <vt:lpstr>TERMS_P_1</vt:lpstr>
      <vt:lpstr>TERMS_TKO_TRANS_DATA</vt:lpstr>
      <vt:lpstr>TERRITORY_CheckC</vt:lpstr>
      <vt:lpstr>TERRITORY_ID</vt:lpstr>
      <vt:lpstr>TERRITORY_LIST_ID</vt:lpstr>
      <vt:lpstr>TERRITORY_MO_LIST</vt:lpstr>
      <vt:lpstr>TERRITORY_MR_LIST</vt:lpstr>
      <vt:lpstr>TERRITORY_NAME_COL</vt:lpstr>
      <vt:lpstr>TERRITORY_POINT_NUMBER_1</vt:lpstr>
      <vt:lpstr>TITLE_BUHG_FLAG</vt:lpstr>
      <vt:lpstr>TITLE_CONNECTION_FLAG</vt:lpstr>
      <vt:lpstr>TITLE_DATA_TYPE</vt:lpstr>
      <vt:lpstr>TITLE_DATE_BUHG</vt:lpstr>
      <vt:lpstr>TITLE_DATE_CHANGE</vt:lpstr>
      <vt:lpstr>TITLE_DATE_CHANGE_PERIOD</vt:lpstr>
      <vt:lpstr>TITLE_DATE_FIL</vt:lpstr>
      <vt:lpstr>TITLE_DATE_PARKING</vt:lpstr>
      <vt:lpstr>TITLE_DATE_PR</vt:lpstr>
      <vt:lpstr>TITLE_DATE_PR_CHANGE</vt:lpstr>
      <vt:lpstr>TITLE_DIFFERENTIATION_TYPE</vt:lpstr>
      <vt:lpstr>TITLE_FIL_YEAR</vt:lpstr>
      <vt:lpstr>TITLE_FLAG_DIFF_SELLER</vt:lpstr>
      <vt:lpstr>TITLE_FLAG_INTERNET</vt:lpstr>
      <vt:lpstr>TITLE_FLAG_IP</vt:lpstr>
      <vt:lpstr>TITLE_FLAG_IP_DETAILED</vt:lpstr>
      <vt:lpstr>TITLE_FLAG_NO_DIFF_COMPONENT</vt:lpstr>
      <vt:lpstr>TITLE_FLAG_NOT_REG_PRICE</vt:lpstr>
      <vt:lpstr>TITLE_FLAG_REG_PRICE_IP</vt:lpstr>
      <vt:lpstr>TITLE_FLAG_TKO_TRANS</vt:lpstr>
      <vt:lpstr>TITLE_FLAG_TOP80_ACTIVITY</vt:lpstr>
      <vt:lpstr>TITLE_HEADER_PR_CHANGE</vt:lpstr>
      <vt:lpstr>TITLE_IP_DETAILED_METHOD_LIST</vt:lpstr>
      <vt:lpstr>TITLE_IST_PUB</vt:lpstr>
      <vt:lpstr>TITLE_IST_PUB_CHANGE</vt:lpstr>
      <vt:lpstr>TITLE_NAME_OR_PR</vt:lpstr>
      <vt:lpstr>TITLE_NAME_OR_PR_CHANGE</vt:lpstr>
      <vt:lpstr>TITLE_NUMBER_PR</vt:lpstr>
      <vt:lpstr>TITLE_NUMBER_PR_CHANGE</vt:lpstr>
      <vt:lpstr>TITLE_PERIOD_END</vt:lpstr>
      <vt:lpstr>TITLE_PERIOD_START</vt:lpstr>
      <vt:lpstr>TITLE_TYPE_ORG</vt:lpstr>
      <vt:lpstr>TKO_PT_VED_ID</vt:lpstr>
      <vt:lpstr>TKO_PT_VED_NAME</vt:lpstr>
      <vt:lpstr>TKO_PT_VED_NAME_LIST</vt:lpstr>
      <vt:lpstr>TP_NAME_FORM</vt:lpstr>
      <vt:lpstr>TP_NUMBER_FORM</vt:lpstr>
      <vt:lpstr>TP_P_A</vt:lpstr>
      <vt:lpstr>TP_P_B</vt:lpstr>
      <vt:lpstr>TP_P_G</vt:lpstr>
      <vt:lpstr>TP_P_NOTE_A</vt:lpstr>
      <vt:lpstr>TP_P_NOTE_B</vt:lpstr>
      <vt:lpstr>TP_P_NOTE_G</vt:lpstr>
      <vt:lpstr>TP_P_NOTE_G_1</vt:lpstr>
      <vt:lpstr>TP_P_NOTE_V</vt:lpstr>
      <vt:lpstr>TP_P_NOTE_V_1</vt:lpstr>
      <vt:lpstr>TP_P_V</vt:lpstr>
      <vt:lpstr>TP_P_V_1</vt:lpstr>
      <vt:lpstr>TYPE_TKO_LIST</vt:lpstr>
      <vt:lpstr>VD_ID_LIST</vt:lpstr>
      <vt:lpstr>VD_LIST</vt:lpstr>
      <vt:lpstr>VD_NAME_LIST</vt:lpstr>
      <vt:lpstr>VDET_END_DATE</vt:lpstr>
      <vt:lpstr>VDET_START_DATE</vt:lpstr>
      <vt:lpstr>version</vt:lpstr>
      <vt:lpstr>VOTV_FIN_SRC_LIST</vt:lpstr>
      <vt:lpstr>VOTV_FIN_SRC_VLD_LIST</vt:lpstr>
      <vt:lpstr>VOTV_IP_EVENT_CI_STAGE_LIST</vt:lpstr>
      <vt:lpstr>VOTV_IP_EVENT_GROUP_LIST</vt:lpstr>
      <vt:lpstr>VOTV_IP_EVENT_SUBGROUP_1_LIST</vt:lpstr>
      <vt:lpstr>VOTV_IP_EVENT_SUBGROUP_3_LIST</vt:lpstr>
      <vt:lpstr>VOTV_IP_EVENT_SUBGROUP_5_LIST</vt:lpstr>
      <vt:lpstr>VOTV_IP_EVENT_TYPE_LIST</vt:lpstr>
      <vt:lpstr>VOTV_PT_VED_ID</vt:lpstr>
      <vt:lpstr>VOTV_PT_VED_NAME</vt:lpstr>
      <vt:lpstr>VOTV_PT_VED_NAME_LIST</vt:lpstr>
      <vt:lpstr>VOTV_TARIFF_A_VOTV_ADD_HL_COLUMN_MARKER</vt:lpstr>
      <vt:lpstr>VOTV_TARIFF_A_VOTV_DEL_HL_DATA_DIFF_COLUMN_MARKER</vt:lpstr>
      <vt:lpstr>VOTV_TARIFF_A_VOTV_DEL_HL_FLAG_DIFF_COLUMN_MARKER</vt:lpstr>
      <vt:lpstr>VOTV_TARIFF_A_VOTV_DEL_HL_GC_COLUMN_MARKER</vt:lpstr>
      <vt:lpstr>VOTV_TARIFF_A_VOTV_DELETE_PERIOD_ROW_MARKER</vt:lpstr>
      <vt:lpstr>VOTV_TARIFF_A_VOTV_FLAG_BLOCK_COLUMN_MARKER</vt:lpstr>
      <vt:lpstr>VOTV_TARIFF_A_VOTV_FLAG_BLOCK_ROW_MARKER</vt:lpstr>
      <vt:lpstr>VOTV_TARIFF_A_VOTV_NUM_CS_COLUMN_MARKER</vt:lpstr>
      <vt:lpstr>VOTV_TARIFF_A_VOTV_NUM_DATA_DIFF_COLUMN_MARKER</vt:lpstr>
      <vt:lpstr>VOTV_TARIFF_A_VOTV_NUM_FLAG_DIFF_COLUMN_MARKER</vt:lpstr>
      <vt:lpstr>VOTV_TARIFF_A_VOTV_NUM_GC_COLUMN_MARKER</vt:lpstr>
      <vt:lpstr>VOTV_TARIFF_A_VOTV_NUM_NTAR_COLUMN_MARKER</vt:lpstr>
      <vt:lpstr>VOTV_TARIFF_A_VOTV_NUM_TER_COLUMN_MARKER</vt:lpstr>
      <vt:lpstr>VOTV_TARIFF_B_VOTV_ADD_HL_COLUMN_MARKER</vt:lpstr>
      <vt:lpstr>VOTV_TARIFF_B_VOTV_DEL_HL_DATA_DIFF_COLUMN_MARKER</vt:lpstr>
      <vt:lpstr>VOTV_TARIFF_B_VOTV_DEL_HL_FLAG_DIFF_COLUMN_MARKER</vt:lpstr>
      <vt:lpstr>VOTV_TARIFF_B_VOTV_DEL_HL_GC_COLUMN_MARKER</vt:lpstr>
      <vt:lpstr>VOTV_TARIFF_B_VOTV_DELETE_PERIOD_ROW_MARKER</vt:lpstr>
      <vt:lpstr>VOTV_TARIFF_B_VOTV_FLAG_BLOCK_COLUMN_MARKER</vt:lpstr>
      <vt:lpstr>VOTV_TARIFF_B_VOTV_FLAG_BLOCK_ROW_MARKER</vt:lpstr>
      <vt:lpstr>VOTV_TARIFF_B_VOTV_NUM_CS_COLUMN_MARKER</vt:lpstr>
      <vt:lpstr>VOTV_TARIFF_B_VOTV_NUM_DATA_DIFF_COLUMN_MARKER</vt:lpstr>
      <vt:lpstr>VOTV_TARIFF_B_VOTV_NUM_FLAG_DIFF_COLUMN_MARKER</vt:lpstr>
      <vt:lpstr>VOTV_TARIFF_B_VOTV_NUM_GC_COLUMN_MARKER</vt:lpstr>
      <vt:lpstr>VOTV_TARIFF_B_VOTV_NUM_NTAR_COLUMN_MARKER</vt:lpstr>
      <vt:lpstr>VOTV_TARIFF_B_VOTV_NUM_TER_COLUMN_MARKER</vt:lpstr>
      <vt:lpstr>VOTV_TARIFF_C_VOTV_ADD_HL_COLUMN_MARKER</vt:lpstr>
      <vt:lpstr>VOTV_TARIFF_C_VOTV_ADD_HL_DIAMETERS_COLUMN_MARKER</vt:lpstr>
      <vt:lpstr>VOTV_TARIFF_C_VOTV_ADD_HL_LEN_COLUMN_MARKER</vt:lpstr>
      <vt:lpstr>VOTV_TARIFF_C_VOTV_ADD_HL_LOAD_COLUMN_MARKER</vt:lpstr>
      <vt:lpstr>VOTV_TARIFF_C_VOTV_ADD_HL_NETS_COLUMN_MARKER</vt:lpstr>
      <vt:lpstr>VOTV_TARIFF_C_VOTV_DEL_HL_DATA_DIFF_COLUMN_MARKER</vt:lpstr>
      <vt:lpstr>VOTV_TARIFF_C_VOTV_DEL_HL_DIAMETERS_COLUMN_MARKER</vt:lpstr>
      <vt:lpstr>VOTV_TARIFF_C_VOTV_DEL_HL_FLAG_DIFF_COLUMN_MARKER</vt:lpstr>
      <vt:lpstr>VOTV_TARIFF_C_VOTV_DEL_HL_GC_COLUMN_MARKER</vt:lpstr>
      <vt:lpstr>VOTV_TARIFF_C_VOTV_DEL_HL_LEN_COLUMN_MARKER</vt:lpstr>
      <vt:lpstr>VOTV_TARIFF_C_VOTV_DEL_HL_LOAD_COLUMN_MARKER</vt:lpstr>
      <vt:lpstr>VOTV_TARIFF_C_VOTV_DEL_HL_NETS_COLUMN_MARKER</vt:lpstr>
      <vt:lpstr>VOTV_TARIFF_C_VOTV_DELETE_PERIOD_ROW_MARKER</vt:lpstr>
      <vt:lpstr>VOTV_TARIFF_C_VOTV_FLAG_BLOCK_COLUMN_MARKER</vt:lpstr>
      <vt:lpstr>VOTV_TARIFF_C_VOTV_FLAG_BLOCK_ROW_MARKER</vt:lpstr>
      <vt:lpstr>VOTV_TARIFF_C_VOTV_NUM_CS_COLUMN_MARKER</vt:lpstr>
      <vt:lpstr>VOTV_TARIFF_C_VOTV_NUM_DATA_DIFF_COLUMN_MARKER</vt:lpstr>
      <vt:lpstr>VOTV_TARIFF_C_VOTV_NUM_DIAMETERS_COLUMN_MARKER</vt:lpstr>
      <vt:lpstr>VOTV_TARIFF_C_VOTV_NUM_FLAG_DIFF_COLUMN_MARKER</vt:lpstr>
      <vt:lpstr>VOTV_TARIFF_C_VOTV_NUM_GC_COLUMN_MARKER</vt:lpstr>
      <vt:lpstr>VOTV_TARIFF_C_VOTV_NUM_LEN_COLUMN_MARKER</vt:lpstr>
      <vt:lpstr>VOTV_TARIFF_C_VOTV_NUM_LOAD_COLUMN_MARKER</vt:lpstr>
      <vt:lpstr>VOTV_TARIFF_C_VOTV_NUM_NETS_COLUMN_MARKER</vt:lpstr>
      <vt:lpstr>VOTV_TARIFF_C_VOTV_NUM_NTAR_COLUMN_MARKER</vt:lpstr>
      <vt:lpstr>VOTV_TARIFF_C_VOTV_NUM_TER_COLUMN_MARKER</vt:lpstr>
      <vt:lpstr>VSNA_FIN_SRC_LIST</vt:lpstr>
      <vt:lpstr>VSNA_FIN_SRC_VLD_LIST</vt:lpstr>
      <vt:lpstr>VSNA_IP_EVENT_CI_STAGE_LIST</vt:lpstr>
      <vt:lpstr>VSNA_IP_EVENT_GROUP_LIST</vt:lpstr>
      <vt:lpstr>VSNA_IP_EVENT_SUBGROUP_1_LIST</vt:lpstr>
      <vt:lpstr>VSNA_IP_EVENT_SUBGROUP_3_LIST</vt:lpstr>
      <vt:lpstr>VSNA_IP_EVENT_SUBGROUP_5_LIST</vt:lpstr>
      <vt:lpstr>VSNA_IP_EVENT_TYPE_LIST</vt:lpstr>
      <vt:lpstr>VTAR_ID</vt:lpstr>
      <vt:lpstr>Y_N_DIFFERENTIATION_AREA</vt:lpstr>
      <vt:lpstr>Y_N_DIFFERENTIATION_SYSTEM</vt:lpstr>
      <vt:lpstr>YEAR_IP_LIST</vt:lpstr>
      <vt:lpstr>year_list</vt:lpstr>
      <vt:lpstr>year_list1</vt:lpstr>
    </vt:vector>
  </TitlesOfParts>
  <Company>ФАС России</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Информация, подлежащая раскрытию организациями сферы теплоснабжения (цены и тарифы)</dc:title>
  <dc:subject>Информация, подлежащая раскрытию организациями сферы теплоснабжения (цены и тарифы)</dc:subject>
  <dc:creator>--</dc:creator>
  <dc:description/>
  <cp:lastModifiedBy>-</cp:lastModifiedBy>
  <cp:lastPrinted>2013-08-29T08:11:20Z</cp:lastPrinted>
  <dcterms:created xsi:type="dcterms:W3CDTF">2004-05-21T07:18:45Z</dcterms:created>
  <dcterms:modified xsi:type="dcterms:W3CDTF">2023-08-31T08:43:37Z</dcterms:modified>
</cp:coreProperties>
</file>

<file path=docProps/custom.xml><?xml version="1.0" encoding="utf-8"?>
<Properties xmlns="http://schemas.openxmlformats.org/officeDocument/2006/custom-properties" xmlns:vt="http://schemas.openxmlformats.org/officeDocument/2006/docPropsVTypes"/>
</file>